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45657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45657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45657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45657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45657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45657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45657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45657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45657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45657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45657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45657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45657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45657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45657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45657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45657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45657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45657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45657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45657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45657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45657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45657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45657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45657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45657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45657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45657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45657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45657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45657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45657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45657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45657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45657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45657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45657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45657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45657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45657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45657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45657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45657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45657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45657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45657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45657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45657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45657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45657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45657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45657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45657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45657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45657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45657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45657</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45657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45657</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45657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45657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45657</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45657</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45657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45657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45657</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45657</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45657</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45657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45657</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45657</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45657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45657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45657</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45657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45657</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45657</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45657</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45657</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45657</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45657</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45657</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45657</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45657</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45657</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45657</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45657</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45657</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45657</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45657</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45657</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45657</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45657</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45657</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45657</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45657</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45657</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45657</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45657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45657</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45657</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45657</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45657</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45657</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45657</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45657</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45657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45657</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45657</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45657</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45657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45657</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45657</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45657</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45657</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45657</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45657</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45657</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45657</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45657</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45657</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45657</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45657</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45657</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45657</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45657</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45657</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45657</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45657</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45657</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45657</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45657</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45657</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45657</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45657</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45657</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45657</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45657</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45657</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45657</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45657</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45657</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45657</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45657</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45657</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45657</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45657</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45657</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45657</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45657</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45657</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45657</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45657</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45657</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45657</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45657</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45657</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45657</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45657</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45657</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45657</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45657</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45657</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45657</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45657</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45657</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45657</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45657</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45657</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45657</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45657</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45657</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45657</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45657</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45657</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45657</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45657</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45657</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45657</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45657</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45657</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45657</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45657</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45657</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45657</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45657</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45657</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45657</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45657</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45657</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45657</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45657</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45657</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45657</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45657</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45657</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45657</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45657</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45657</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45657</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45657</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45657</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45657</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45657</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45657</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45657</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45657</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45657</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45657</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45657</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45657</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45657</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45657</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45657</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45657</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45657</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45657</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45657</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45657</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45657</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45657</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45657</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45657</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45657</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45657</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45657</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45657</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45657</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45657</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45657</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45657</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45657</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45657</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45657</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45657</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45657</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45657</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45657</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45657</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45657</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45657</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45657</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45657</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45657</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45657</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45657</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45657</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45657</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45657</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45657</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45657</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45657</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45657</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45657</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45657</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45657</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45657</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45657</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45657</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45657</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45657</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45657</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45657</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45657</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45657</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45657</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45657</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45657</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45657</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45657</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45657</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45657</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45657</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45657</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45657</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45657</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45657</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45657</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45657</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45657</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45657</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45657</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45657</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45657</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45657</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45657</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45657</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45657</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45657</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45657</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45657</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45657</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45657</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45657</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45657</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45657</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45657</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45657</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45657</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45657</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45657</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45657</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45657</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45657</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45657</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45657</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45657</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45657</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45657</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45657</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45657</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45657</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45657</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45657</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45657</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45657</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45657</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45657</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45657</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45657</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45657</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45657</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45657</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45657</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45657</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45657</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45657</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45657</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45657</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45657</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45657</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45657</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45657</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45657</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45657</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45657</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45657</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45657</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45657</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45657</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45657</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45657</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45657</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45657</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45657</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45657</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45657</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45657</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45657</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45657</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45657</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45657</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45657</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45657</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45657</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45657</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45657</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45657</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45657</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45657</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45657</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45657</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45657</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45657</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45657</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45657</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45657</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45657</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55176-2024</t>
        </is>
      </c>
      <c r="B374" s="1" t="n">
        <v>45621</v>
      </c>
      <c r="C374" s="1" t="n">
        <v>45657</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55147-2024</t>
        </is>
      </c>
      <c r="B375" s="1" t="n">
        <v>45621</v>
      </c>
      <c r="C375" s="1" t="n">
        <v>45657</v>
      </c>
      <c r="D375" t="inlineStr">
        <is>
          <t>VÄSTERNORRLANDS LÄN</t>
        </is>
      </c>
      <c r="E375" t="inlineStr">
        <is>
          <t>ÅNGE</t>
        </is>
      </c>
      <c r="F375" t="inlineStr">
        <is>
          <t>SCA</t>
        </is>
      </c>
      <c r="G375" t="n">
        <v>1.3</v>
      </c>
      <c r="H375" t="n">
        <v>0</v>
      </c>
      <c r="I375" t="n">
        <v>1</v>
      </c>
      <c r="J375" t="n">
        <v>4</v>
      </c>
      <c r="K375" t="n">
        <v>1</v>
      </c>
      <c r="L375" t="n">
        <v>0</v>
      </c>
      <c r="M375" t="n">
        <v>0</v>
      </c>
      <c r="N375" t="n">
        <v>0</v>
      </c>
      <c r="O375" t="n">
        <v>5</v>
      </c>
      <c r="P375" t="n">
        <v>1</v>
      </c>
      <c r="Q375" t="n">
        <v>6</v>
      </c>
      <c r="R375" s="2" t="inlineStr">
        <is>
          <t>Fläckporing
Blågrå svartspik
Garnlav
Mörk kolflarnlav
Violettgrå tagellav
Dropptaggsvamp</t>
        </is>
      </c>
      <c r="S375">
        <f>HYPERLINK("https://klasma.github.io/Logging_2260/artfynd/A 55147-2024 artfynd.xlsx", "A 55147-2024")</f>
        <v/>
      </c>
      <c r="T375">
        <f>HYPERLINK("https://klasma.github.io/Logging_2260/kartor/A 55147-2024 karta.png", "A 55147-2024")</f>
        <v/>
      </c>
      <c r="U375">
        <f>HYPERLINK("https://klasma.github.io/Logging_2260/knärot/A 55147-2024 karta knärot.png", "A 55147-2024")</f>
        <v/>
      </c>
      <c r="V375">
        <f>HYPERLINK("https://klasma.github.io/Logging_2260/klagomål/A 55147-2024 FSC-klagomål.docx", "A 55147-2024")</f>
        <v/>
      </c>
      <c r="W375">
        <f>HYPERLINK("https://klasma.github.io/Logging_2260/klagomålsmail/A 55147-2024 FSC-klagomål mail.docx", "A 55147-2024")</f>
        <v/>
      </c>
      <c r="X375">
        <f>HYPERLINK("https://klasma.github.io/Logging_2260/tillsyn/A 55147-2024 tillsynsbegäran.docx", "A 55147-2024")</f>
        <v/>
      </c>
      <c r="Y375">
        <f>HYPERLINK("https://klasma.github.io/Logging_2260/tillsynsmail/A 55147-2024 tillsynsbegäran mail.docx", "A 55147-2024")</f>
        <v/>
      </c>
    </row>
    <row r="376" ht="15" customHeight="1">
      <c r="A376" t="inlineStr">
        <is>
          <t>A 55548-2024</t>
        </is>
      </c>
      <c r="B376" s="1" t="n">
        <v>45622</v>
      </c>
      <c r="C376" s="1" t="n">
        <v>45657</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45657</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45657</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45657</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45657</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45657</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45657</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45657</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45657</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45657</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45657</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45657</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45657</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45657</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45657</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45657</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45657</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45657</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45657</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45657</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45657</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45657</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45657</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45657</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45657</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45657</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45657</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45657</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45657</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45657</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45657</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45657</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45657</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45657</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45657</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45657</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45657</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45657</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45657</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45657</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45657</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45657</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45657</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45657</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45657</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45657</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45657</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45657</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45657</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45657</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45657</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45657</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45657</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45657</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45657</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45657</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45657</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45657</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45657</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45657</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45657</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45657</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45657</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45657</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45657</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45657</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45657</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45657</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45657</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45657</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45657</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45657</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45657</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45657</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45657</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45657</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45657</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45657</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45657</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45657</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45657</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45657</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45657</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45657</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45657</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45657</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45657</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45657</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45657</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45657</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45657</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45657</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45657</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45657</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45657</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45657</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45657</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45657</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45657</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45657</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45657</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45657</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45657</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45657</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45657</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45657</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45657</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45657</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45657</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45657</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45657</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45657</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45657</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45657</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45657</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45657</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45657</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45657</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45657</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45657</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45657</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45657</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45657</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45657</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45657</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45657</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45657</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45657</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45657</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45657</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45657</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45657</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45657</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45657</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45657</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45657</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45657</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45657</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45657</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45657</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45657</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45657</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45657</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45657</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45657</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45657</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45657</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45657</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45657</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45657</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45657</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45657</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45657</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45657</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45657</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45657</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45657</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45657</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45657</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45657</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45657</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45657</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45657</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45657</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45657</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45657</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45657</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45657</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45657</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45657</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45657</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45657</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45657</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45657</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45657</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45657</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45657</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45657</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45657</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45657</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45657</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45657</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45657</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45657</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45657</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45657</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45657</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45657</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45657</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45657</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45657</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45657</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45657</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45657</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45657</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45657</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45657</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45657</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45657</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45657</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45657</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45657</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45657</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45657</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45657</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45657</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45657</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45657</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45657</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45657</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45657</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45657</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45657</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45657</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45657</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45657</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45657</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45657</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45657</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45657</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45657</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45657</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45657</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45657</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45657</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45657</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45657</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45657</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45657</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45657</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45657</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45657</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45657</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45657</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45657</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45657</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45657</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45657</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45657</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45657</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45657</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45657</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45657</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45657</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45657</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45657</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45657</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45657</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45657</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45657</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45657</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45657</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45657</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45657</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45657</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45657</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45657</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45657</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45657</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45657</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45657</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45657</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45657</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45657</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45657</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45657</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45657</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45657</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45657</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45657</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45657</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45657</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45657</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45657</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45657</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45657</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45657</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45657</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45657</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45657</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45657</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45657</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45657</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45657</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45657</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45657</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45657</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45657</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45657</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45657</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45657</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45657</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45657</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45657</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45657</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45657</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45657</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45657</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45657</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45657</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45657</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45657</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45657</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45657</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45657</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45657</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45657</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45657</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45657</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45657</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45657</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45657</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45657</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45657</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45657</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45657</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45657</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45657</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45657</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45657</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45657</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45657</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45657</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45657</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45657</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45657</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45657</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45657</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45657</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45657</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45657</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45657</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45657</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45657</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45657</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45657</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45657</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45657</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45657</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45657</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45657</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45657</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45657</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45657</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45657</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45657</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45657</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45657</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45657</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45657</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45657</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45657</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45657</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45657</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45657</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45657</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45657</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45657</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45657</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45657</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45657</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45657</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45657</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45657</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45657</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45657</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45657</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45657</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45657</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45657</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45657</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45657</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45657</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45657</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45657</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45657</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45657</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45657</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45657</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45657</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45657</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45657</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45657</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45657</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45657</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45657</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45657</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45657</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45657</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45657</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45657</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45657</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45657</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45657</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45657</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45657</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45657</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45657</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45657</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45657</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45657</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45657</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45657</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45657</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45657</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45657</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45657</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45657</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45657</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45657</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45657</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45657</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45657</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45657</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45657</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45657</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45657</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45657</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45657</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45657</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45657</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45657</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45657</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45657</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45657</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45657</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45657</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45657</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45657</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45657</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45657</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45657</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45657</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45657</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45657</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45657</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45657</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45657</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45657</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45657</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45657</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45657</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45657</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45657</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45657</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45657</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45657</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45657</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45657</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45657</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45657</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45657</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45657</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45657</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45657</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45657</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45657</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45657</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45657</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45657</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45657</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45657</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45657</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45657</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45657</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45657</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45657</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45657</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45657</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45657</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45657</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45657</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45657</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45657</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45657</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45657</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45657</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45657</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45657</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45657</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45657</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45657</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45657</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45657</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45657</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45657</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45657</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45657</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45657</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45657</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45657</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45657</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45657</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45657</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45657</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45657</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45657</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45657</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45657</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45657</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45657</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45657</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45657</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45657</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45657</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45657</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45657</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45657</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45657</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45657</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45657</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45657</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45657</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45657</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45657</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45657</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45657</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45657</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45657</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45657</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45657</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45657</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45657</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45657</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45657</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45657</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45657</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45657</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45657</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45657</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45657</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45657</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45657</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45657</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45657</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45657</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45657</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45657</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45657</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45657</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45657</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45657</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45657</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45657</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45657</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45657</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45657</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45657</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45657</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45657</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45657</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45657</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45657</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45657</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45657</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45657</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45657</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45657</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45657</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45657</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45657</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45657</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45657</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45657</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45657</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45657</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45657</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58880-2024</t>
        </is>
      </c>
      <c r="B943" s="1" t="n">
        <v>45636</v>
      </c>
      <c r="C943" s="1" t="n">
        <v>45657</v>
      </c>
      <c r="D943" t="inlineStr">
        <is>
          <t>VÄSTERNORRLANDS LÄN</t>
        </is>
      </c>
      <c r="E943" t="inlineStr">
        <is>
          <t>SOLLEFTEÅ</t>
        </is>
      </c>
      <c r="F943" t="inlineStr">
        <is>
          <t>SCA</t>
        </is>
      </c>
      <c r="G943" t="n">
        <v>2</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58880-2024 artfynd.xlsx", "A 58880-2024")</f>
        <v/>
      </c>
      <c r="T943">
        <f>HYPERLINK("https://klasma.github.io/Logging_2283/kartor/A 58880-2024 karta.png", "A 58880-2024")</f>
        <v/>
      </c>
      <c r="V943">
        <f>HYPERLINK("https://klasma.github.io/Logging_2283/klagomål/A 58880-2024 FSC-klagomål.docx", "A 58880-2024")</f>
        <v/>
      </c>
      <c r="W943">
        <f>HYPERLINK("https://klasma.github.io/Logging_2283/klagomålsmail/A 58880-2024 FSC-klagomål mail.docx", "A 58880-2024")</f>
        <v/>
      </c>
      <c r="X943">
        <f>HYPERLINK("https://klasma.github.io/Logging_2283/tillsyn/A 58880-2024 tillsynsbegäran.docx", "A 58880-2024")</f>
        <v/>
      </c>
      <c r="Y943">
        <f>HYPERLINK("https://klasma.github.io/Logging_2283/tillsynsmail/A 58880-2024 tillsynsbegäran mail.docx", "A 58880-2024")</f>
        <v/>
      </c>
    </row>
    <row r="944" ht="15" customHeight="1">
      <c r="A944" t="inlineStr">
        <is>
          <t>A 59020-2024</t>
        </is>
      </c>
      <c r="B944" s="1" t="n">
        <v>45636</v>
      </c>
      <c r="C944" s="1" t="n">
        <v>45657</v>
      </c>
      <c r="D944" t="inlineStr">
        <is>
          <t>VÄSTERNORRLANDS LÄN</t>
        </is>
      </c>
      <c r="E944" t="inlineStr">
        <is>
          <t>SOLLEFTEÅ</t>
        </is>
      </c>
      <c r="F944" t="inlineStr">
        <is>
          <t>SCA</t>
        </is>
      </c>
      <c r="G944" t="n">
        <v>9.300000000000001</v>
      </c>
      <c r="H944" t="n">
        <v>0</v>
      </c>
      <c r="I944" t="n">
        <v>1</v>
      </c>
      <c r="J944" t="n">
        <v>1</v>
      </c>
      <c r="K944" t="n">
        <v>0</v>
      </c>
      <c r="L944" t="n">
        <v>0</v>
      </c>
      <c r="M944" t="n">
        <v>0</v>
      </c>
      <c r="N944" t="n">
        <v>0</v>
      </c>
      <c r="O944" t="n">
        <v>1</v>
      </c>
      <c r="P944" t="n">
        <v>0</v>
      </c>
      <c r="Q944" t="n">
        <v>2</v>
      </c>
      <c r="R944" s="2" t="inlineStr">
        <is>
          <t>Kortskaftad ärgspik
Bronshjon</t>
        </is>
      </c>
      <c r="S944">
        <f>HYPERLINK("https://klasma.github.io/Logging_2283/artfynd/A 59020-2024 artfynd.xlsx", "A 59020-2024")</f>
        <v/>
      </c>
      <c r="T944">
        <f>HYPERLINK("https://klasma.github.io/Logging_2283/kartor/A 59020-2024 karta.png", "A 59020-2024")</f>
        <v/>
      </c>
      <c r="V944">
        <f>HYPERLINK("https://klasma.github.io/Logging_2283/klagomål/A 59020-2024 FSC-klagomål.docx", "A 59020-2024")</f>
        <v/>
      </c>
      <c r="W944">
        <f>HYPERLINK("https://klasma.github.io/Logging_2283/klagomålsmail/A 59020-2024 FSC-klagomål mail.docx", "A 59020-2024")</f>
        <v/>
      </c>
      <c r="X944">
        <f>HYPERLINK("https://klasma.github.io/Logging_2283/tillsyn/A 59020-2024 tillsynsbegäran.docx", "A 59020-2024")</f>
        <v/>
      </c>
      <c r="Y944">
        <f>HYPERLINK("https://klasma.github.io/Logging_2283/tillsynsmail/A 59020-2024 tillsynsbegäran mail.docx", "A 59020-2024")</f>
        <v/>
      </c>
    </row>
    <row r="945" ht="15" customHeight="1">
      <c r="A945" t="inlineStr">
        <is>
          <t>A 59994-2024</t>
        </is>
      </c>
      <c r="B945" s="1" t="n">
        <v>45642</v>
      </c>
      <c r="C945" s="1" t="n">
        <v>45657</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45657</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45657</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45657</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26253-2019</t>
        </is>
      </c>
      <c r="B949" s="1" t="n">
        <v>43609</v>
      </c>
      <c r="C949" s="1" t="n">
        <v>45657</v>
      </c>
      <c r="D949" t="inlineStr">
        <is>
          <t>VÄSTERNORRLANDS LÄN</t>
        </is>
      </c>
      <c r="E949" t="inlineStr">
        <is>
          <t>SOLLEFTEÅ</t>
        </is>
      </c>
      <c r="F949" t="inlineStr">
        <is>
          <t>SCA</t>
        </is>
      </c>
      <c r="G949" t="n">
        <v>2.3</v>
      </c>
      <c r="H949" t="n">
        <v>1</v>
      </c>
      <c r="I949" t="n">
        <v>0</v>
      </c>
      <c r="J949" t="n">
        <v>0</v>
      </c>
      <c r="K949" t="n">
        <v>0</v>
      </c>
      <c r="L949" t="n">
        <v>0</v>
      </c>
      <c r="M949" t="n">
        <v>0</v>
      </c>
      <c r="N949" t="n">
        <v>0</v>
      </c>
      <c r="O949" t="n">
        <v>0</v>
      </c>
      <c r="P949" t="n">
        <v>0</v>
      </c>
      <c r="Q949" t="n">
        <v>1</v>
      </c>
      <c r="R949" s="2" t="inlineStr">
        <is>
          <t>Revlummer</t>
        </is>
      </c>
      <c r="S949">
        <f>HYPERLINK("https://klasma.github.io/Logging_2283/artfynd/A 26253-2019 artfynd.xlsx", "A 26253-2019")</f>
        <v/>
      </c>
      <c r="T949">
        <f>HYPERLINK("https://klasma.github.io/Logging_2283/kartor/A 26253-2019 karta.png", "A 26253-2019")</f>
        <v/>
      </c>
      <c r="V949">
        <f>HYPERLINK("https://klasma.github.io/Logging_2283/klagomål/A 26253-2019 FSC-klagomål.docx", "A 26253-2019")</f>
        <v/>
      </c>
      <c r="W949">
        <f>HYPERLINK("https://klasma.github.io/Logging_2283/klagomålsmail/A 26253-2019 FSC-klagomål mail.docx", "A 26253-2019")</f>
        <v/>
      </c>
      <c r="X949">
        <f>HYPERLINK("https://klasma.github.io/Logging_2283/tillsyn/A 26253-2019 tillsynsbegäran.docx", "A 26253-2019")</f>
        <v/>
      </c>
      <c r="Y949">
        <f>HYPERLINK("https://klasma.github.io/Logging_2283/tillsynsmail/A 26253-2019 tillsynsbegäran mail.docx", "A 26253-2019")</f>
        <v/>
      </c>
    </row>
    <row r="950" ht="15" customHeight="1">
      <c r="A950" t="inlineStr">
        <is>
          <t>A 27216-2019</t>
        </is>
      </c>
      <c r="B950" s="1" t="n">
        <v>43614</v>
      </c>
      <c r="C950" s="1" t="n">
        <v>45657</v>
      </c>
      <c r="D950" t="inlineStr">
        <is>
          <t>VÄSTERNORRLANDS LÄN</t>
        </is>
      </c>
      <c r="E950" t="inlineStr">
        <is>
          <t>SUNDSVALL</t>
        </is>
      </c>
      <c r="G950" t="n">
        <v>3.7</v>
      </c>
      <c r="H950" t="n">
        <v>1</v>
      </c>
      <c r="I950" t="n">
        <v>0</v>
      </c>
      <c r="J950" t="n">
        <v>0</v>
      </c>
      <c r="K950" t="n">
        <v>0</v>
      </c>
      <c r="L950" t="n">
        <v>0</v>
      </c>
      <c r="M950" t="n">
        <v>0</v>
      </c>
      <c r="N950" t="n">
        <v>0</v>
      </c>
      <c r="O950" t="n">
        <v>0</v>
      </c>
      <c r="P950" t="n">
        <v>0</v>
      </c>
      <c r="Q950" t="n">
        <v>1</v>
      </c>
      <c r="R950" s="2" t="inlineStr">
        <is>
          <t>Blåsippa</t>
        </is>
      </c>
      <c r="S950">
        <f>HYPERLINK("https://klasma.github.io/Logging_2281/artfynd/A 27216-2019 artfynd.xlsx", "A 27216-2019")</f>
        <v/>
      </c>
      <c r="T950">
        <f>HYPERLINK("https://klasma.github.io/Logging_2281/kartor/A 27216-2019 karta.png", "A 27216-2019")</f>
        <v/>
      </c>
      <c r="V950">
        <f>HYPERLINK("https://klasma.github.io/Logging_2281/klagomål/A 27216-2019 FSC-klagomål.docx", "A 27216-2019")</f>
        <v/>
      </c>
      <c r="W950">
        <f>HYPERLINK("https://klasma.github.io/Logging_2281/klagomålsmail/A 27216-2019 FSC-klagomål mail.docx", "A 27216-2019")</f>
        <v/>
      </c>
      <c r="X950">
        <f>HYPERLINK("https://klasma.github.io/Logging_2281/tillsyn/A 27216-2019 tillsynsbegäran.docx", "A 27216-2019")</f>
        <v/>
      </c>
      <c r="Y950">
        <f>HYPERLINK("https://klasma.github.io/Logging_2281/tillsynsmail/A 27216-2019 tillsynsbegäran mail.docx", "A 27216-2019")</f>
        <v/>
      </c>
    </row>
    <row r="951" ht="15" customHeight="1">
      <c r="A951" t="inlineStr">
        <is>
          <t>A 28600-2019</t>
        </is>
      </c>
      <c r="B951" s="1" t="n">
        <v>43626</v>
      </c>
      <c r="C951" s="1" t="n">
        <v>45657</v>
      </c>
      <c r="D951" t="inlineStr">
        <is>
          <t>VÄSTERNORRLANDS LÄN</t>
        </is>
      </c>
      <c r="E951" t="inlineStr">
        <is>
          <t>SOLLEFTEÅ</t>
        </is>
      </c>
      <c r="F951" t="inlineStr">
        <is>
          <t>SCA</t>
        </is>
      </c>
      <c r="G951" t="n">
        <v>5.9</v>
      </c>
      <c r="H951" t="n">
        <v>0</v>
      </c>
      <c r="I951" t="n">
        <v>0</v>
      </c>
      <c r="J951" t="n">
        <v>1</v>
      </c>
      <c r="K951" t="n">
        <v>0</v>
      </c>
      <c r="L951" t="n">
        <v>0</v>
      </c>
      <c r="M951" t="n">
        <v>0</v>
      </c>
      <c r="N951" t="n">
        <v>0</v>
      </c>
      <c r="O951" t="n">
        <v>1</v>
      </c>
      <c r="P951" t="n">
        <v>0</v>
      </c>
      <c r="Q951" t="n">
        <v>1</v>
      </c>
      <c r="R951" s="2" t="inlineStr">
        <is>
          <t>Tallriska</t>
        </is>
      </c>
      <c r="S951">
        <f>HYPERLINK("https://klasma.github.io/Logging_2283/artfynd/A 28600-2019 artfynd.xlsx", "A 28600-2019")</f>
        <v/>
      </c>
      <c r="T951">
        <f>HYPERLINK("https://klasma.github.io/Logging_2283/kartor/A 28600-2019 karta.png", "A 28600-2019")</f>
        <v/>
      </c>
      <c r="V951">
        <f>HYPERLINK("https://klasma.github.io/Logging_2283/klagomål/A 28600-2019 FSC-klagomål.docx", "A 28600-2019")</f>
        <v/>
      </c>
      <c r="W951">
        <f>HYPERLINK("https://klasma.github.io/Logging_2283/klagomålsmail/A 28600-2019 FSC-klagomål mail.docx", "A 28600-2019")</f>
        <v/>
      </c>
      <c r="X951">
        <f>HYPERLINK("https://klasma.github.io/Logging_2283/tillsyn/A 28600-2019 tillsynsbegäran.docx", "A 28600-2019")</f>
        <v/>
      </c>
      <c r="Y951">
        <f>HYPERLINK("https://klasma.github.io/Logging_2283/tillsynsmail/A 28600-2019 tillsynsbegäran mail.docx", "A 28600-2019")</f>
        <v/>
      </c>
    </row>
    <row r="952" ht="15" customHeight="1">
      <c r="A952" t="inlineStr">
        <is>
          <t>A 36982-2019</t>
        </is>
      </c>
      <c r="B952" s="1" t="n">
        <v>43676</v>
      </c>
      <c r="C952" s="1" t="n">
        <v>45657</v>
      </c>
      <c r="D952" t="inlineStr">
        <is>
          <t>VÄSTERNORRLANDS LÄN</t>
        </is>
      </c>
      <c r="E952" t="inlineStr">
        <is>
          <t>SOLLEFTEÅ</t>
        </is>
      </c>
      <c r="G952" t="n">
        <v>1.2</v>
      </c>
      <c r="H952" t="n">
        <v>0</v>
      </c>
      <c r="I952" t="n">
        <v>1</v>
      </c>
      <c r="J952" t="n">
        <v>0</v>
      </c>
      <c r="K952" t="n">
        <v>0</v>
      </c>
      <c r="L952" t="n">
        <v>0</v>
      </c>
      <c r="M952" t="n">
        <v>0</v>
      </c>
      <c r="N952" t="n">
        <v>0</v>
      </c>
      <c r="O952" t="n">
        <v>0</v>
      </c>
      <c r="P952" t="n">
        <v>0</v>
      </c>
      <c r="Q952" t="n">
        <v>1</v>
      </c>
      <c r="R952" s="2" t="inlineStr">
        <is>
          <t>Trådticka</t>
        </is>
      </c>
      <c r="S952">
        <f>HYPERLINK("https://klasma.github.io/Logging_2283/artfynd/A 36982-2019 artfynd.xlsx", "A 36982-2019")</f>
        <v/>
      </c>
      <c r="T952">
        <f>HYPERLINK("https://klasma.github.io/Logging_2283/kartor/A 36982-2019 karta.png", "A 36982-2019")</f>
        <v/>
      </c>
      <c r="V952">
        <f>HYPERLINK("https://klasma.github.io/Logging_2283/klagomål/A 36982-2019 FSC-klagomål.docx", "A 36982-2019")</f>
        <v/>
      </c>
      <c r="W952">
        <f>HYPERLINK("https://klasma.github.io/Logging_2283/klagomålsmail/A 36982-2019 FSC-klagomål mail.docx", "A 36982-2019")</f>
        <v/>
      </c>
      <c r="X952">
        <f>HYPERLINK("https://klasma.github.io/Logging_2283/tillsyn/A 36982-2019 tillsynsbegäran.docx", "A 36982-2019")</f>
        <v/>
      </c>
      <c r="Y952">
        <f>HYPERLINK("https://klasma.github.io/Logging_2283/tillsynsmail/A 36982-2019 tillsynsbegäran mail.docx", "A 36982-2019")</f>
        <v/>
      </c>
    </row>
    <row r="953" ht="15" customHeight="1">
      <c r="A953" t="inlineStr">
        <is>
          <t>A 38091-2019</t>
        </is>
      </c>
      <c r="B953" s="1" t="n">
        <v>43682</v>
      </c>
      <c r="C953" s="1" t="n">
        <v>45657</v>
      </c>
      <c r="D953" t="inlineStr">
        <is>
          <t>VÄSTERNORRLANDS LÄN</t>
        </is>
      </c>
      <c r="E953" t="inlineStr">
        <is>
          <t>SOLLEFTEÅ</t>
        </is>
      </c>
      <c r="F953" t="inlineStr">
        <is>
          <t>Holmen skog AB</t>
        </is>
      </c>
      <c r="G953" t="n">
        <v>4.7</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38091-2019 artfynd.xlsx", "A 38091-2019")</f>
        <v/>
      </c>
      <c r="T953">
        <f>HYPERLINK("https://klasma.github.io/Logging_2283/kartor/A 38091-2019 karta.png", "A 38091-2019")</f>
        <v/>
      </c>
      <c r="V953">
        <f>HYPERLINK("https://klasma.github.io/Logging_2283/klagomål/A 38091-2019 FSC-klagomål.docx", "A 38091-2019")</f>
        <v/>
      </c>
      <c r="W953">
        <f>HYPERLINK("https://klasma.github.io/Logging_2283/klagomålsmail/A 38091-2019 FSC-klagomål mail.docx", "A 38091-2019")</f>
        <v/>
      </c>
      <c r="X953">
        <f>HYPERLINK("https://klasma.github.io/Logging_2283/tillsyn/A 38091-2019 tillsynsbegäran.docx", "A 38091-2019")</f>
        <v/>
      </c>
      <c r="Y953">
        <f>HYPERLINK("https://klasma.github.io/Logging_2283/tillsynsmail/A 38091-2019 tillsynsbegäran mail.docx", "A 38091-2019")</f>
        <v/>
      </c>
      <c r="Z953">
        <f>HYPERLINK("https://klasma.github.io/Logging_2283/fåglar/A 38091-2019 prioriterade fågelarter.docx", "A 38091-2019")</f>
        <v/>
      </c>
    </row>
    <row r="954" ht="15" customHeight="1">
      <c r="A954" t="inlineStr">
        <is>
          <t>A 44607-2019</t>
        </is>
      </c>
      <c r="B954" s="1" t="n">
        <v>43711</v>
      </c>
      <c r="C954" s="1" t="n">
        <v>45657</v>
      </c>
      <c r="D954" t="inlineStr">
        <is>
          <t>VÄSTERNORRLANDS LÄN</t>
        </is>
      </c>
      <c r="E954" t="inlineStr">
        <is>
          <t>SUNDSVALL</t>
        </is>
      </c>
      <c r="G954" t="n">
        <v>1.6</v>
      </c>
      <c r="H954" t="n">
        <v>1</v>
      </c>
      <c r="I954" t="n">
        <v>0</v>
      </c>
      <c r="J954" t="n">
        <v>1</v>
      </c>
      <c r="K954" t="n">
        <v>0</v>
      </c>
      <c r="L954" t="n">
        <v>0</v>
      </c>
      <c r="M954" t="n">
        <v>0</v>
      </c>
      <c r="N954" t="n">
        <v>0</v>
      </c>
      <c r="O954" t="n">
        <v>1</v>
      </c>
      <c r="P954" t="n">
        <v>0</v>
      </c>
      <c r="Q954" t="n">
        <v>1</v>
      </c>
      <c r="R954" s="2" t="inlineStr">
        <is>
          <t>Järpe</t>
        </is>
      </c>
      <c r="S954">
        <f>HYPERLINK("https://klasma.github.io/Logging_2281/artfynd/A 44607-2019 artfynd.xlsx", "A 44607-2019")</f>
        <v/>
      </c>
      <c r="T954">
        <f>HYPERLINK("https://klasma.github.io/Logging_2281/kartor/A 44607-2019 karta.png", "A 44607-2019")</f>
        <v/>
      </c>
      <c r="V954">
        <f>HYPERLINK("https://klasma.github.io/Logging_2281/klagomål/A 44607-2019 FSC-klagomål.docx", "A 44607-2019")</f>
        <v/>
      </c>
      <c r="W954">
        <f>HYPERLINK("https://klasma.github.io/Logging_2281/klagomålsmail/A 44607-2019 FSC-klagomål mail.docx", "A 44607-2019")</f>
        <v/>
      </c>
      <c r="X954">
        <f>HYPERLINK("https://klasma.github.io/Logging_2281/tillsyn/A 44607-2019 tillsynsbegäran.docx", "A 44607-2019")</f>
        <v/>
      </c>
      <c r="Y954">
        <f>HYPERLINK("https://klasma.github.io/Logging_2281/tillsynsmail/A 44607-2019 tillsynsbegäran mail.docx", "A 44607-2019")</f>
        <v/>
      </c>
      <c r="Z954">
        <f>HYPERLINK("https://klasma.github.io/Logging_2281/fåglar/A 44607-2019 prioriterade fågelarter.docx", "A 44607-2019")</f>
        <v/>
      </c>
    </row>
    <row r="955" ht="15" customHeight="1">
      <c r="A955" t="inlineStr">
        <is>
          <t>A 44609-2019</t>
        </is>
      </c>
      <c r="B955" s="1" t="n">
        <v>43711</v>
      </c>
      <c r="C955" s="1" t="n">
        <v>45657</v>
      </c>
      <c r="D955" t="inlineStr">
        <is>
          <t>VÄSTERNORRLANDS LÄN</t>
        </is>
      </c>
      <c r="E955" t="inlineStr">
        <is>
          <t>SUNDSVALL</t>
        </is>
      </c>
      <c r="G955" t="n">
        <v>0.9</v>
      </c>
      <c r="H955" t="n">
        <v>1</v>
      </c>
      <c r="I955" t="n">
        <v>0</v>
      </c>
      <c r="J955" t="n">
        <v>0</v>
      </c>
      <c r="K955" t="n">
        <v>0</v>
      </c>
      <c r="L955" t="n">
        <v>0</v>
      </c>
      <c r="M955" t="n">
        <v>0</v>
      </c>
      <c r="N955" t="n">
        <v>0</v>
      </c>
      <c r="O955" t="n">
        <v>0</v>
      </c>
      <c r="P955" t="n">
        <v>0</v>
      </c>
      <c r="Q955" t="n">
        <v>1</v>
      </c>
      <c r="R955" s="2" t="inlineStr">
        <is>
          <t>Nattviol</t>
        </is>
      </c>
      <c r="S955">
        <f>HYPERLINK("https://klasma.github.io/Logging_2281/artfynd/A 44609-2019 artfynd.xlsx", "A 44609-2019")</f>
        <v/>
      </c>
      <c r="T955">
        <f>HYPERLINK("https://klasma.github.io/Logging_2281/kartor/A 44609-2019 karta.png", "A 44609-2019")</f>
        <v/>
      </c>
      <c r="V955">
        <f>HYPERLINK("https://klasma.github.io/Logging_2281/klagomål/A 44609-2019 FSC-klagomål.docx", "A 44609-2019")</f>
        <v/>
      </c>
      <c r="W955">
        <f>HYPERLINK("https://klasma.github.io/Logging_2281/klagomålsmail/A 44609-2019 FSC-klagomål mail.docx", "A 44609-2019")</f>
        <v/>
      </c>
      <c r="X955">
        <f>HYPERLINK("https://klasma.github.io/Logging_2281/tillsyn/A 44609-2019 tillsynsbegäran.docx", "A 44609-2019")</f>
        <v/>
      </c>
      <c r="Y955">
        <f>HYPERLINK("https://klasma.github.io/Logging_2281/tillsynsmail/A 44609-2019 tillsynsbegäran mail.docx", "A 44609-2019")</f>
        <v/>
      </c>
    </row>
    <row r="956" ht="15" customHeight="1">
      <c r="A956" t="inlineStr">
        <is>
          <t>A 44732-2019</t>
        </is>
      </c>
      <c r="B956" s="1" t="n">
        <v>43712</v>
      </c>
      <c r="C956" s="1" t="n">
        <v>45657</v>
      </c>
      <c r="D956" t="inlineStr">
        <is>
          <t>VÄSTERNORRLANDS LÄN</t>
        </is>
      </c>
      <c r="E956" t="inlineStr">
        <is>
          <t>ÖRNSKÖLDSVIK</t>
        </is>
      </c>
      <c r="F956" t="inlineStr">
        <is>
          <t>Holmen skog AB</t>
        </is>
      </c>
      <c r="G956" t="n">
        <v>0.5</v>
      </c>
      <c r="H956" t="n">
        <v>0</v>
      </c>
      <c r="I956" t="n">
        <v>0</v>
      </c>
      <c r="J956" t="n">
        <v>1</v>
      </c>
      <c r="K956" t="n">
        <v>0</v>
      </c>
      <c r="L956" t="n">
        <v>0</v>
      </c>
      <c r="M956" t="n">
        <v>0</v>
      </c>
      <c r="N956" t="n">
        <v>0</v>
      </c>
      <c r="O956" t="n">
        <v>1</v>
      </c>
      <c r="P956" t="n">
        <v>0</v>
      </c>
      <c r="Q956" t="n">
        <v>1</v>
      </c>
      <c r="R956" s="2" t="inlineStr">
        <is>
          <t>Ullticka</t>
        </is>
      </c>
      <c r="S956">
        <f>HYPERLINK("https://klasma.github.io/Logging_2284/artfynd/A 44732-2019 artfynd.xlsx", "A 44732-2019")</f>
        <v/>
      </c>
      <c r="T956">
        <f>HYPERLINK("https://klasma.github.io/Logging_2284/kartor/A 44732-2019 karta.png", "A 44732-2019")</f>
        <v/>
      </c>
      <c r="V956">
        <f>HYPERLINK("https://klasma.github.io/Logging_2284/klagomål/A 44732-2019 FSC-klagomål.docx", "A 44732-2019")</f>
        <v/>
      </c>
      <c r="W956">
        <f>HYPERLINK("https://klasma.github.io/Logging_2284/klagomålsmail/A 44732-2019 FSC-klagomål mail.docx", "A 44732-2019")</f>
        <v/>
      </c>
      <c r="X956">
        <f>HYPERLINK("https://klasma.github.io/Logging_2284/tillsyn/A 44732-2019 tillsynsbegäran.docx", "A 44732-2019")</f>
        <v/>
      </c>
      <c r="Y956">
        <f>HYPERLINK("https://klasma.github.io/Logging_2284/tillsynsmail/A 44732-2019 tillsynsbegäran mail.docx", "A 44732-2019")</f>
        <v/>
      </c>
    </row>
    <row r="957" ht="15" customHeight="1">
      <c r="A957" t="inlineStr">
        <is>
          <t>A 51669-2019</t>
        </is>
      </c>
      <c r="B957" s="1" t="n">
        <v>43740</v>
      </c>
      <c r="C957" s="1" t="n">
        <v>45657</v>
      </c>
      <c r="D957" t="inlineStr">
        <is>
          <t>VÄSTERNORRLANDS LÄN</t>
        </is>
      </c>
      <c r="E957" t="inlineStr">
        <is>
          <t>SOLLEFTEÅ</t>
        </is>
      </c>
      <c r="F957" t="inlineStr">
        <is>
          <t>SCA</t>
        </is>
      </c>
      <c r="G957" t="n">
        <v>3.6</v>
      </c>
      <c r="H957" t="n">
        <v>0</v>
      </c>
      <c r="I957" t="n">
        <v>0</v>
      </c>
      <c r="J957" t="n">
        <v>1</v>
      </c>
      <c r="K957" t="n">
        <v>0</v>
      </c>
      <c r="L957" t="n">
        <v>0</v>
      </c>
      <c r="M957" t="n">
        <v>0</v>
      </c>
      <c r="N957" t="n">
        <v>0</v>
      </c>
      <c r="O957" t="n">
        <v>1</v>
      </c>
      <c r="P957" t="n">
        <v>0</v>
      </c>
      <c r="Q957" t="n">
        <v>1</v>
      </c>
      <c r="R957" s="2" t="inlineStr">
        <is>
          <t>Rosenticka</t>
        </is>
      </c>
      <c r="S957">
        <f>HYPERLINK("https://klasma.github.io/Logging_2283/artfynd/A 51669-2019 artfynd.xlsx", "A 51669-2019")</f>
        <v/>
      </c>
      <c r="T957">
        <f>HYPERLINK("https://klasma.github.io/Logging_2283/kartor/A 51669-2019 karta.png", "A 51669-2019")</f>
        <v/>
      </c>
      <c r="V957">
        <f>HYPERLINK("https://klasma.github.io/Logging_2283/klagomål/A 51669-2019 FSC-klagomål.docx", "A 51669-2019")</f>
        <v/>
      </c>
      <c r="W957">
        <f>HYPERLINK("https://klasma.github.io/Logging_2283/klagomålsmail/A 51669-2019 FSC-klagomål mail.docx", "A 51669-2019")</f>
        <v/>
      </c>
      <c r="X957">
        <f>HYPERLINK("https://klasma.github.io/Logging_2283/tillsyn/A 51669-2019 tillsynsbegäran.docx", "A 51669-2019")</f>
        <v/>
      </c>
      <c r="Y957">
        <f>HYPERLINK("https://klasma.github.io/Logging_2283/tillsynsmail/A 51669-2019 tillsynsbegäran mail.docx", "A 51669-2019")</f>
        <v/>
      </c>
    </row>
    <row r="958" ht="15" customHeight="1">
      <c r="A958" t="inlineStr">
        <is>
          <t>A 54148-2019</t>
        </is>
      </c>
      <c r="B958" s="1" t="n">
        <v>43753</v>
      </c>
      <c r="C958" s="1" t="n">
        <v>45657</v>
      </c>
      <c r="D958" t="inlineStr">
        <is>
          <t>VÄSTERNORRLANDS LÄN</t>
        </is>
      </c>
      <c r="E958" t="inlineStr">
        <is>
          <t>ÖRNSKÖLDSVIK</t>
        </is>
      </c>
      <c r="F958" t="inlineStr">
        <is>
          <t>Holmen skog AB</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HYPERLINK("https://klasma.github.io/Logging_2284/artfynd/A 54148-2019 artfynd.xlsx", "A 54148-2019")</f>
        <v/>
      </c>
      <c r="T958">
        <f>HYPERLINK("https://klasma.github.io/Logging_2284/kartor/A 54148-2019 karta.png", "A 54148-2019")</f>
        <v/>
      </c>
      <c r="V958">
        <f>HYPERLINK("https://klasma.github.io/Logging_2284/klagomål/A 54148-2019 FSC-klagomål.docx", "A 54148-2019")</f>
        <v/>
      </c>
      <c r="W958">
        <f>HYPERLINK("https://klasma.github.io/Logging_2284/klagomålsmail/A 54148-2019 FSC-klagomål mail.docx", "A 54148-2019")</f>
        <v/>
      </c>
      <c r="X958">
        <f>HYPERLINK("https://klasma.github.io/Logging_2284/tillsyn/A 54148-2019 tillsynsbegäran.docx", "A 54148-2019")</f>
        <v/>
      </c>
      <c r="Y958">
        <f>HYPERLINK("https://klasma.github.io/Logging_2284/tillsynsmail/A 54148-2019 tillsynsbegäran mail.docx", "A 54148-2019")</f>
        <v/>
      </c>
    </row>
    <row r="959" ht="15" customHeight="1">
      <c r="A959" t="inlineStr">
        <is>
          <t>A 55307-2019</t>
        </is>
      </c>
      <c r="B959" s="1" t="n">
        <v>43756</v>
      </c>
      <c r="C959" s="1" t="n">
        <v>45657</v>
      </c>
      <c r="D959" t="inlineStr">
        <is>
          <t>VÄSTERNORRLANDS LÄN</t>
        </is>
      </c>
      <c r="E959" t="inlineStr">
        <is>
          <t>ÖRNSKÖLDSVIK</t>
        </is>
      </c>
      <c r="F959" t="inlineStr">
        <is>
          <t>Holmen skog AB</t>
        </is>
      </c>
      <c r="G959" t="n">
        <v>3.1</v>
      </c>
      <c r="H959" t="n">
        <v>1</v>
      </c>
      <c r="I959" t="n">
        <v>0</v>
      </c>
      <c r="J959" t="n">
        <v>1</v>
      </c>
      <c r="K959" t="n">
        <v>0</v>
      </c>
      <c r="L959" t="n">
        <v>0</v>
      </c>
      <c r="M959" t="n">
        <v>0</v>
      </c>
      <c r="N959" t="n">
        <v>0</v>
      </c>
      <c r="O959" t="n">
        <v>1</v>
      </c>
      <c r="P959" t="n">
        <v>0</v>
      </c>
      <c r="Q959" t="n">
        <v>1</v>
      </c>
      <c r="R959" s="2" t="inlineStr">
        <is>
          <t>Kungsörn</t>
        </is>
      </c>
      <c r="S959">
        <f>HYPERLINK("https://klasma.github.io/Logging_2284/artfynd/A 55307-2019 artfynd.xlsx", "A 55307-2019")</f>
        <v/>
      </c>
      <c r="T959">
        <f>HYPERLINK("https://klasma.github.io/Logging_2284/kartor/A 55307-2019 karta.png", "A 55307-2019")</f>
        <v/>
      </c>
      <c r="V959">
        <f>HYPERLINK("https://klasma.github.io/Logging_2284/klagomål/A 55307-2019 FSC-klagomål.docx", "A 55307-2019")</f>
        <v/>
      </c>
      <c r="W959">
        <f>HYPERLINK("https://klasma.github.io/Logging_2284/klagomålsmail/A 55307-2019 FSC-klagomål mail.docx", "A 55307-2019")</f>
        <v/>
      </c>
      <c r="X959">
        <f>HYPERLINK("https://klasma.github.io/Logging_2284/tillsyn/A 55307-2019 tillsynsbegäran.docx", "A 55307-2019")</f>
        <v/>
      </c>
      <c r="Y959">
        <f>HYPERLINK("https://klasma.github.io/Logging_2284/tillsynsmail/A 55307-2019 tillsynsbegäran mail.docx", "A 55307-2019")</f>
        <v/>
      </c>
      <c r="Z959">
        <f>HYPERLINK("https://klasma.github.io/Logging_2284/fåglar/A 55307-2019 prioriterade fågelarter.docx", "A 55307-2019")</f>
        <v/>
      </c>
    </row>
    <row r="960" ht="15" customHeight="1">
      <c r="A960" t="inlineStr">
        <is>
          <t>A 59511-2019</t>
        </is>
      </c>
      <c r="B960" s="1" t="n">
        <v>43773</v>
      </c>
      <c r="C960" s="1" t="n">
        <v>45657</v>
      </c>
      <c r="D960" t="inlineStr">
        <is>
          <t>VÄSTERNORRLANDS LÄN</t>
        </is>
      </c>
      <c r="E960" t="inlineStr">
        <is>
          <t>SOLLEFTEÅ</t>
        </is>
      </c>
      <c r="F960" t="inlineStr">
        <is>
          <t>Holmen skog AB</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HYPERLINK("https://klasma.github.io/Logging_2283/artfynd/A 59511-2019 artfynd.xlsx", "A 59511-2019")</f>
        <v/>
      </c>
      <c r="T960">
        <f>HYPERLINK("https://klasma.github.io/Logging_2283/kartor/A 59511-2019 karta.png", "A 59511-2019")</f>
        <v/>
      </c>
      <c r="V960">
        <f>HYPERLINK("https://klasma.github.io/Logging_2283/klagomål/A 59511-2019 FSC-klagomål.docx", "A 59511-2019")</f>
        <v/>
      </c>
      <c r="W960">
        <f>HYPERLINK("https://klasma.github.io/Logging_2283/klagomålsmail/A 59511-2019 FSC-klagomål mail.docx", "A 59511-2019")</f>
        <v/>
      </c>
      <c r="X960">
        <f>HYPERLINK("https://klasma.github.io/Logging_2283/tillsyn/A 59511-2019 tillsynsbegäran.docx", "A 59511-2019")</f>
        <v/>
      </c>
      <c r="Y960">
        <f>HYPERLINK("https://klasma.github.io/Logging_2283/tillsynsmail/A 59511-2019 tillsynsbegäran mail.docx", "A 59511-2019")</f>
        <v/>
      </c>
    </row>
    <row r="961" ht="15" customHeight="1">
      <c r="A961" t="inlineStr">
        <is>
          <t>A 60489-2019</t>
        </is>
      </c>
      <c r="B961" s="1" t="n">
        <v>43780</v>
      </c>
      <c r="C961" s="1" t="n">
        <v>45657</v>
      </c>
      <c r="D961" t="inlineStr">
        <is>
          <t>VÄSTERNORRLANDS LÄN</t>
        </is>
      </c>
      <c r="E961" t="inlineStr">
        <is>
          <t>ÖRNSKÖLDSVIK</t>
        </is>
      </c>
      <c r="F961" t="inlineStr">
        <is>
          <t>Holmen skog AB</t>
        </is>
      </c>
      <c r="G961" t="n">
        <v>1.4</v>
      </c>
      <c r="H961" t="n">
        <v>0</v>
      </c>
      <c r="I961" t="n">
        <v>0</v>
      </c>
      <c r="J961" t="n">
        <v>1</v>
      </c>
      <c r="K961" t="n">
        <v>0</v>
      </c>
      <c r="L961" t="n">
        <v>0</v>
      </c>
      <c r="M961" t="n">
        <v>0</v>
      </c>
      <c r="N961" t="n">
        <v>0</v>
      </c>
      <c r="O961" t="n">
        <v>1</v>
      </c>
      <c r="P961" t="n">
        <v>0</v>
      </c>
      <c r="Q961" t="n">
        <v>1</v>
      </c>
      <c r="R961" s="2" t="inlineStr">
        <is>
          <t>Lunglav</t>
        </is>
      </c>
      <c r="S961">
        <f>HYPERLINK("https://klasma.github.io/Logging_2284/artfynd/A 60489-2019 artfynd.xlsx", "A 60489-2019")</f>
        <v/>
      </c>
      <c r="T961">
        <f>HYPERLINK("https://klasma.github.io/Logging_2284/kartor/A 60489-2019 karta.png", "A 60489-2019")</f>
        <v/>
      </c>
      <c r="V961">
        <f>HYPERLINK("https://klasma.github.io/Logging_2284/klagomål/A 60489-2019 FSC-klagomål.docx", "A 60489-2019")</f>
        <v/>
      </c>
      <c r="W961">
        <f>HYPERLINK("https://klasma.github.io/Logging_2284/klagomålsmail/A 60489-2019 FSC-klagomål mail.docx", "A 60489-2019")</f>
        <v/>
      </c>
      <c r="X961">
        <f>HYPERLINK("https://klasma.github.io/Logging_2284/tillsyn/A 60489-2019 tillsynsbegäran.docx", "A 60489-2019")</f>
        <v/>
      </c>
      <c r="Y961">
        <f>HYPERLINK("https://klasma.github.io/Logging_2284/tillsynsmail/A 60489-2019 tillsynsbegäran mail.docx", "A 60489-2019")</f>
        <v/>
      </c>
    </row>
    <row r="962" ht="15" customHeight="1">
      <c r="A962" t="inlineStr">
        <is>
          <t>A 66710-2019</t>
        </is>
      </c>
      <c r="B962" s="1" t="n">
        <v>43809</v>
      </c>
      <c r="C962" s="1" t="n">
        <v>45657</v>
      </c>
      <c r="D962" t="inlineStr">
        <is>
          <t>VÄSTERNORRLANDS LÄN</t>
        </is>
      </c>
      <c r="E962" t="inlineStr">
        <is>
          <t>TIMRÅ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HYPERLINK("https://klasma.github.io/Logging_2262/artfynd/A 66710-2019 artfynd.xlsx", "A 66710-2019")</f>
        <v/>
      </c>
      <c r="T962">
        <f>HYPERLINK("https://klasma.github.io/Logging_2262/kartor/A 66710-2019 karta.png", "A 66710-2019")</f>
        <v/>
      </c>
      <c r="V962">
        <f>HYPERLINK("https://klasma.github.io/Logging_2262/klagomål/A 66710-2019 FSC-klagomål.docx", "A 66710-2019")</f>
        <v/>
      </c>
      <c r="W962">
        <f>HYPERLINK("https://klasma.github.io/Logging_2262/klagomålsmail/A 66710-2019 FSC-klagomål mail.docx", "A 66710-2019")</f>
        <v/>
      </c>
      <c r="X962">
        <f>HYPERLINK("https://klasma.github.io/Logging_2262/tillsyn/A 66710-2019 tillsynsbegäran.docx", "A 66710-2019")</f>
        <v/>
      </c>
      <c r="Y962">
        <f>HYPERLINK("https://klasma.github.io/Logging_2262/tillsynsmail/A 66710-2019 tillsynsbegäran mail.docx", "A 66710-2019")</f>
        <v/>
      </c>
    </row>
    <row r="963" ht="15" customHeight="1">
      <c r="A963" t="inlineStr">
        <is>
          <t>A 970-2020</t>
        </is>
      </c>
      <c r="B963" s="1" t="n">
        <v>43839</v>
      </c>
      <c r="C963" s="1" t="n">
        <v>45657</v>
      </c>
      <c r="D963" t="inlineStr">
        <is>
          <t>VÄSTERNORRLANDS LÄN</t>
        </is>
      </c>
      <c r="E963" t="inlineStr">
        <is>
          <t>SUNDSVALL</t>
        </is>
      </c>
      <c r="F963" t="inlineStr">
        <is>
          <t>Kommuner</t>
        </is>
      </c>
      <c r="G963" t="n">
        <v>0.8</v>
      </c>
      <c r="H963" t="n">
        <v>1</v>
      </c>
      <c r="I963" t="n">
        <v>0</v>
      </c>
      <c r="J963" t="n">
        <v>1</v>
      </c>
      <c r="K963" t="n">
        <v>0</v>
      </c>
      <c r="L963" t="n">
        <v>0</v>
      </c>
      <c r="M963" t="n">
        <v>0</v>
      </c>
      <c r="N963" t="n">
        <v>0</v>
      </c>
      <c r="O963" t="n">
        <v>1</v>
      </c>
      <c r="P963" t="n">
        <v>0</v>
      </c>
      <c r="Q963" t="n">
        <v>1</v>
      </c>
      <c r="R963" s="2" t="inlineStr">
        <is>
          <t>Rosenfink</t>
        </is>
      </c>
      <c r="S963">
        <f>HYPERLINK("https://klasma.github.io/Logging_2281/artfynd/A 970-2020 artfynd.xlsx", "A 970-2020")</f>
        <v/>
      </c>
      <c r="T963">
        <f>HYPERLINK("https://klasma.github.io/Logging_2281/kartor/A 970-2020 karta.png", "A 970-2020")</f>
        <v/>
      </c>
      <c r="V963">
        <f>HYPERLINK("https://klasma.github.io/Logging_2281/klagomål/A 970-2020 FSC-klagomål.docx", "A 970-2020")</f>
        <v/>
      </c>
      <c r="W963">
        <f>HYPERLINK("https://klasma.github.io/Logging_2281/klagomålsmail/A 970-2020 FSC-klagomål mail.docx", "A 970-2020")</f>
        <v/>
      </c>
      <c r="X963">
        <f>HYPERLINK("https://klasma.github.io/Logging_2281/tillsyn/A 970-2020 tillsynsbegäran.docx", "A 970-2020")</f>
        <v/>
      </c>
      <c r="Y963">
        <f>HYPERLINK("https://klasma.github.io/Logging_2281/tillsynsmail/A 970-2020 tillsynsbegäran mail.docx", "A 970-2020")</f>
        <v/>
      </c>
      <c r="Z963">
        <f>HYPERLINK("https://klasma.github.io/Logging_2281/fåglar/A 970-2020 prioriterade fågelarter.docx", "A 970-2020")</f>
        <v/>
      </c>
    </row>
    <row r="964" ht="15" customHeight="1">
      <c r="A964" t="inlineStr">
        <is>
          <t>A 1431-2020</t>
        </is>
      </c>
      <c r="B964" s="1" t="n">
        <v>43843</v>
      </c>
      <c r="C964" s="1" t="n">
        <v>45657</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1431-2020 artfynd.xlsx", "A 1431-2020")</f>
        <v/>
      </c>
      <c r="T964">
        <f>HYPERLINK("https://klasma.github.io/Logging_2284/kartor/A 1431-2020 karta.png", "A 1431-2020")</f>
        <v/>
      </c>
      <c r="V964">
        <f>HYPERLINK("https://klasma.github.io/Logging_2284/klagomål/A 1431-2020 FSC-klagomål.docx", "A 1431-2020")</f>
        <v/>
      </c>
      <c r="W964">
        <f>HYPERLINK("https://klasma.github.io/Logging_2284/klagomålsmail/A 1431-2020 FSC-klagomål mail.docx", "A 1431-2020")</f>
        <v/>
      </c>
      <c r="X964">
        <f>HYPERLINK("https://klasma.github.io/Logging_2284/tillsyn/A 1431-2020 tillsynsbegäran.docx", "A 1431-2020")</f>
        <v/>
      </c>
      <c r="Y964">
        <f>HYPERLINK("https://klasma.github.io/Logging_2284/tillsynsmail/A 1431-2020 tillsynsbegäran mail.docx", "A 1431-2020")</f>
        <v/>
      </c>
    </row>
    <row r="965" ht="15" customHeight="1">
      <c r="A965" t="inlineStr">
        <is>
          <t>A 3002-2020</t>
        </is>
      </c>
      <c r="B965" s="1" t="n">
        <v>43850</v>
      </c>
      <c r="C965" s="1" t="n">
        <v>45657</v>
      </c>
      <c r="D965" t="inlineStr">
        <is>
          <t>VÄSTERNORRLANDS LÄN</t>
        </is>
      </c>
      <c r="E965" t="inlineStr">
        <is>
          <t>SUNDSVALL</t>
        </is>
      </c>
      <c r="G965" t="n">
        <v>14</v>
      </c>
      <c r="H965" t="n">
        <v>1</v>
      </c>
      <c r="I965" t="n">
        <v>0</v>
      </c>
      <c r="J965" t="n">
        <v>1</v>
      </c>
      <c r="K965" t="n">
        <v>0</v>
      </c>
      <c r="L965" t="n">
        <v>0</v>
      </c>
      <c r="M965" t="n">
        <v>0</v>
      </c>
      <c r="N965" t="n">
        <v>0</v>
      </c>
      <c r="O965" t="n">
        <v>1</v>
      </c>
      <c r="P965" t="n">
        <v>0</v>
      </c>
      <c r="Q965" t="n">
        <v>1</v>
      </c>
      <c r="R965" s="2" t="inlineStr">
        <is>
          <t>Rosenfink</t>
        </is>
      </c>
      <c r="S965">
        <f>HYPERLINK("https://klasma.github.io/Logging_2281/artfynd/A 3002-2020 artfynd.xlsx", "A 3002-2020")</f>
        <v/>
      </c>
      <c r="T965">
        <f>HYPERLINK("https://klasma.github.io/Logging_2281/kartor/A 3002-2020 karta.png", "A 3002-2020")</f>
        <v/>
      </c>
      <c r="V965">
        <f>HYPERLINK("https://klasma.github.io/Logging_2281/klagomål/A 3002-2020 FSC-klagomål.docx", "A 3002-2020")</f>
        <v/>
      </c>
      <c r="W965">
        <f>HYPERLINK("https://klasma.github.io/Logging_2281/klagomålsmail/A 3002-2020 FSC-klagomål mail.docx", "A 3002-2020")</f>
        <v/>
      </c>
      <c r="X965">
        <f>HYPERLINK("https://klasma.github.io/Logging_2281/tillsyn/A 3002-2020 tillsynsbegäran.docx", "A 3002-2020")</f>
        <v/>
      </c>
      <c r="Y965">
        <f>HYPERLINK("https://klasma.github.io/Logging_2281/tillsynsmail/A 3002-2020 tillsynsbegäran mail.docx", "A 3002-2020")</f>
        <v/>
      </c>
      <c r="Z965">
        <f>HYPERLINK("https://klasma.github.io/Logging_2281/fåglar/A 3002-2020 prioriterade fågelarter.docx", "A 3002-2020")</f>
        <v/>
      </c>
    </row>
    <row r="966" ht="15" customHeight="1">
      <c r="A966" t="inlineStr">
        <is>
          <t>A 3905-2020</t>
        </is>
      </c>
      <c r="B966" s="1" t="n">
        <v>43854</v>
      </c>
      <c r="C966" s="1" t="n">
        <v>45657</v>
      </c>
      <c r="D966" t="inlineStr">
        <is>
          <t>VÄSTERNORRLANDS LÄN</t>
        </is>
      </c>
      <c r="E966" t="inlineStr">
        <is>
          <t>ÖRNSKÖLDSVIK</t>
        </is>
      </c>
      <c r="F966" t="inlineStr">
        <is>
          <t>Holmen skog AB</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HYPERLINK("https://klasma.github.io/Logging_2284/artfynd/A 3905-2020 artfynd.xlsx", "A 3905-2020")</f>
        <v/>
      </c>
      <c r="T966">
        <f>HYPERLINK("https://klasma.github.io/Logging_2284/kartor/A 3905-2020 karta.png", "A 3905-2020")</f>
        <v/>
      </c>
      <c r="V966">
        <f>HYPERLINK("https://klasma.github.io/Logging_2284/klagomål/A 3905-2020 FSC-klagomål.docx", "A 3905-2020")</f>
        <v/>
      </c>
      <c r="W966">
        <f>HYPERLINK("https://klasma.github.io/Logging_2284/klagomålsmail/A 3905-2020 FSC-klagomål mail.docx", "A 3905-2020")</f>
        <v/>
      </c>
      <c r="X966">
        <f>HYPERLINK("https://klasma.github.io/Logging_2284/tillsyn/A 3905-2020 tillsynsbegäran.docx", "A 3905-2020")</f>
        <v/>
      </c>
      <c r="Y966">
        <f>HYPERLINK("https://klasma.github.io/Logging_2284/tillsynsmail/A 3905-2020 tillsynsbegäran mail.docx", "A 3905-2020")</f>
        <v/>
      </c>
    </row>
    <row r="967" ht="15" customHeight="1">
      <c r="A967" t="inlineStr">
        <is>
          <t>A 6564-2020</t>
        </is>
      </c>
      <c r="B967" s="1" t="n">
        <v>43867</v>
      </c>
      <c r="C967" s="1" t="n">
        <v>45657</v>
      </c>
      <c r="D967" t="inlineStr">
        <is>
          <t>VÄSTERNORRLANDS LÄN</t>
        </is>
      </c>
      <c r="E967" t="inlineStr">
        <is>
          <t>ÅNGE</t>
        </is>
      </c>
      <c r="G967" t="n">
        <v>4.2</v>
      </c>
      <c r="H967" t="n">
        <v>1</v>
      </c>
      <c r="I967" t="n">
        <v>0</v>
      </c>
      <c r="J967" t="n">
        <v>0</v>
      </c>
      <c r="K967" t="n">
        <v>0</v>
      </c>
      <c r="L967" t="n">
        <v>0</v>
      </c>
      <c r="M967" t="n">
        <v>0</v>
      </c>
      <c r="N967" t="n">
        <v>0</v>
      </c>
      <c r="O967" t="n">
        <v>0</v>
      </c>
      <c r="P967" t="n">
        <v>0</v>
      </c>
      <c r="Q967" t="n">
        <v>1</v>
      </c>
      <c r="R967" s="2" t="inlineStr">
        <is>
          <t>Huggorm</t>
        </is>
      </c>
      <c r="S967">
        <f>HYPERLINK("https://klasma.github.io/Logging_2260/artfynd/A 6564-2020 artfynd.xlsx", "A 6564-2020")</f>
        <v/>
      </c>
      <c r="T967">
        <f>HYPERLINK("https://klasma.github.io/Logging_2260/kartor/A 6564-2020 karta.png", "A 6564-2020")</f>
        <v/>
      </c>
      <c r="V967">
        <f>HYPERLINK("https://klasma.github.io/Logging_2260/klagomål/A 6564-2020 FSC-klagomål.docx", "A 6564-2020")</f>
        <v/>
      </c>
      <c r="W967">
        <f>HYPERLINK("https://klasma.github.io/Logging_2260/klagomålsmail/A 6564-2020 FSC-klagomål mail.docx", "A 6564-2020")</f>
        <v/>
      </c>
      <c r="X967">
        <f>HYPERLINK("https://klasma.github.io/Logging_2260/tillsyn/A 6564-2020 tillsynsbegäran.docx", "A 6564-2020")</f>
        <v/>
      </c>
      <c r="Y967">
        <f>HYPERLINK("https://klasma.github.io/Logging_2260/tillsynsmail/A 6564-2020 tillsynsbegäran mail.docx", "A 6564-2020")</f>
        <v/>
      </c>
    </row>
    <row r="968" ht="15" customHeight="1">
      <c r="A968" t="inlineStr">
        <is>
          <t>A 7956-2020</t>
        </is>
      </c>
      <c r="B968" s="1" t="n">
        <v>43873</v>
      </c>
      <c r="C968" s="1" t="n">
        <v>45657</v>
      </c>
      <c r="D968" t="inlineStr">
        <is>
          <t>VÄSTERNORRLANDS LÄN</t>
        </is>
      </c>
      <c r="E968" t="inlineStr">
        <is>
          <t>SUNDSVALL</t>
        </is>
      </c>
      <c r="G968" t="n">
        <v>15.3</v>
      </c>
      <c r="H968" t="n">
        <v>0</v>
      </c>
      <c r="I968" t="n">
        <v>0</v>
      </c>
      <c r="J968" t="n">
        <v>1</v>
      </c>
      <c r="K968" t="n">
        <v>0</v>
      </c>
      <c r="L968" t="n">
        <v>0</v>
      </c>
      <c r="M968" t="n">
        <v>0</v>
      </c>
      <c r="N968" t="n">
        <v>0</v>
      </c>
      <c r="O968" t="n">
        <v>1</v>
      </c>
      <c r="P968" t="n">
        <v>0</v>
      </c>
      <c r="Q968" t="n">
        <v>1</v>
      </c>
      <c r="R968" s="2" t="inlineStr">
        <is>
          <t>Vedskivlav</t>
        </is>
      </c>
      <c r="S968">
        <f>HYPERLINK("https://klasma.github.io/Logging_2281/artfynd/A 7956-2020 artfynd.xlsx", "A 7956-2020")</f>
        <v/>
      </c>
      <c r="T968">
        <f>HYPERLINK("https://klasma.github.io/Logging_2281/kartor/A 7956-2020 karta.png", "A 7956-2020")</f>
        <v/>
      </c>
      <c r="V968">
        <f>HYPERLINK("https://klasma.github.io/Logging_2281/klagomål/A 7956-2020 FSC-klagomål.docx", "A 7956-2020")</f>
        <v/>
      </c>
      <c r="W968">
        <f>HYPERLINK("https://klasma.github.io/Logging_2281/klagomålsmail/A 7956-2020 FSC-klagomål mail.docx", "A 7956-2020")</f>
        <v/>
      </c>
      <c r="X968">
        <f>HYPERLINK("https://klasma.github.io/Logging_2281/tillsyn/A 7956-2020 tillsynsbegäran.docx", "A 7956-2020")</f>
        <v/>
      </c>
      <c r="Y968">
        <f>HYPERLINK("https://klasma.github.io/Logging_2281/tillsynsmail/A 7956-2020 tillsynsbegäran mail.docx", "A 7956-2020")</f>
        <v/>
      </c>
    </row>
    <row r="969" ht="15" customHeight="1">
      <c r="A969" t="inlineStr">
        <is>
          <t>A 9178-2020</t>
        </is>
      </c>
      <c r="B969" s="1" t="n">
        <v>43879</v>
      </c>
      <c r="C969" s="1" t="n">
        <v>45657</v>
      </c>
      <c r="D969" t="inlineStr">
        <is>
          <t>VÄSTERNORRLANDS LÄN</t>
        </is>
      </c>
      <c r="E969" t="inlineStr">
        <is>
          <t>SOLLEFTEÅ</t>
        </is>
      </c>
      <c r="G969" t="n">
        <v>5.3</v>
      </c>
      <c r="H969" t="n">
        <v>1</v>
      </c>
      <c r="I969" t="n">
        <v>0</v>
      </c>
      <c r="J969" t="n">
        <v>0</v>
      </c>
      <c r="K969" t="n">
        <v>0</v>
      </c>
      <c r="L969" t="n">
        <v>0</v>
      </c>
      <c r="M969" t="n">
        <v>0</v>
      </c>
      <c r="N969" t="n">
        <v>0</v>
      </c>
      <c r="O969" t="n">
        <v>0</v>
      </c>
      <c r="P969" t="n">
        <v>0</v>
      </c>
      <c r="Q969" t="n">
        <v>1</v>
      </c>
      <c r="R969" s="2" t="inlineStr">
        <is>
          <t>Fläcknycklar</t>
        </is>
      </c>
      <c r="S969">
        <f>HYPERLINK("https://klasma.github.io/Logging_2283/artfynd/A 9178-2020 artfynd.xlsx", "A 9178-2020")</f>
        <v/>
      </c>
      <c r="T969">
        <f>HYPERLINK("https://klasma.github.io/Logging_2283/kartor/A 9178-2020 karta.png", "A 9178-2020")</f>
        <v/>
      </c>
      <c r="V969">
        <f>HYPERLINK("https://klasma.github.io/Logging_2283/klagomål/A 9178-2020 FSC-klagomål.docx", "A 9178-2020")</f>
        <v/>
      </c>
      <c r="W969">
        <f>HYPERLINK("https://klasma.github.io/Logging_2283/klagomålsmail/A 9178-2020 FSC-klagomål mail.docx", "A 9178-2020")</f>
        <v/>
      </c>
      <c r="X969">
        <f>HYPERLINK("https://klasma.github.io/Logging_2283/tillsyn/A 9178-2020 tillsynsbegäran.docx", "A 9178-2020")</f>
        <v/>
      </c>
      <c r="Y969">
        <f>HYPERLINK("https://klasma.github.io/Logging_2283/tillsynsmail/A 9178-2020 tillsynsbegäran mail.docx", "A 9178-2020")</f>
        <v/>
      </c>
    </row>
    <row r="970" ht="15" customHeight="1">
      <c r="A970" t="inlineStr">
        <is>
          <t>A 12526-2020</t>
        </is>
      </c>
      <c r="B970" s="1" t="n">
        <v>43896</v>
      </c>
      <c r="C970" s="1" t="n">
        <v>45657</v>
      </c>
      <c r="D970" t="inlineStr">
        <is>
          <t>VÄSTERNORRLANDS LÄN</t>
        </is>
      </c>
      <c r="E970" t="inlineStr">
        <is>
          <t>SOLLEFTEÅ</t>
        </is>
      </c>
      <c r="F970" t="inlineStr">
        <is>
          <t>SCA</t>
        </is>
      </c>
      <c r="G970" t="n">
        <v>14.7</v>
      </c>
      <c r="H970" t="n">
        <v>1</v>
      </c>
      <c r="I970" t="n">
        <v>0</v>
      </c>
      <c r="J970" t="n">
        <v>1</v>
      </c>
      <c r="K970" t="n">
        <v>0</v>
      </c>
      <c r="L970" t="n">
        <v>0</v>
      </c>
      <c r="M970" t="n">
        <v>0</v>
      </c>
      <c r="N970" t="n">
        <v>0</v>
      </c>
      <c r="O970" t="n">
        <v>1</v>
      </c>
      <c r="P970" t="n">
        <v>0</v>
      </c>
      <c r="Q970" t="n">
        <v>1</v>
      </c>
      <c r="R970" s="2" t="inlineStr">
        <is>
          <t>Talltita</t>
        </is>
      </c>
      <c r="S970">
        <f>HYPERLINK("https://klasma.github.io/Logging_2283/artfynd/A 12526-2020 artfynd.xlsx", "A 12526-2020")</f>
        <v/>
      </c>
      <c r="T970">
        <f>HYPERLINK("https://klasma.github.io/Logging_2283/kartor/A 12526-2020 karta.png", "A 12526-2020")</f>
        <v/>
      </c>
      <c r="V970">
        <f>HYPERLINK("https://klasma.github.io/Logging_2283/klagomål/A 12526-2020 FSC-klagomål.docx", "A 12526-2020")</f>
        <v/>
      </c>
      <c r="W970">
        <f>HYPERLINK("https://klasma.github.io/Logging_2283/klagomålsmail/A 12526-2020 FSC-klagomål mail.docx", "A 12526-2020")</f>
        <v/>
      </c>
      <c r="X970">
        <f>HYPERLINK("https://klasma.github.io/Logging_2283/tillsyn/A 12526-2020 tillsynsbegäran.docx", "A 12526-2020")</f>
        <v/>
      </c>
      <c r="Y970">
        <f>HYPERLINK("https://klasma.github.io/Logging_2283/tillsynsmail/A 12526-2020 tillsynsbegäran mail.docx", "A 12526-2020")</f>
        <v/>
      </c>
      <c r="Z970">
        <f>HYPERLINK("https://klasma.github.io/Logging_2283/fåglar/A 12526-2020 prioriterade fågelarter.docx", "A 12526-2020")</f>
        <v/>
      </c>
    </row>
    <row r="971" ht="15" customHeight="1">
      <c r="A971" t="inlineStr">
        <is>
          <t>A 16648-2020</t>
        </is>
      </c>
      <c r="B971" s="1" t="n">
        <v>43920</v>
      </c>
      <c r="C971" s="1" t="n">
        <v>45657</v>
      </c>
      <c r="D971" t="inlineStr">
        <is>
          <t>VÄSTERNORRLANDS LÄN</t>
        </is>
      </c>
      <c r="E971" t="inlineStr">
        <is>
          <t>KRAMFORS</t>
        </is>
      </c>
      <c r="G971" t="n">
        <v>25.2</v>
      </c>
      <c r="H971" t="n">
        <v>1</v>
      </c>
      <c r="I971" t="n">
        <v>0</v>
      </c>
      <c r="J971" t="n">
        <v>0</v>
      </c>
      <c r="K971" t="n">
        <v>0</v>
      </c>
      <c r="L971" t="n">
        <v>0</v>
      </c>
      <c r="M971" t="n">
        <v>0</v>
      </c>
      <c r="N971" t="n">
        <v>0</v>
      </c>
      <c r="O971" t="n">
        <v>0</v>
      </c>
      <c r="P971" t="n">
        <v>0</v>
      </c>
      <c r="Q971" t="n">
        <v>1</v>
      </c>
      <c r="R971" s="2" t="inlineStr">
        <is>
          <t>Fläcknycklar</t>
        </is>
      </c>
      <c r="S971">
        <f>HYPERLINK("https://klasma.github.io/Logging_2282/artfynd/A 16648-2020 artfynd.xlsx", "A 16648-2020")</f>
        <v/>
      </c>
      <c r="T971">
        <f>HYPERLINK("https://klasma.github.io/Logging_2282/kartor/A 16648-2020 karta.png", "A 16648-2020")</f>
        <v/>
      </c>
      <c r="V971">
        <f>HYPERLINK("https://klasma.github.io/Logging_2282/klagomål/A 16648-2020 FSC-klagomål.docx", "A 16648-2020")</f>
        <v/>
      </c>
      <c r="W971">
        <f>HYPERLINK("https://klasma.github.io/Logging_2282/klagomålsmail/A 16648-2020 FSC-klagomål mail.docx", "A 16648-2020")</f>
        <v/>
      </c>
      <c r="X971">
        <f>HYPERLINK("https://klasma.github.io/Logging_2282/tillsyn/A 16648-2020 tillsynsbegäran.docx", "A 16648-2020")</f>
        <v/>
      </c>
      <c r="Y971">
        <f>HYPERLINK("https://klasma.github.io/Logging_2282/tillsynsmail/A 16648-2020 tillsynsbegäran mail.docx", "A 16648-2020")</f>
        <v/>
      </c>
    </row>
    <row r="972" ht="15" customHeight="1">
      <c r="A972" t="inlineStr">
        <is>
          <t>A 19166-2020</t>
        </is>
      </c>
      <c r="B972" s="1" t="n">
        <v>43936</v>
      </c>
      <c r="C972" s="1" t="n">
        <v>45657</v>
      </c>
      <c r="D972" t="inlineStr">
        <is>
          <t>VÄSTERNORRLANDS LÄN</t>
        </is>
      </c>
      <c r="E972" t="inlineStr">
        <is>
          <t>SOLLEFTEÅ</t>
        </is>
      </c>
      <c r="G972" t="n">
        <v>3</v>
      </c>
      <c r="H972" t="n">
        <v>0</v>
      </c>
      <c r="I972" t="n">
        <v>0</v>
      </c>
      <c r="J972" t="n">
        <v>1</v>
      </c>
      <c r="K972" t="n">
        <v>0</v>
      </c>
      <c r="L972" t="n">
        <v>0</v>
      </c>
      <c r="M972" t="n">
        <v>0</v>
      </c>
      <c r="N972" t="n">
        <v>0</v>
      </c>
      <c r="O972" t="n">
        <v>1</v>
      </c>
      <c r="P972" t="n">
        <v>0</v>
      </c>
      <c r="Q972" t="n">
        <v>1</v>
      </c>
      <c r="R972" s="2" t="inlineStr">
        <is>
          <t>Garnlav</t>
        </is>
      </c>
      <c r="S972">
        <f>HYPERLINK("https://klasma.github.io/Logging_2283/artfynd/A 19166-2020 artfynd.xlsx", "A 19166-2020")</f>
        <v/>
      </c>
      <c r="T972">
        <f>HYPERLINK("https://klasma.github.io/Logging_2283/kartor/A 19166-2020 karta.png", "A 19166-2020")</f>
        <v/>
      </c>
      <c r="V972">
        <f>HYPERLINK("https://klasma.github.io/Logging_2283/klagomål/A 19166-2020 FSC-klagomål.docx", "A 19166-2020")</f>
        <v/>
      </c>
      <c r="W972">
        <f>HYPERLINK("https://klasma.github.io/Logging_2283/klagomålsmail/A 19166-2020 FSC-klagomål mail.docx", "A 19166-2020")</f>
        <v/>
      </c>
      <c r="X972">
        <f>HYPERLINK("https://klasma.github.io/Logging_2283/tillsyn/A 19166-2020 tillsynsbegäran.docx", "A 19166-2020")</f>
        <v/>
      </c>
      <c r="Y972">
        <f>HYPERLINK("https://klasma.github.io/Logging_2283/tillsynsmail/A 19166-2020 tillsynsbegäran mail.docx", "A 19166-2020")</f>
        <v/>
      </c>
    </row>
    <row r="973" ht="15" customHeight="1">
      <c r="A973" t="inlineStr">
        <is>
          <t>A 19275-2020</t>
        </is>
      </c>
      <c r="B973" s="1" t="n">
        <v>43937</v>
      </c>
      <c r="C973" s="1" t="n">
        <v>45657</v>
      </c>
      <c r="D973" t="inlineStr">
        <is>
          <t>VÄSTERNORRLANDS LÄN</t>
        </is>
      </c>
      <c r="E973" t="inlineStr">
        <is>
          <t>ÅNGE</t>
        </is>
      </c>
      <c r="G973" t="n">
        <v>1.8</v>
      </c>
      <c r="H973" t="n">
        <v>1</v>
      </c>
      <c r="I973" t="n">
        <v>0</v>
      </c>
      <c r="J973" t="n">
        <v>0</v>
      </c>
      <c r="K973" t="n">
        <v>0</v>
      </c>
      <c r="L973" t="n">
        <v>0</v>
      </c>
      <c r="M973" t="n">
        <v>0</v>
      </c>
      <c r="N973" t="n">
        <v>0</v>
      </c>
      <c r="O973" t="n">
        <v>0</v>
      </c>
      <c r="P973" t="n">
        <v>0</v>
      </c>
      <c r="Q973" t="n">
        <v>1</v>
      </c>
      <c r="R973" s="2" t="inlineStr">
        <is>
          <t>Käppkrokmossa</t>
        </is>
      </c>
      <c r="S973">
        <f>HYPERLINK("https://klasma.github.io/Logging_2260/artfynd/A 19275-2020 artfynd.xlsx", "A 19275-2020")</f>
        <v/>
      </c>
      <c r="T973">
        <f>HYPERLINK("https://klasma.github.io/Logging_2260/kartor/A 19275-2020 karta.png", "A 19275-2020")</f>
        <v/>
      </c>
      <c r="V973">
        <f>HYPERLINK("https://klasma.github.io/Logging_2260/klagomål/A 19275-2020 FSC-klagomål.docx", "A 19275-2020")</f>
        <v/>
      </c>
      <c r="W973">
        <f>HYPERLINK("https://klasma.github.io/Logging_2260/klagomålsmail/A 19275-2020 FSC-klagomål mail.docx", "A 19275-2020")</f>
        <v/>
      </c>
      <c r="X973">
        <f>HYPERLINK("https://klasma.github.io/Logging_2260/tillsyn/A 19275-2020 tillsynsbegäran.docx", "A 19275-2020")</f>
        <v/>
      </c>
      <c r="Y973">
        <f>HYPERLINK("https://klasma.github.io/Logging_2260/tillsynsmail/A 19275-2020 tillsynsbegäran mail.docx", "A 19275-2020")</f>
        <v/>
      </c>
    </row>
    <row r="974" ht="15" customHeight="1">
      <c r="A974" t="inlineStr">
        <is>
          <t>A 22692-2020</t>
        </is>
      </c>
      <c r="B974" s="1" t="n">
        <v>43963</v>
      </c>
      <c r="C974" s="1" t="n">
        <v>45657</v>
      </c>
      <c r="D974" t="inlineStr">
        <is>
          <t>VÄSTERNORRLANDS LÄN</t>
        </is>
      </c>
      <c r="E974" t="inlineStr">
        <is>
          <t>ÅNGE</t>
        </is>
      </c>
      <c r="F974" t="inlineStr">
        <is>
          <t>SCA</t>
        </is>
      </c>
      <c r="G974" t="n">
        <v>5.4</v>
      </c>
      <c r="H974" t="n">
        <v>0</v>
      </c>
      <c r="I974" t="n">
        <v>0</v>
      </c>
      <c r="J974" t="n">
        <v>1</v>
      </c>
      <c r="K974" t="n">
        <v>0</v>
      </c>
      <c r="L974" t="n">
        <v>0</v>
      </c>
      <c r="M974" t="n">
        <v>0</v>
      </c>
      <c r="N974" t="n">
        <v>0</v>
      </c>
      <c r="O974" t="n">
        <v>1</v>
      </c>
      <c r="P974" t="n">
        <v>0</v>
      </c>
      <c r="Q974" t="n">
        <v>1</v>
      </c>
      <c r="R974" s="2" t="inlineStr">
        <is>
          <t>Orange taggsvamp</t>
        </is>
      </c>
      <c r="S974">
        <f>HYPERLINK("https://klasma.github.io/Logging_2260/artfynd/A 22692-2020 artfynd.xlsx", "A 22692-2020")</f>
        <v/>
      </c>
      <c r="T974">
        <f>HYPERLINK("https://klasma.github.io/Logging_2260/kartor/A 22692-2020 karta.png", "A 22692-2020")</f>
        <v/>
      </c>
      <c r="V974">
        <f>HYPERLINK("https://klasma.github.io/Logging_2260/klagomål/A 22692-2020 FSC-klagomål.docx", "A 22692-2020")</f>
        <v/>
      </c>
      <c r="W974">
        <f>HYPERLINK("https://klasma.github.io/Logging_2260/klagomålsmail/A 22692-2020 FSC-klagomål mail.docx", "A 22692-2020")</f>
        <v/>
      </c>
      <c r="X974">
        <f>HYPERLINK("https://klasma.github.io/Logging_2260/tillsyn/A 22692-2020 tillsynsbegäran.docx", "A 22692-2020")</f>
        <v/>
      </c>
      <c r="Y974">
        <f>HYPERLINK("https://klasma.github.io/Logging_2260/tillsynsmail/A 22692-2020 tillsynsbegäran mail.docx", "A 22692-2020")</f>
        <v/>
      </c>
    </row>
    <row r="975" ht="15" customHeight="1">
      <c r="A975" t="inlineStr">
        <is>
          <t>A 24277-2020</t>
        </is>
      </c>
      <c r="B975" s="1" t="n">
        <v>43971</v>
      </c>
      <c r="C975" s="1" t="n">
        <v>45657</v>
      </c>
      <c r="D975" t="inlineStr">
        <is>
          <t>VÄSTERNORRLANDS LÄN</t>
        </is>
      </c>
      <c r="E975" t="inlineStr">
        <is>
          <t>TIMRÅ</t>
        </is>
      </c>
      <c r="G975" t="n">
        <v>6</v>
      </c>
      <c r="H975" t="n">
        <v>1</v>
      </c>
      <c r="I975" t="n">
        <v>0</v>
      </c>
      <c r="J975" t="n">
        <v>0</v>
      </c>
      <c r="K975" t="n">
        <v>1</v>
      </c>
      <c r="L975" t="n">
        <v>0</v>
      </c>
      <c r="M975" t="n">
        <v>0</v>
      </c>
      <c r="N975" t="n">
        <v>0</v>
      </c>
      <c r="O975" t="n">
        <v>1</v>
      </c>
      <c r="P975" t="n">
        <v>1</v>
      </c>
      <c r="Q975" t="n">
        <v>1</v>
      </c>
      <c r="R975" s="2" t="inlineStr">
        <is>
          <t>Bergviol</t>
        </is>
      </c>
      <c r="S975">
        <f>HYPERLINK("https://klasma.github.io/Logging_2262/artfynd/A 24277-2020 artfynd.xlsx", "A 24277-2020")</f>
        <v/>
      </c>
      <c r="T975">
        <f>HYPERLINK("https://klasma.github.io/Logging_2262/kartor/A 24277-2020 karta.png", "A 24277-2020")</f>
        <v/>
      </c>
      <c r="V975">
        <f>HYPERLINK("https://klasma.github.io/Logging_2262/klagomål/A 24277-2020 FSC-klagomål.docx", "A 24277-2020")</f>
        <v/>
      </c>
      <c r="W975">
        <f>HYPERLINK("https://klasma.github.io/Logging_2262/klagomålsmail/A 24277-2020 FSC-klagomål mail.docx", "A 24277-2020")</f>
        <v/>
      </c>
      <c r="X975">
        <f>HYPERLINK("https://klasma.github.io/Logging_2262/tillsyn/A 24277-2020 tillsynsbegäran.docx", "A 24277-2020")</f>
        <v/>
      </c>
      <c r="Y975">
        <f>HYPERLINK("https://klasma.github.io/Logging_2262/tillsynsmail/A 24277-2020 tillsynsbegäran mail.docx", "A 24277-2020")</f>
        <v/>
      </c>
    </row>
    <row r="976" ht="15" customHeight="1">
      <c r="A976" t="inlineStr">
        <is>
          <t>A 24641-2020</t>
        </is>
      </c>
      <c r="B976" s="1" t="n">
        <v>43977</v>
      </c>
      <c r="C976" s="1" t="n">
        <v>45657</v>
      </c>
      <c r="D976" t="inlineStr">
        <is>
          <t>VÄSTERNORRLANDS LÄN</t>
        </is>
      </c>
      <c r="E976" t="inlineStr">
        <is>
          <t>SOLLEFTEÅ</t>
        </is>
      </c>
      <c r="F976" t="inlineStr">
        <is>
          <t>SCA</t>
        </is>
      </c>
      <c r="G976" t="n">
        <v>3.9</v>
      </c>
      <c r="H976" t="n">
        <v>1</v>
      </c>
      <c r="I976" t="n">
        <v>0</v>
      </c>
      <c r="J976" t="n">
        <v>0</v>
      </c>
      <c r="K976" t="n">
        <v>1</v>
      </c>
      <c r="L976" t="n">
        <v>0</v>
      </c>
      <c r="M976" t="n">
        <v>0</v>
      </c>
      <c r="N976" t="n">
        <v>0</v>
      </c>
      <c r="O976" t="n">
        <v>1</v>
      </c>
      <c r="P976" t="n">
        <v>1</v>
      </c>
      <c r="Q976" t="n">
        <v>1</v>
      </c>
      <c r="R976" s="2" t="inlineStr">
        <is>
          <t>Knärot</t>
        </is>
      </c>
      <c r="S976">
        <f>HYPERLINK("https://klasma.github.io/Logging_2283/artfynd/A 24641-2020 artfynd.xlsx", "A 24641-2020")</f>
        <v/>
      </c>
      <c r="T976">
        <f>HYPERLINK("https://klasma.github.io/Logging_2283/kartor/A 24641-2020 karta.png", "A 24641-2020")</f>
        <v/>
      </c>
      <c r="U976">
        <f>HYPERLINK("https://klasma.github.io/Logging_2283/knärot/A 24641-2020 karta knärot.png", "A 24641-2020")</f>
        <v/>
      </c>
      <c r="V976">
        <f>HYPERLINK("https://klasma.github.io/Logging_2283/klagomål/A 24641-2020 FSC-klagomål.docx", "A 24641-2020")</f>
        <v/>
      </c>
      <c r="W976">
        <f>HYPERLINK("https://klasma.github.io/Logging_2283/klagomålsmail/A 24641-2020 FSC-klagomål mail.docx", "A 24641-2020")</f>
        <v/>
      </c>
      <c r="X976">
        <f>HYPERLINK("https://klasma.github.io/Logging_2283/tillsyn/A 24641-2020 tillsynsbegäran.docx", "A 24641-2020")</f>
        <v/>
      </c>
      <c r="Y976">
        <f>HYPERLINK("https://klasma.github.io/Logging_2283/tillsynsmail/A 24641-2020 tillsynsbegäran mail.docx", "A 24641-2020")</f>
        <v/>
      </c>
    </row>
    <row r="977" ht="15" customHeight="1">
      <c r="A977" t="inlineStr">
        <is>
          <t>A 27177-2020</t>
        </is>
      </c>
      <c r="B977" s="1" t="n">
        <v>43991</v>
      </c>
      <c r="C977" s="1" t="n">
        <v>45657</v>
      </c>
      <c r="D977" t="inlineStr">
        <is>
          <t>VÄSTERNORRLANDS LÄN</t>
        </is>
      </c>
      <c r="E977" t="inlineStr">
        <is>
          <t>SOLLEFTEÅ</t>
        </is>
      </c>
      <c r="F977" t="inlineStr">
        <is>
          <t>Holmen skog AB</t>
        </is>
      </c>
      <c r="G977" t="n">
        <v>0.8</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27177-2020 artfynd.xlsx", "A 27177-2020")</f>
        <v/>
      </c>
      <c r="T977">
        <f>HYPERLINK("https://klasma.github.io/Logging_2283/kartor/A 27177-2020 karta.png", "A 27177-2020")</f>
        <v/>
      </c>
      <c r="U977">
        <f>HYPERLINK("https://klasma.github.io/Logging_2283/knärot/A 27177-2020 karta knärot.png", "A 27177-2020")</f>
        <v/>
      </c>
      <c r="V977">
        <f>HYPERLINK("https://klasma.github.io/Logging_2283/klagomål/A 27177-2020 FSC-klagomål.docx", "A 27177-2020")</f>
        <v/>
      </c>
      <c r="W977">
        <f>HYPERLINK("https://klasma.github.io/Logging_2283/klagomålsmail/A 27177-2020 FSC-klagomål mail.docx", "A 27177-2020")</f>
        <v/>
      </c>
      <c r="X977">
        <f>HYPERLINK("https://klasma.github.io/Logging_2283/tillsyn/A 27177-2020 tillsynsbegäran.docx", "A 27177-2020")</f>
        <v/>
      </c>
      <c r="Y977">
        <f>HYPERLINK("https://klasma.github.io/Logging_2283/tillsynsmail/A 27177-2020 tillsynsbegäran mail.docx", "A 27177-2020")</f>
        <v/>
      </c>
      <c r="Z977">
        <f>HYPERLINK("https://klasma.github.io/Logging_2283/fåglar/A 27177-2020 prioriterade fågelarter.docx", "A 27177-2020")</f>
        <v/>
      </c>
    </row>
    <row r="978" ht="15" customHeight="1">
      <c r="A978" t="inlineStr">
        <is>
          <t>A 27879-2020</t>
        </is>
      </c>
      <c r="B978" s="1" t="n">
        <v>43994</v>
      </c>
      <c r="C978" s="1" t="n">
        <v>45657</v>
      </c>
      <c r="D978" t="inlineStr">
        <is>
          <t>VÄSTERNORRLANDS LÄN</t>
        </is>
      </c>
      <c r="E978" t="inlineStr">
        <is>
          <t>TIMRÅ</t>
        </is>
      </c>
      <c r="G978" t="n">
        <v>5.5</v>
      </c>
      <c r="H978" t="n">
        <v>1</v>
      </c>
      <c r="I978" t="n">
        <v>0</v>
      </c>
      <c r="J978" t="n">
        <v>0</v>
      </c>
      <c r="K978" t="n">
        <v>0</v>
      </c>
      <c r="L978" t="n">
        <v>0</v>
      </c>
      <c r="M978" t="n">
        <v>0</v>
      </c>
      <c r="N978" t="n">
        <v>0</v>
      </c>
      <c r="O978" t="n">
        <v>0</v>
      </c>
      <c r="P978" t="n">
        <v>0</v>
      </c>
      <c r="Q978" t="n">
        <v>1</v>
      </c>
      <c r="R978" s="2" t="inlineStr">
        <is>
          <t>Mindre vattensalamander</t>
        </is>
      </c>
      <c r="S978">
        <f>HYPERLINK("https://klasma.github.io/Logging_2262/artfynd/A 27879-2020 artfynd.xlsx", "A 27879-2020")</f>
        <v/>
      </c>
      <c r="T978">
        <f>HYPERLINK("https://klasma.github.io/Logging_2262/kartor/A 27879-2020 karta.png", "A 27879-2020")</f>
        <v/>
      </c>
      <c r="V978">
        <f>HYPERLINK("https://klasma.github.io/Logging_2262/klagomål/A 27879-2020 FSC-klagomål.docx", "A 27879-2020")</f>
        <v/>
      </c>
      <c r="W978">
        <f>HYPERLINK("https://klasma.github.io/Logging_2262/klagomålsmail/A 27879-2020 FSC-klagomål mail.docx", "A 27879-2020")</f>
        <v/>
      </c>
      <c r="X978">
        <f>HYPERLINK("https://klasma.github.io/Logging_2262/tillsyn/A 27879-2020 tillsynsbegäran.docx", "A 27879-2020")</f>
        <v/>
      </c>
      <c r="Y978">
        <f>HYPERLINK("https://klasma.github.io/Logging_2262/tillsynsmail/A 27879-2020 tillsynsbegäran mail.docx", "A 27879-2020")</f>
        <v/>
      </c>
    </row>
    <row r="979" ht="15" customHeight="1">
      <c r="A979" t="inlineStr">
        <is>
          <t>A 28764-2020</t>
        </is>
      </c>
      <c r="B979" s="1" t="n">
        <v>43999</v>
      </c>
      <c r="C979" s="1" t="n">
        <v>45657</v>
      </c>
      <c r="D979" t="inlineStr">
        <is>
          <t>VÄSTERNORRLANDS LÄN</t>
        </is>
      </c>
      <c r="E979" t="inlineStr">
        <is>
          <t>SUNDSVALL</t>
        </is>
      </c>
      <c r="F979" t="inlineStr">
        <is>
          <t>SCA</t>
        </is>
      </c>
      <c r="G979" t="n">
        <v>2.7</v>
      </c>
      <c r="H979" t="n">
        <v>1</v>
      </c>
      <c r="I979" t="n">
        <v>0</v>
      </c>
      <c r="J979" t="n">
        <v>1</v>
      </c>
      <c r="K979" t="n">
        <v>0</v>
      </c>
      <c r="L979" t="n">
        <v>0</v>
      </c>
      <c r="M979" t="n">
        <v>0</v>
      </c>
      <c r="N979" t="n">
        <v>0</v>
      </c>
      <c r="O979" t="n">
        <v>1</v>
      </c>
      <c r="P979" t="n">
        <v>0</v>
      </c>
      <c r="Q979" t="n">
        <v>1</v>
      </c>
      <c r="R979" s="2" t="inlineStr">
        <is>
          <t>Utter</t>
        </is>
      </c>
      <c r="S979">
        <f>HYPERLINK("https://klasma.github.io/Logging_2281/artfynd/A 28764-2020 artfynd.xlsx", "A 28764-2020")</f>
        <v/>
      </c>
      <c r="T979">
        <f>HYPERLINK("https://klasma.github.io/Logging_2281/kartor/A 28764-2020 karta.png", "A 28764-2020")</f>
        <v/>
      </c>
      <c r="V979">
        <f>HYPERLINK("https://klasma.github.io/Logging_2281/klagomål/A 28764-2020 FSC-klagomål.docx", "A 28764-2020")</f>
        <v/>
      </c>
      <c r="W979">
        <f>HYPERLINK("https://klasma.github.io/Logging_2281/klagomålsmail/A 28764-2020 FSC-klagomål mail.docx", "A 28764-2020")</f>
        <v/>
      </c>
      <c r="X979">
        <f>HYPERLINK("https://klasma.github.io/Logging_2281/tillsyn/A 28764-2020 tillsynsbegäran.docx", "A 28764-2020")</f>
        <v/>
      </c>
      <c r="Y979">
        <f>HYPERLINK("https://klasma.github.io/Logging_2281/tillsynsmail/A 28764-2020 tillsynsbegäran mail.docx", "A 28764-2020")</f>
        <v/>
      </c>
    </row>
    <row r="980" ht="15" customHeight="1">
      <c r="A980" t="inlineStr">
        <is>
          <t>A 32755-2020</t>
        </is>
      </c>
      <c r="B980" s="1" t="n">
        <v>44019</v>
      </c>
      <c r="C980" s="1" t="n">
        <v>45657</v>
      </c>
      <c r="D980" t="inlineStr">
        <is>
          <t>VÄSTERNORRLANDS LÄN</t>
        </is>
      </c>
      <c r="E980" t="inlineStr">
        <is>
          <t>ÅNGE</t>
        </is>
      </c>
      <c r="F980" t="inlineStr">
        <is>
          <t>SCA</t>
        </is>
      </c>
      <c r="G980" t="n">
        <v>6.1</v>
      </c>
      <c r="H980" t="n">
        <v>0</v>
      </c>
      <c r="I980" t="n">
        <v>0</v>
      </c>
      <c r="J980" t="n">
        <v>1</v>
      </c>
      <c r="K980" t="n">
        <v>0</v>
      </c>
      <c r="L980" t="n">
        <v>0</v>
      </c>
      <c r="M980" t="n">
        <v>0</v>
      </c>
      <c r="N980" t="n">
        <v>0</v>
      </c>
      <c r="O980" t="n">
        <v>1</v>
      </c>
      <c r="P980" t="n">
        <v>0</v>
      </c>
      <c r="Q980" t="n">
        <v>1</v>
      </c>
      <c r="R980" s="2" t="inlineStr">
        <is>
          <t>Ullticka</t>
        </is>
      </c>
      <c r="S980">
        <f>HYPERLINK("https://klasma.github.io/Logging_2260/artfynd/A 32755-2020 artfynd.xlsx", "A 32755-2020")</f>
        <v/>
      </c>
      <c r="T980">
        <f>HYPERLINK("https://klasma.github.io/Logging_2260/kartor/A 32755-2020 karta.png", "A 32755-2020")</f>
        <v/>
      </c>
      <c r="V980">
        <f>HYPERLINK("https://klasma.github.io/Logging_2260/klagomål/A 32755-2020 FSC-klagomål.docx", "A 32755-2020")</f>
        <v/>
      </c>
      <c r="W980">
        <f>HYPERLINK("https://klasma.github.io/Logging_2260/klagomålsmail/A 32755-2020 FSC-klagomål mail.docx", "A 32755-2020")</f>
        <v/>
      </c>
      <c r="X980">
        <f>HYPERLINK("https://klasma.github.io/Logging_2260/tillsyn/A 32755-2020 tillsynsbegäran.docx", "A 32755-2020")</f>
        <v/>
      </c>
      <c r="Y980">
        <f>HYPERLINK("https://klasma.github.io/Logging_2260/tillsynsmail/A 32755-2020 tillsynsbegäran mail.docx", "A 32755-2020")</f>
        <v/>
      </c>
    </row>
    <row r="981" ht="15" customHeight="1">
      <c r="A981" t="inlineStr">
        <is>
          <t>A 35967-2020</t>
        </is>
      </c>
      <c r="B981" s="1" t="n">
        <v>44047</v>
      </c>
      <c r="C981" s="1" t="n">
        <v>45657</v>
      </c>
      <c r="D981" t="inlineStr">
        <is>
          <t>VÄSTERNORRLANDS LÄN</t>
        </is>
      </c>
      <c r="E981" t="inlineStr">
        <is>
          <t>ÖRNSKÖLDSVIK</t>
        </is>
      </c>
      <c r="F981" t="inlineStr">
        <is>
          <t>Holmen skog AB</t>
        </is>
      </c>
      <c r="G981" t="n">
        <v>1.9</v>
      </c>
      <c r="H981" t="n">
        <v>0</v>
      </c>
      <c r="I981" t="n">
        <v>0</v>
      </c>
      <c r="J981" t="n">
        <v>1</v>
      </c>
      <c r="K981" t="n">
        <v>0</v>
      </c>
      <c r="L981" t="n">
        <v>0</v>
      </c>
      <c r="M981" t="n">
        <v>0</v>
      </c>
      <c r="N981" t="n">
        <v>0</v>
      </c>
      <c r="O981" t="n">
        <v>1</v>
      </c>
      <c r="P981" t="n">
        <v>0</v>
      </c>
      <c r="Q981" t="n">
        <v>1</v>
      </c>
      <c r="R981" s="2" t="inlineStr">
        <is>
          <t>Liten myrlejonslända</t>
        </is>
      </c>
      <c r="S981">
        <f>HYPERLINK("https://klasma.github.io/Logging_2284/artfynd/A 35967-2020 artfynd.xlsx", "A 35967-2020")</f>
        <v/>
      </c>
      <c r="T981">
        <f>HYPERLINK("https://klasma.github.io/Logging_2284/kartor/A 35967-2020 karta.png", "A 35967-2020")</f>
        <v/>
      </c>
      <c r="V981">
        <f>HYPERLINK("https://klasma.github.io/Logging_2284/klagomål/A 35967-2020 FSC-klagomål.docx", "A 35967-2020")</f>
        <v/>
      </c>
      <c r="W981">
        <f>HYPERLINK("https://klasma.github.io/Logging_2284/klagomålsmail/A 35967-2020 FSC-klagomål mail.docx", "A 35967-2020")</f>
        <v/>
      </c>
      <c r="X981">
        <f>HYPERLINK("https://klasma.github.io/Logging_2284/tillsyn/A 35967-2020 tillsynsbegäran.docx", "A 35967-2020")</f>
        <v/>
      </c>
      <c r="Y981">
        <f>HYPERLINK("https://klasma.github.io/Logging_2284/tillsynsmail/A 35967-2020 tillsynsbegäran mail.docx", "A 35967-2020")</f>
        <v/>
      </c>
    </row>
    <row r="982" ht="15" customHeight="1">
      <c r="A982" t="inlineStr">
        <is>
          <t>A 40407-2020</t>
        </is>
      </c>
      <c r="B982" s="1" t="n">
        <v>44068</v>
      </c>
      <c r="C982" s="1" t="n">
        <v>45657</v>
      </c>
      <c r="D982" t="inlineStr">
        <is>
          <t>VÄSTERNORRLANDS LÄN</t>
        </is>
      </c>
      <c r="E982" t="inlineStr">
        <is>
          <t>TIMRÅ</t>
        </is>
      </c>
      <c r="G982" t="n">
        <v>3.6</v>
      </c>
      <c r="H982" t="n">
        <v>0</v>
      </c>
      <c r="I982" t="n">
        <v>0</v>
      </c>
      <c r="J982" t="n">
        <v>1</v>
      </c>
      <c r="K982" t="n">
        <v>0</v>
      </c>
      <c r="L982" t="n">
        <v>0</v>
      </c>
      <c r="M982" t="n">
        <v>0</v>
      </c>
      <c r="N982" t="n">
        <v>0</v>
      </c>
      <c r="O982" t="n">
        <v>1</v>
      </c>
      <c r="P982" t="n">
        <v>0</v>
      </c>
      <c r="Q982" t="n">
        <v>1</v>
      </c>
      <c r="R982" s="2" t="inlineStr">
        <is>
          <t>Ullticka</t>
        </is>
      </c>
      <c r="S982">
        <f>HYPERLINK("https://klasma.github.io/Logging_2262/artfynd/A 40407-2020 artfynd.xlsx", "A 40407-2020")</f>
        <v/>
      </c>
      <c r="T982">
        <f>HYPERLINK("https://klasma.github.io/Logging_2262/kartor/A 40407-2020 karta.png", "A 40407-2020")</f>
        <v/>
      </c>
      <c r="V982">
        <f>HYPERLINK("https://klasma.github.io/Logging_2262/klagomål/A 40407-2020 FSC-klagomål.docx", "A 40407-2020")</f>
        <v/>
      </c>
      <c r="W982">
        <f>HYPERLINK("https://klasma.github.io/Logging_2262/klagomålsmail/A 40407-2020 FSC-klagomål mail.docx", "A 40407-2020")</f>
        <v/>
      </c>
      <c r="X982">
        <f>HYPERLINK("https://klasma.github.io/Logging_2262/tillsyn/A 40407-2020 tillsynsbegäran.docx", "A 40407-2020")</f>
        <v/>
      </c>
      <c r="Y982">
        <f>HYPERLINK("https://klasma.github.io/Logging_2262/tillsynsmail/A 40407-2020 tillsynsbegäran mail.docx", "A 40407-2020")</f>
        <v/>
      </c>
    </row>
    <row r="983" ht="15" customHeight="1">
      <c r="A983" t="inlineStr">
        <is>
          <t>A 40416-2020</t>
        </is>
      </c>
      <c r="B983" s="1" t="n">
        <v>44068</v>
      </c>
      <c r="C983" s="1" t="n">
        <v>45657</v>
      </c>
      <c r="D983" t="inlineStr">
        <is>
          <t>VÄSTERNORRLANDS LÄN</t>
        </is>
      </c>
      <c r="E983" t="inlineStr">
        <is>
          <t>ÅNGE</t>
        </is>
      </c>
      <c r="F983" t="inlineStr">
        <is>
          <t>SCA</t>
        </is>
      </c>
      <c r="G983" t="n">
        <v>7.7</v>
      </c>
      <c r="H983" t="n">
        <v>1</v>
      </c>
      <c r="I983" t="n">
        <v>0</v>
      </c>
      <c r="J983" t="n">
        <v>0</v>
      </c>
      <c r="K983" t="n">
        <v>1</v>
      </c>
      <c r="L983" t="n">
        <v>0</v>
      </c>
      <c r="M983" t="n">
        <v>0</v>
      </c>
      <c r="N983" t="n">
        <v>0</v>
      </c>
      <c r="O983" t="n">
        <v>1</v>
      </c>
      <c r="P983" t="n">
        <v>1</v>
      </c>
      <c r="Q983" t="n">
        <v>1</v>
      </c>
      <c r="R983" s="2" t="inlineStr">
        <is>
          <t>Knärot</t>
        </is>
      </c>
      <c r="S983">
        <f>HYPERLINK("https://klasma.github.io/Logging_2260/artfynd/A 40416-2020 artfynd.xlsx", "A 40416-2020")</f>
        <v/>
      </c>
      <c r="T983">
        <f>HYPERLINK("https://klasma.github.io/Logging_2260/kartor/A 40416-2020 karta.png", "A 40416-2020")</f>
        <v/>
      </c>
      <c r="U983">
        <f>HYPERLINK("https://klasma.github.io/Logging_2260/knärot/A 40416-2020 karta knärot.png", "A 40416-2020")</f>
        <v/>
      </c>
      <c r="V983">
        <f>HYPERLINK("https://klasma.github.io/Logging_2260/klagomål/A 40416-2020 FSC-klagomål.docx", "A 40416-2020")</f>
        <v/>
      </c>
      <c r="W983">
        <f>HYPERLINK("https://klasma.github.io/Logging_2260/klagomålsmail/A 40416-2020 FSC-klagomål mail.docx", "A 40416-2020")</f>
        <v/>
      </c>
      <c r="X983">
        <f>HYPERLINK("https://klasma.github.io/Logging_2260/tillsyn/A 40416-2020 tillsynsbegäran.docx", "A 40416-2020")</f>
        <v/>
      </c>
      <c r="Y983">
        <f>HYPERLINK("https://klasma.github.io/Logging_2260/tillsynsmail/A 40416-2020 tillsynsbegäran mail.docx", "A 40416-2020")</f>
        <v/>
      </c>
    </row>
    <row r="984" ht="15" customHeight="1">
      <c r="A984" t="inlineStr">
        <is>
          <t>A 41316-2020</t>
        </is>
      </c>
      <c r="B984" s="1" t="n">
        <v>44069</v>
      </c>
      <c r="C984" s="1" t="n">
        <v>45657</v>
      </c>
      <c r="D984" t="inlineStr">
        <is>
          <t>VÄSTERNORRLANDS LÄN</t>
        </is>
      </c>
      <c r="E984" t="inlineStr">
        <is>
          <t>ÖRNSKÖLDSVIK</t>
        </is>
      </c>
      <c r="F984" t="inlineStr">
        <is>
          <t>Kyrkan</t>
        </is>
      </c>
      <c r="G984" t="n">
        <v>12.3</v>
      </c>
      <c r="H984" t="n">
        <v>0</v>
      </c>
      <c r="I984" t="n">
        <v>1</v>
      </c>
      <c r="J984" t="n">
        <v>0</v>
      </c>
      <c r="K984" t="n">
        <v>0</v>
      </c>
      <c r="L984" t="n">
        <v>0</v>
      </c>
      <c r="M984" t="n">
        <v>0</v>
      </c>
      <c r="N984" t="n">
        <v>0</v>
      </c>
      <c r="O984" t="n">
        <v>0</v>
      </c>
      <c r="P984" t="n">
        <v>0</v>
      </c>
      <c r="Q984" t="n">
        <v>1</v>
      </c>
      <c r="R984" s="2" t="inlineStr">
        <is>
          <t>Skarp dropptaggsvamp</t>
        </is>
      </c>
      <c r="S984">
        <f>HYPERLINK("https://klasma.github.io/Logging_2284/artfynd/A 41316-2020 artfynd.xlsx", "A 41316-2020")</f>
        <v/>
      </c>
      <c r="T984">
        <f>HYPERLINK("https://klasma.github.io/Logging_2284/kartor/A 41316-2020 karta.png", "A 41316-2020")</f>
        <v/>
      </c>
      <c r="V984">
        <f>HYPERLINK("https://klasma.github.io/Logging_2284/klagomål/A 41316-2020 FSC-klagomål.docx", "A 41316-2020")</f>
        <v/>
      </c>
      <c r="W984">
        <f>HYPERLINK("https://klasma.github.io/Logging_2284/klagomålsmail/A 41316-2020 FSC-klagomål mail.docx", "A 41316-2020")</f>
        <v/>
      </c>
      <c r="X984">
        <f>HYPERLINK("https://klasma.github.io/Logging_2284/tillsyn/A 41316-2020 tillsynsbegäran.docx", "A 41316-2020")</f>
        <v/>
      </c>
      <c r="Y984">
        <f>HYPERLINK("https://klasma.github.io/Logging_2284/tillsynsmail/A 41316-2020 tillsynsbegäran mail.docx", "A 41316-2020")</f>
        <v/>
      </c>
    </row>
    <row r="985" ht="15" customHeight="1">
      <c r="A985" t="inlineStr">
        <is>
          <t>A 47840-2020</t>
        </is>
      </c>
      <c r="B985" s="1" t="n">
        <v>44098</v>
      </c>
      <c r="C985" s="1" t="n">
        <v>45657</v>
      </c>
      <c r="D985" t="inlineStr">
        <is>
          <t>VÄSTERNORRLANDS LÄN</t>
        </is>
      </c>
      <c r="E985" t="inlineStr">
        <is>
          <t>SOLLEFTEÅ</t>
        </is>
      </c>
      <c r="F985" t="inlineStr">
        <is>
          <t>SCA</t>
        </is>
      </c>
      <c r="G985" t="n">
        <v>9.699999999999999</v>
      </c>
      <c r="H985" t="n">
        <v>1</v>
      </c>
      <c r="I985" t="n">
        <v>0</v>
      </c>
      <c r="J985" t="n">
        <v>0</v>
      </c>
      <c r="K985" t="n">
        <v>1</v>
      </c>
      <c r="L985" t="n">
        <v>0</v>
      </c>
      <c r="M985" t="n">
        <v>0</v>
      </c>
      <c r="N985" t="n">
        <v>0</v>
      </c>
      <c r="O985" t="n">
        <v>1</v>
      </c>
      <c r="P985" t="n">
        <v>1</v>
      </c>
      <c r="Q985" t="n">
        <v>1</v>
      </c>
      <c r="R985" s="2" t="inlineStr">
        <is>
          <t>Knärot</t>
        </is>
      </c>
      <c r="S985">
        <f>HYPERLINK("https://klasma.github.io/Logging_2283/artfynd/A 47840-2020 artfynd.xlsx", "A 47840-2020")</f>
        <v/>
      </c>
      <c r="T985">
        <f>HYPERLINK("https://klasma.github.io/Logging_2283/kartor/A 47840-2020 karta.png", "A 47840-2020")</f>
        <v/>
      </c>
      <c r="U985">
        <f>HYPERLINK("https://klasma.github.io/Logging_2283/knärot/A 47840-2020 karta knärot.png", "A 47840-2020")</f>
        <v/>
      </c>
      <c r="V985">
        <f>HYPERLINK("https://klasma.github.io/Logging_2283/klagomål/A 47840-2020 FSC-klagomål.docx", "A 47840-2020")</f>
        <v/>
      </c>
      <c r="W985">
        <f>HYPERLINK("https://klasma.github.io/Logging_2283/klagomålsmail/A 47840-2020 FSC-klagomål mail.docx", "A 47840-2020")</f>
        <v/>
      </c>
      <c r="X985">
        <f>HYPERLINK("https://klasma.github.io/Logging_2283/tillsyn/A 47840-2020 tillsynsbegäran.docx", "A 47840-2020")</f>
        <v/>
      </c>
      <c r="Y985">
        <f>HYPERLINK("https://klasma.github.io/Logging_2283/tillsynsmail/A 47840-2020 tillsynsbegäran mail.docx", "A 47840-2020")</f>
        <v/>
      </c>
    </row>
    <row r="986" ht="15" customHeight="1">
      <c r="A986" t="inlineStr">
        <is>
          <t>A 50469-2020</t>
        </is>
      </c>
      <c r="B986" s="1" t="n">
        <v>44104</v>
      </c>
      <c r="C986" s="1" t="n">
        <v>45657</v>
      </c>
      <c r="D986" t="inlineStr">
        <is>
          <t>VÄSTERNORRLANDS LÄN</t>
        </is>
      </c>
      <c r="E986" t="inlineStr">
        <is>
          <t>SUNDSVALL</t>
        </is>
      </c>
      <c r="G986" t="n">
        <v>1.8</v>
      </c>
      <c r="H986" t="n">
        <v>1</v>
      </c>
      <c r="I986" t="n">
        <v>0</v>
      </c>
      <c r="J986" t="n">
        <v>1</v>
      </c>
      <c r="K986" t="n">
        <v>0</v>
      </c>
      <c r="L986" t="n">
        <v>0</v>
      </c>
      <c r="M986" t="n">
        <v>0</v>
      </c>
      <c r="N986" t="n">
        <v>0</v>
      </c>
      <c r="O986" t="n">
        <v>1</v>
      </c>
      <c r="P986" t="n">
        <v>0</v>
      </c>
      <c r="Q986" t="n">
        <v>1</v>
      </c>
      <c r="R986" s="2" t="inlineStr">
        <is>
          <t>Sötgräs</t>
        </is>
      </c>
      <c r="S986">
        <f>HYPERLINK("https://klasma.github.io/Logging_2281/artfynd/A 50469-2020 artfynd.xlsx", "A 50469-2020")</f>
        <v/>
      </c>
      <c r="T986">
        <f>HYPERLINK("https://klasma.github.io/Logging_2281/kartor/A 50469-2020 karta.png", "A 50469-2020")</f>
        <v/>
      </c>
      <c r="V986">
        <f>HYPERLINK("https://klasma.github.io/Logging_2281/klagomål/A 50469-2020 FSC-klagomål.docx", "A 50469-2020")</f>
        <v/>
      </c>
      <c r="W986">
        <f>HYPERLINK("https://klasma.github.io/Logging_2281/klagomålsmail/A 50469-2020 FSC-klagomål mail.docx", "A 50469-2020")</f>
        <v/>
      </c>
      <c r="X986">
        <f>HYPERLINK("https://klasma.github.io/Logging_2281/tillsyn/A 50469-2020 tillsynsbegäran.docx", "A 50469-2020")</f>
        <v/>
      </c>
      <c r="Y986">
        <f>HYPERLINK("https://klasma.github.io/Logging_2281/tillsynsmail/A 50469-2020 tillsynsbegäran mail.docx", "A 50469-2020")</f>
        <v/>
      </c>
    </row>
    <row r="987" ht="15" customHeight="1">
      <c r="A987" t="inlineStr">
        <is>
          <t>A 62020-2020</t>
        </is>
      </c>
      <c r="B987" s="1" t="n">
        <v>44159</v>
      </c>
      <c r="C987" s="1" t="n">
        <v>45657</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62020-2020 artfynd.xlsx", "A 62020-2020")</f>
        <v/>
      </c>
      <c r="T987">
        <f>HYPERLINK("https://klasma.github.io/Logging_2284/kartor/A 62020-2020 karta.png", "A 62020-2020")</f>
        <v/>
      </c>
      <c r="V987">
        <f>HYPERLINK("https://klasma.github.io/Logging_2284/klagomål/A 62020-2020 FSC-klagomål.docx", "A 62020-2020")</f>
        <v/>
      </c>
      <c r="W987">
        <f>HYPERLINK("https://klasma.github.io/Logging_2284/klagomålsmail/A 62020-2020 FSC-klagomål mail.docx", "A 62020-2020")</f>
        <v/>
      </c>
      <c r="X987">
        <f>HYPERLINK("https://klasma.github.io/Logging_2284/tillsyn/A 62020-2020 tillsynsbegäran.docx", "A 62020-2020")</f>
        <v/>
      </c>
      <c r="Y987">
        <f>HYPERLINK("https://klasma.github.io/Logging_2284/tillsynsmail/A 62020-2020 tillsynsbegäran mail.docx", "A 62020-2020")</f>
        <v/>
      </c>
    </row>
    <row r="988" ht="15" customHeight="1">
      <c r="A988" t="inlineStr">
        <is>
          <t>A 63983-2020</t>
        </is>
      </c>
      <c r="B988" s="1" t="n">
        <v>44167</v>
      </c>
      <c r="C988" s="1" t="n">
        <v>45657</v>
      </c>
      <c r="D988" t="inlineStr">
        <is>
          <t>VÄSTERNORRLANDS LÄN</t>
        </is>
      </c>
      <c r="E988" t="inlineStr">
        <is>
          <t>ÅNGE</t>
        </is>
      </c>
      <c r="F988" t="inlineStr">
        <is>
          <t>Kommuner</t>
        </is>
      </c>
      <c r="G988" t="n">
        <v>27.1</v>
      </c>
      <c r="H988" t="n">
        <v>1</v>
      </c>
      <c r="I988" t="n">
        <v>0</v>
      </c>
      <c r="J988" t="n">
        <v>0</v>
      </c>
      <c r="K988" t="n">
        <v>1</v>
      </c>
      <c r="L988" t="n">
        <v>0</v>
      </c>
      <c r="M988" t="n">
        <v>0</v>
      </c>
      <c r="N988" t="n">
        <v>0</v>
      </c>
      <c r="O988" t="n">
        <v>1</v>
      </c>
      <c r="P988" t="n">
        <v>1</v>
      </c>
      <c r="Q988" t="n">
        <v>1</v>
      </c>
      <c r="R988" s="2" t="inlineStr">
        <is>
          <t>Knärot</t>
        </is>
      </c>
      <c r="S988">
        <f>HYPERLINK("https://klasma.github.io/Logging_2260/artfynd/A 63983-2020 artfynd.xlsx", "A 63983-2020")</f>
        <v/>
      </c>
      <c r="T988">
        <f>HYPERLINK("https://klasma.github.io/Logging_2260/kartor/A 63983-2020 karta.png", "A 63983-2020")</f>
        <v/>
      </c>
      <c r="U988">
        <f>HYPERLINK("https://klasma.github.io/Logging_2260/knärot/A 63983-2020 karta knärot.png", "A 63983-2020")</f>
        <v/>
      </c>
      <c r="V988">
        <f>HYPERLINK("https://klasma.github.io/Logging_2260/klagomål/A 63983-2020 FSC-klagomål.docx", "A 63983-2020")</f>
        <v/>
      </c>
      <c r="W988">
        <f>HYPERLINK("https://klasma.github.io/Logging_2260/klagomålsmail/A 63983-2020 FSC-klagomål mail.docx", "A 63983-2020")</f>
        <v/>
      </c>
      <c r="X988">
        <f>HYPERLINK("https://klasma.github.io/Logging_2260/tillsyn/A 63983-2020 tillsynsbegäran.docx", "A 63983-2020")</f>
        <v/>
      </c>
      <c r="Y988">
        <f>HYPERLINK("https://klasma.github.io/Logging_2260/tillsynsmail/A 63983-2020 tillsynsbegäran mail.docx", "A 63983-2020")</f>
        <v/>
      </c>
    </row>
    <row r="989" ht="15" customHeight="1">
      <c r="A989" t="inlineStr">
        <is>
          <t>A 64596-2020</t>
        </is>
      </c>
      <c r="B989" s="1" t="n">
        <v>44169</v>
      </c>
      <c r="C989" s="1" t="n">
        <v>45657</v>
      </c>
      <c r="D989" t="inlineStr">
        <is>
          <t>VÄSTERNORRLANDS LÄN</t>
        </is>
      </c>
      <c r="E989" t="inlineStr">
        <is>
          <t>ÖRNSKÖLDSVIK</t>
        </is>
      </c>
      <c r="F989" t="inlineStr">
        <is>
          <t>Holmen skog AB</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HYPERLINK("https://klasma.github.io/Logging_2284/artfynd/A 64596-2020 artfynd.xlsx", "A 64596-2020")</f>
        <v/>
      </c>
      <c r="T989">
        <f>HYPERLINK("https://klasma.github.io/Logging_2284/kartor/A 64596-2020 karta.png", "A 64596-2020")</f>
        <v/>
      </c>
      <c r="V989">
        <f>HYPERLINK("https://klasma.github.io/Logging_2284/klagomål/A 64596-2020 FSC-klagomål.docx", "A 64596-2020")</f>
        <v/>
      </c>
      <c r="W989">
        <f>HYPERLINK("https://klasma.github.io/Logging_2284/klagomålsmail/A 64596-2020 FSC-klagomål mail.docx", "A 64596-2020")</f>
        <v/>
      </c>
      <c r="X989">
        <f>HYPERLINK("https://klasma.github.io/Logging_2284/tillsyn/A 64596-2020 tillsynsbegäran.docx", "A 64596-2020")</f>
        <v/>
      </c>
      <c r="Y989">
        <f>HYPERLINK("https://klasma.github.io/Logging_2284/tillsynsmail/A 64596-2020 tillsynsbegäran mail.docx", "A 64596-2020")</f>
        <v/>
      </c>
    </row>
    <row r="990" ht="15" customHeight="1">
      <c r="A990" t="inlineStr">
        <is>
          <t>A 65632-2020</t>
        </is>
      </c>
      <c r="B990" s="1" t="n">
        <v>44173</v>
      </c>
      <c r="C990" s="1" t="n">
        <v>45657</v>
      </c>
      <c r="D990" t="inlineStr">
        <is>
          <t>VÄSTERNORRLANDS LÄN</t>
        </is>
      </c>
      <c r="E990" t="inlineStr">
        <is>
          <t>SUNDSVALL</t>
        </is>
      </c>
      <c r="F990" t="inlineStr">
        <is>
          <t>SCA</t>
        </is>
      </c>
      <c r="G990" t="n">
        <v>3.2</v>
      </c>
      <c r="H990" t="n">
        <v>0</v>
      </c>
      <c r="I990" t="n">
        <v>1</v>
      </c>
      <c r="J990" t="n">
        <v>0</v>
      </c>
      <c r="K990" t="n">
        <v>0</v>
      </c>
      <c r="L990" t="n">
        <v>0</v>
      </c>
      <c r="M990" t="n">
        <v>0</v>
      </c>
      <c r="N990" t="n">
        <v>0</v>
      </c>
      <c r="O990" t="n">
        <v>0</v>
      </c>
      <c r="P990" t="n">
        <v>0</v>
      </c>
      <c r="Q990" t="n">
        <v>1</v>
      </c>
      <c r="R990" s="2" t="inlineStr">
        <is>
          <t>Dropptaggsvamp</t>
        </is>
      </c>
      <c r="S990">
        <f>HYPERLINK("https://klasma.github.io/Logging_2281/artfynd/A 65632-2020 artfynd.xlsx", "A 65632-2020")</f>
        <v/>
      </c>
      <c r="T990">
        <f>HYPERLINK("https://klasma.github.io/Logging_2281/kartor/A 65632-2020 karta.png", "A 65632-2020")</f>
        <v/>
      </c>
      <c r="V990">
        <f>HYPERLINK("https://klasma.github.io/Logging_2281/klagomål/A 65632-2020 FSC-klagomål.docx", "A 65632-2020")</f>
        <v/>
      </c>
      <c r="W990">
        <f>HYPERLINK("https://klasma.github.io/Logging_2281/klagomålsmail/A 65632-2020 FSC-klagomål mail.docx", "A 65632-2020")</f>
        <v/>
      </c>
      <c r="X990">
        <f>HYPERLINK("https://klasma.github.io/Logging_2281/tillsyn/A 65632-2020 tillsynsbegäran.docx", "A 65632-2020")</f>
        <v/>
      </c>
      <c r="Y990">
        <f>HYPERLINK("https://klasma.github.io/Logging_2281/tillsynsmail/A 65632-2020 tillsynsbegäran mail.docx", "A 65632-2020")</f>
        <v/>
      </c>
    </row>
    <row r="991" ht="15" customHeight="1">
      <c r="A991" t="inlineStr">
        <is>
          <t>A 68651-2020</t>
        </is>
      </c>
      <c r="B991" s="1" t="n">
        <v>44186</v>
      </c>
      <c r="C991" s="1" t="n">
        <v>45657</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68789-2020</t>
        </is>
      </c>
      <c r="B992" s="1" t="n">
        <v>44186</v>
      </c>
      <c r="C992" s="1" t="n">
        <v>45657</v>
      </c>
      <c r="D992" t="inlineStr">
        <is>
          <t>VÄSTERNORRLANDS LÄN</t>
        </is>
      </c>
      <c r="E992" t="inlineStr">
        <is>
          <t>SOLLEFTEÅ</t>
        </is>
      </c>
      <c r="G992" t="n">
        <v>2.1</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68789-2020 artfynd.xlsx", "A 68789-2020")</f>
        <v/>
      </c>
      <c r="T992">
        <f>HYPERLINK("https://klasma.github.io/Logging_2283/kartor/A 68789-2020 karta.png", "A 68789-2020")</f>
        <v/>
      </c>
      <c r="U992">
        <f>HYPERLINK("https://klasma.github.io/Logging_2283/knärot/A 68789-2020 karta knärot.png", "A 68789-2020")</f>
        <v/>
      </c>
      <c r="V992">
        <f>HYPERLINK("https://klasma.github.io/Logging_2283/klagomål/A 68789-2020 FSC-klagomål.docx", "A 68789-2020")</f>
        <v/>
      </c>
      <c r="W992">
        <f>HYPERLINK("https://klasma.github.io/Logging_2283/klagomålsmail/A 68789-2020 FSC-klagomål mail.docx", "A 68789-2020")</f>
        <v/>
      </c>
      <c r="X992">
        <f>HYPERLINK("https://klasma.github.io/Logging_2283/tillsyn/A 68789-2020 tillsynsbegäran.docx", "A 68789-2020")</f>
        <v/>
      </c>
      <c r="Y992">
        <f>HYPERLINK("https://klasma.github.io/Logging_2283/tillsynsmail/A 68789-2020 tillsynsbegäran mail.docx", "A 68789-2020")</f>
        <v/>
      </c>
    </row>
    <row r="993" ht="15" customHeight="1">
      <c r="A993" t="inlineStr">
        <is>
          <t>A 69202-2020</t>
        </is>
      </c>
      <c r="B993" s="1" t="n">
        <v>44191</v>
      </c>
      <c r="C993" s="1" t="n">
        <v>45657</v>
      </c>
      <c r="D993" t="inlineStr">
        <is>
          <t>VÄSTERNORRLANDS LÄN</t>
        </is>
      </c>
      <c r="E993" t="inlineStr">
        <is>
          <t>TIMRÅ</t>
        </is>
      </c>
      <c r="F993" t="inlineStr">
        <is>
          <t>SCA</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HYPERLINK("https://klasma.github.io/Logging_2262/artfynd/A 69202-2020 artfynd.xlsx", "A 69202-2020")</f>
        <v/>
      </c>
      <c r="T993">
        <f>HYPERLINK("https://klasma.github.io/Logging_2262/kartor/A 69202-2020 karta.png", "A 69202-2020")</f>
        <v/>
      </c>
      <c r="V993">
        <f>HYPERLINK("https://klasma.github.io/Logging_2262/klagomål/A 69202-2020 FSC-klagomål.docx", "A 69202-2020")</f>
        <v/>
      </c>
      <c r="W993">
        <f>HYPERLINK("https://klasma.github.io/Logging_2262/klagomålsmail/A 69202-2020 FSC-klagomål mail.docx", "A 69202-2020")</f>
        <v/>
      </c>
      <c r="X993">
        <f>HYPERLINK("https://klasma.github.io/Logging_2262/tillsyn/A 69202-2020 tillsynsbegäran.docx", "A 69202-2020")</f>
        <v/>
      </c>
      <c r="Y993">
        <f>HYPERLINK("https://klasma.github.io/Logging_2262/tillsynsmail/A 69202-2020 tillsynsbegäran mail.docx", "A 69202-2020")</f>
        <v/>
      </c>
    </row>
    <row r="994" ht="15" customHeight="1">
      <c r="A994" t="inlineStr">
        <is>
          <t>A 5452-2021</t>
        </is>
      </c>
      <c r="B994" s="1" t="n">
        <v>44229</v>
      </c>
      <c r="C994" s="1" t="n">
        <v>45657</v>
      </c>
      <c r="D994" t="inlineStr">
        <is>
          <t>VÄSTERNORRLANDS LÄN</t>
        </is>
      </c>
      <c r="E994" t="inlineStr">
        <is>
          <t>ÖRNSKÖLDSVIK</t>
        </is>
      </c>
      <c r="G994" t="n">
        <v>5</v>
      </c>
      <c r="H994" t="n">
        <v>0</v>
      </c>
      <c r="I994" t="n">
        <v>1</v>
      </c>
      <c r="J994" t="n">
        <v>0</v>
      </c>
      <c r="K994" t="n">
        <v>0</v>
      </c>
      <c r="L994" t="n">
        <v>0</v>
      </c>
      <c r="M994" t="n">
        <v>0</v>
      </c>
      <c r="N994" t="n">
        <v>0</v>
      </c>
      <c r="O994" t="n">
        <v>0</v>
      </c>
      <c r="P994" t="n">
        <v>0</v>
      </c>
      <c r="Q994" t="n">
        <v>1</v>
      </c>
      <c r="R994" s="2" t="inlineStr">
        <is>
          <t>Vedticka</t>
        </is>
      </c>
      <c r="S994">
        <f>HYPERLINK("https://klasma.github.io/Logging_2284/artfynd/A 5452-2021 artfynd.xlsx", "A 5452-2021")</f>
        <v/>
      </c>
      <c r="T994">
        <f>HYPERLINK("https://klasma.github.io/Logging_2284/kartor/A 5452-2021 karta.png", "A 5452-2021")</f>
        <v/>
      </c>
      <c r="V994">
        <f>HYPERLINK("https://klasma.github.io/Logging_2284/klagomål/A 5452-2021 FSC-klagomål.docx", "A 5452-2021")</f>
        <v/>
      </c>
      <c r="W994">
        <f>HYPERLINK("https://klasma.github.io/Logging_2284/klagomålsmail/A 5452-2021 FSC-klagomål mail.docx", "A 5452-2021")</f>
        <v/>
      </c>
      <c r="X994">
        <f>HYPERLINK("https://klasma.github.io/Logging_2284/tillsyn/A 5452-2021 tillsynsbegäran.docx", "A 5452-2021")</f>
        <v/>
      </c>
      <c r="Y994">
        <f>HYPERLINK("https://klasma.github.io/Logging_2284/tillsynsmail/A 5452-2021 tillsynsbegäran mail.docx", "A 5452-2021")</f>
        <v/>
      </c>
    </row>
    <row r="995" ht="15" customHeight="1">
      <c r="A995" t="inlineStr">
        <is>
          <t>A 5558-2021</t>
        </is>
      </c>
      <c r="B995" s="1" t="n">
        <v>44230</v>
      </c>
      <c r="C995" s="1" t="n">
        <v>45657</v>
      </c>
      <c r="D995" t="inlineStr">
        <is>
          <t>VÄSTERNORRLANDS LÄN</t>
        </is>
      </c>
      <c r="E995" t="inlineStr">
        <is>
          <t>ÅNGE</t>
        </is>
      </c>
      <c r="G995" t="n">
        <v>60.6</v>
      </c>
      <c r="H995" t="n">
        <v>0</v>
      </c>
      <c r="I995" t="n">
        <v>0</v>
      </c>
      <c r="J995" t="n">
        <v>1</v>
      </c>
      <c r="K995" t="n">
        <v>0</v>
      </c>
      <c r="L995" t="n">
        <v>0</v>
      </c>
      <c r="M995" t="n">
        <v>0</v>
      </c>
      <c r="N995" t="n">
        <v>0</v>
      </c>
      <c r="O995" t="n">
        <v>1</v>
      </c>
      <c r="P995" t="n">
        <v>0</v>
      </c>
      <c r="Q995" t="n">
        <v>1</v>
      </c>
      <c r="R995" s="2" t="inlineStr">
        <is>
          <t>Garnlav</t>
        </is>
      </c>
      <c r="S995">
        <f>HYPERLINK("https://klasma.github.io/Logging_2260/artfynd/A 5558-2021 artfynd.xlsx", "A 5558-2021")</f>
        <v/>
      </c>
      <c r="T995">
        <f>HYPERLINK("https://klasma.github.io/Logging_2260/kartor/A 5558-2021 karta.png", "A 5558-2021")</f>
        <v/>
      </c>
      <c r="V995">
        <f>HYPERLINK("https://klasma.github.io/Logging_2260/klagomål/A 5558-2021 FSC-klagomål.docx", "A 5558-2021")</f>
        <v/>
      </c>
      <c r="W995">
        <f>HYPERLINK("https://klasma.github.io/Logging_2260/klagomålsmail/A 5558-2021 FSC-klagomål mail.docx", "A 5558-2021")</f>
        <v/>
      </c>
      <c r="X995">
        <f>HYPERLINK("https://klasma.github.io/Logging_2260/tillsyn/A 5558-2021 tillsynsbegäran.docx", "A 5558-2021")</f>
        <v/>
      </c>
      <c r="Y995">
        <f>HYPERLINK("https://klasma.github.io/Logging_2260/tillsynsmail/A 5558-2021 tillsynsbegäran mail.docx", "A 5558-2021")</f>
        <v/>
      </c>
    </row>
    <row r="996" ht="15" customHeight="1">
      <c r="A996" t="inlineStr">
        <is>
          <t>A 10006-2021</t>
        </is>
      </c>
      <c r="B996" s="1" t="n">
        <v>44255</v>
      </c>
      <c r="C996" s="1" t="n">
        <v>45657</v>
      </c>
      <c r="D996" t="inlineStr">
        <is>
          <t>VÄSTERNORRLANDS LÄN</t>
        </is>
      </c>
      <c r="E996" t="inlineStr">
        <is>
          <t>ÖRNSKÖLDSVIK</t>
        </is>
      </c>
      <c r="G996" t="n">
        <v>5.7</v>
      </c>
      <c r="H996" t="n">
        <v>0</v>
      </c>
      <c r="I996" t="n">
        <v>0</v>
      </c>
      <c r="J996" t="n">
        <v>1</v>
      </c>
      <c r="K996" t="n">
        <v>0</v>
      </c>
      <c r="L996" t="n">
        <v>0</v>
      </c>
      <c r="M996" t="n">
        <v>0</v>
      </c>
      <c r="N996" t="n">
        <v>0</v>
      </c>
      <c r="O996" t="n">
        <v>1</v>
      </c>
      <c r="P996" t="n">
        <v>0</v>
      </c>
      <c r="Q996" t="n">
        <v>1</v>
      </c>
      <c r="R996" s="2" t="inlineStr">
        <is>
          <t>Lunglav</t>
        </is>
      </c>
      <c r="S996">
        <f>HYPERLINK("https://klasma.github.io/Logging_2284/artfynd/A 10006-2021 artfynd.xlsx", "A 10006-2021")</f>
        <v/>
      </c>
      <c r="T996">
        <f>HYPERLINK("https://klasma.github.io/Logging_2284/kartor/A 10006-2021 karta.png", "A 10006-2021")</f>
        <v/>
      </c>
      <c r="U996">
        <f>HYPERLINK("https://klasma.github.io/Logging_2284/knärot/A 10006-2021 karta knärot.png", "A 10006-2021")</f>
        <v/>
      </c>
      <c r="V996">
        <f>HYPERLINK("https://klasma.github.io/Logging_2284/klagomål/A 10006-2021 FSC-klagomål.docx", "A 10006-2021")</f>
        <v/>
      </c>
      <c r="W996">
        <f>HYPERLINK("https://klasma.github.io/Logging_2284/klagomålsmail/A 10006-2021 FSC-klagomål mail.docx", "A 10006-2021")</f>
        <v/>
      </c>
      <c r="X996">
        <f>HYPERLINK("https://klasma.github.io/Logging_2284/tillsyn/A 10006-2021 tillsynsbegäran.docx", "A 10006-2021")</f>
        <v/>
      </c>
      <c r="Y996">
        <f>HYPERLINK("https://klasma.github.io/Logging_2284/tillsynsmail/A 10006-2021 tillsynsbegäran mail.docx", "A 10006-2021")</f>
        <v/>
      </c>
    </row>
    <row r="997" ht="15" customHeight="1">
      <c r="A997" t="inlineStr">
        <is>
          <t>A 10628-2021</t>
        </is>
      </c>
      <c r="B997" s="1" t="n">
        <v>44258</v>
      </c>
      <c r="C997" s="1" t="n">
        <v>45657</v>
      </c>
      <c r="D997" t="inlineStr">
        <is>
          <t>VÄSTERNORRLANDS LÄN</t>
        </is>
      </c>
      <c r="E997" t="inlineStr">
        <is>
          <t>ÖRNSKÖLDSVIK</t>
        </is>
      </c>
      <c r="G997" t="n">
        <v>1.4</v>
      </c>
      <c r="H997" t="n">
        <v>1</v>
      </c>
      <c r="I997" t="n">
        <v>0</v>
      </c>
      <c r="J997" t="n">
        <v>0</v>
      </c>
      <c r="K997" t="n">
        <v>0</v>
      </c>
      <c r="L997" t="n">
        <v>0</v>
      </c>
      <c r="M997" t="n">
        <v>0</v>
      </c>
      <c r="N997" t="n">
        <v>0</v>
      </c>
      <c r="O997" t="n">
        <v>0</v>
      </c>
      <c r="P997" t="n">
        <v>0</v>
      </c>
      <c r="Q997" t="n">
        <v>1</v>
      </c>
      <c r="R997" s="2" t="inlineStr">
        <is>
          <t>Orre</t>
        </is>
      </c>
      <c r="S997">
        <f>HYPERLINK("https://klasma.github.io/Logging_2284/artfynd/A 10628-2021 artfynd.xlsx", "A 10628-2021")</f>
        <v/>
      </c>
      <c r="T997">
        <f>HYPERLINK("https://klasma.github.io/Logging_2284/kartor/A 10628-2021 karta.png", "A 10628-2021")</f>
        <v/>
      </c>
      <c r="V997">
        <f>HYPERLINK("https://klasma.github.io/Logging_2284/klagomål/A 10628-2021 FSC-klagomål.docx", "A 10628-2021")</f>
        <v/>
      </c>
      <c r="W997">
        <f>HYPERLINK("https://klasma.github.io/Logging_2284/klagomålsmail/A 10628-2021 FSC-klagomål mail.docx", "A 10628-2021")</f>
        <v/>
      </c>
      <c r="X997">
        <f>HYPERLINK("https://klasma.github.io/Logging_2284/tillsyn/A 10628-2021 tillsynsbegäran.docx", "A 10628-2021")</f>
        <v/>
      </c>
      <c r="Y997">
        <f>HYPERLINK("https://klasma.github.io/Logging_2284/tillsynsmail/A 10628-2021 tillsynsbegäran mail.docx", "A 10628-2021")</f>
        <v/>
      </c>
      <c r="Z997">
        <f>HYPERLINK("https://klasma.github.io/Logging_2284/fåglar/A 10628-2021 prioriterade fågelarter.docx", "A 10628-2021")</f>
        <v/>
      </c>
    </row>
    <row r="998" ht="15" customHeight="1">
      <c r="A998" t="inlineStr">
        <is>
          <t>A 12809-2021</t>
        </is>
      </c>
      <c r="B998" s="1" t="n">
        <v>44270</v>
      </c>
      <c r="C998" s="1" t="n">
        <v>45657</v>
      </c>
      <c r="D998" t="inlineStr">
        <is>
          <t>VÄSTERNORRLANDS LÄN</t>
        </is>
      </c>
      <c r="E998" t="inlineStr">
        <is>
          <t>HÄRNÖSAND</t>
        </is>
      </c>
      <c r="F998" t="inlineStr">
        <is>
          <t>SCA</t>
        </is>
      </c>
      <c r="G998" t="n">
        <v>2.8</v>
      </c>
      <c r="H998" t="n">
        <v>1</v>
      </c>
      <c r="I998" t="n">
        <v>0</v>
      </c>
      <c r="J998" t="n">
        <v>1</v>
      </c>
      <c r="K998" t="n">
        <v>0</v>
      </c>
      <c r="L998" t="n">
        <v>0</v>
      </c>
      <c r="M998" t="n">
        <v>0</v>
      </c>
      <c r="N998" t="n">
        <v>0</v>
      </c>
      <c r="O998" t="n">
        <v>1</v>
      </c>
      <c r="P998" t="n">
        <v>0</v>
      </c>
      <c r="Q998" t="n">
        <v>1</v>
      </c>
      <c r="R998" s="2" t="inlineStr">
        <is>
          <t>Utter</t>
        </is>
      </c>
      <c r="S998">
        <f>HYPERLINK("https://klasma.github.io/Logging_2280/artfynd/A 12809-2021 artfynd.xlsx", "A 12809-2021")</f>
        <v/>
      </c>
      <c r="T998">
        <f>HYPERLINK("https://klasma.github.io/Logging_2280/kartor/A 12809-2021 karta.png", "A 12809-2021")</f>
        <v/>
      </c>
      <c r="V998">
        <f>HYPERLINK("https://klasma.github.io/Logging_2280/klagomål/A 12809-2021 FSC-klagomål.docx", "A 12809-2021")</f>
        <v/>
      </c>
      <c r="W998">
        <f>HYPERLINK("https://klasma.github.io/Logging_2280/klagomålsmail/A 12809-2021 FSC-klagomål mail.docx", "A 12809-2021")</f>
        <v/>
      </c>
      <c r="X998">
        <f>HYPERLINK("https://klasma.github.io/Logging_2280/tillsyn/A 12809-2021 tillsynsbegäran.docx", "A 12809-2021")</f>
        <v/>
      </c>
      <c r="Y998">
        <f>HYPERLINK("https://klasma.github.io/Logging_2280/tillsynsmail/A 12809-2021 tillsynsbegäran mail.docx", "A 12809-2021")</f>
        <v/>
      </c>
    </row>
    <row r="999" ht="15" customHeight="1">
      <c r="A999" t="inlineStr">
        <is>
          <t>A 15101-2021</t>
        </is>
      </c>
      <c r="B999" s="1" t="n">
        <v>44281</v>
      </c>
      <c r="C999" s="1" t="n">
        <v>45657</v>
      </c>
      <c r="D999" t="inlineStr">
        <is>
          <t>VÄSTERNORRLANDS LÄN</t>
        </is>
      </c>
      <c r="E999" t="inlineStr">
        <is>
          <t>SOLLEFTEÅ</t>
        </is>
      </c>
      <c r="F999" t="inlineStr">
        <is>
          <t>SCA</t>
        </is>
      </c>
      <c r="G999" t="n">
        <v>1.1</v>
      </c>
      <c r="H999" t="n">
        <v>0</v>
      </c>
      <c r="I999" t="n">
        <v>0</v>
      </c>
      <c r="J999" t="n">
        <v>1</v>
      </c>
      <c r="K999" t="n">
        <v>0</v>
      </c>
      <c r="L999" t="n">
        <v>0</v>
      </c>
      <c r="M999" t="n">
        <v>0</v>
      </c>
      <c r="N999" t="n">
        <v>0</v>
      </c>
      <c r="O999" t="n">
        <v>1</v>
      </c>
      <c r="P999" t="n">
        <v>0</v>
      </c>
      <c r="Q999" t="n">
        <v>1</v>
      </c>
      <c r="R999" s="2" t="inlineStr">
        <is>
          <t>Garnlav</t>
        </is>
      </c>
      <c r="S999">
        <f>HYPERLINK("https://klasma.github.io/Logging_2283/artfynd/A 15101-2021 artfynd.xlsx", "A 15101-2021")</f>
        <v/>
      </c>
      <c r="T999">
        <f>HYPERLINK("https://klasma.github.io/Logging_2283/kartor/A 15101-2021 karta.png", "A 15101-2021")</f>
        <v/>
      </c>
      <c r="V999">
        <f>HYPERLINK("https://klasma.github.io/Logging_2283/klagomål/A 15101-2021 FSC-klagomål.docx", "A 15101-2021")</f>
        <v/>
      </c>
      <c r="W999">
        <f>HYPERLINK("https://klasma.github.io/Logging_2283/klagomålsmail/A 15101-2021 FSC-klagomål mail.docx", "A 15101-2021")</f>
        <v/>
      </c>
      <c r="X999">
        <f>HYPERLINK("https://klasma.github.io/Logging_2283/tillsyn/A 15101-2021 tillsynsbegäran.docx", "A 15101-2021")</f>
        <v/>
      </c>
      <c r="Y999">
        <f>HYPERLINK("https://klasma.github.io/Logging_2283/tillsynsmail/A 15101-2021 tillsynsbegäran mail.docx", "A 15101-2021")</f>
        <v/>
      </c>
    </row>
    <row r="1000" ht="15" customHeight="1">
      <c r="A1000" t="inlineStr">
        <is>
          <t>A 15775-2021</t>
        </is>
      </c>
      <c r="B1000" s="1" t="n">
        <v>44286</v>
      </c>
      <c r="C1000" s="1" t="n">
        <v>45657</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17333-2021</t>
        </is>
      </c>
      <c r="B1001" s="1" t="n">
        <v>44298</v>
      </c>
      <c r="C1001" s="1" t="n">
        <v>45657</v>
      </c>
      <c r="D1001" t="inlineStr">
        <is>
          <t>VÄSTERNORRLANDS LÄN</t>
        </is>
      </c>
      <c r="E1001" t="inlineStr">
        <is>
          <t>SUNDSVALL</t>
        </is>
      </c>
      <c r="G1001" t="n">
        <v>6.7</v>
      </c>
      <c r="H1001" t="n">
        <v>1</v>
      </c>
      <c r="I1001" t="n">
        <v>0</v>
      </c>
      <c r="J1001" t="n">
        <v>1</v>
      </c>
      <c r="K1001" t="n">
        <v>0</v>
      </c>
      <c r="L1001" t="n">
        <v>0</v>
      </c>
      <c r="M1001" t="n">
        <v>0</v>
      </c>
      <c r="N1001" t="n">
        <v>0</v>
      </c>
      <c r="O1001" t="n">
        <v>1</v>
      </c>
      <c r="P1001" t="n">
        <v>0</v>
      </c>
      <c r="Q1001" t="n">
        <v>1</v>
      </c>
      <c r="R1001" s="2" t="inlineStr">
        <is>
          <t>Mindre hackspett</t>
        </is>
      </c>
      <c r="S1001">
        <f>HYPERLINK("https://klasma.github.io/Logging_2281/artfynd/A 17333-2021 artfynd.xlsx", "A 17333-2021")</f>
        <v/>
      </c>
      <c r="T1001">
        <f>HYPERLINK("https://klasma.github.io/Logging_2281/kartor/A 17333-2021 karta.png", "A 17333-2021")</f>
        <v/>
      </c>
      <c r="V1001">
        <f>HYPERLINK("https://klasma.github.io/Logging_2281/klagomål/A 17333-2021 FSC-klagomål.docx", "A 17333-2021")</f>
        <v/>
      </c>
      <c r="W1001">
        <f>HYPERLINK("https://klasma.github.io/Logging_2281/klagomålsmail/A 17333-2021 FSC-klagomål mail.docx", "A 17333-2021")</f>
        <v/>
      </c>
      <c r="X1001">
        <f>HYPERLINK("https://klasma.github.io/Logging_2281/tillsyn/A 17333-2021 tillsynsbegäran.docx", "A 17333-2021")</f>
        <v/>
      </c>
      <c r="Y1001">
        <f>HYPERLINK("https://klasma.github.io/Logging_2281/tillsynsmail/A 17333-2021 tillsynsbegäran mail.docx", "A 17333-2021")</f>
        <v/>
      </c>
      <c r="Z1001">
        <f>HYPERLINK("https://klasma.github.io/Logging_2281/fåglar/A 17333-2021 prioriterade fågelarter.docx", "A 17333-2021")</f>
        <v/>
      </c>
    </row>
    <row r="1002" ht="15" customHeight="1">
      <c r="A1002" t="inlineStr">
        <is>
          <t>A 17331-2021</t>
        </is>
      </c>
      <c r="B1002" s="1" t="n">
        <v>44298</v>
      </c>
      <c r="C1002" s="1" t="n">
        <v>45657</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17377-2021</t>
        </is>
      </c>
      <c r="B1003" s="1" t="n">
        <v>44298</v>
      </c>
      <c r="C1003" s="1" t="n">
        <v>45657</v>
      </c>
      <c r="D1003" t="inlineStr">
        <is>
          <t>VÄSTERNORRLANDS LÄN</t>
        </is>
      </c>
      <c r="E1003" t="inlineStr">
        <is>
          <t>SOLLEFTEÅ</t>
        </is>
      </c>
      <c r="G1003" t="n">
        <v>5.1</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17377-2021 artfynd.xlsx", "A 17377-2021")</f>
        <v/>
      </c>
      <c r="T1003">
        <f>HYPERLINK("https://klasma.github.io/Logging_2283/kartor/A 17377-2021 karta.png", "A 17377-2021")</f>
        <v/>
      </c>
      <c r="V1003">
        <f>HYPERLINK("https://klasma.github.io/Logging_2283/klagomål/A 17377-2021 FSC-klagomål.docx", "A 17377-2021")</f>
        <v/>
      </c>
      <c r="W1003">
        <f>HYPERLINK("https://klasma.github.io/Logging_2283/klagomålsmail/A 17377-2021 FSC-klagomål mail.docx", "A 17377-2021")</f>
        <v/>
      </c>
      <c r="X1003">
        <f>HYPERLINK("https://klasma.github.io/Logging_2283/tillsyn/A 17377-2021 tillsynsbegäran.docx", "A 17377-2021")</f>
        <v/>
      </c>
      <c r="Y1003">
        <f>HYPERLINK("https://klasma.github.io/Logging_2283/tillsynsmail/A 17377-2021 tillsynsbegäran mail.docx", "A 17377-2021")</f>
        <v/>
      </c>
    </row>
    <row r="1004" ht="15" customHeight="1">
      <c r="A1004" t="inlineStr">
        <is>
          <t>A 18461-2021</t>
        </is>
      </c>
      <c r="B1004" s="1" t="n">
        <v>44305</v>
      </c>
      <c r="C1004" s="1" t="n">
        <v>45657</v>
      </c>
      <c r="D1004" t="inlineStr">
        <is>
          <t>VÄSTERNORRLANDS LÄN</t>
        </is>
      </c>
      <c r="E1004" t="inlineStr">
        <is>
          <t>SOLLEFTEÅ</t>
        </is>
      </c>
      <c r="F1004" t="inlineStr">
        <is>
          <t>SCA</t>
        </is>
      </c>
      <c r="G1004" t="n">
        <v>1.7</v>
      </c>
      <c r="H1004" t="n">
        <v>1</v>
      </c>
      <c r="I1004" t="n">
        <v>0</v>
      </c>
      <c r="J1004" t="n">
        <v>1</v>
      </c>
      <c r="K1004" t="n">
        <v>0</v>
      </c>
      <c r="L1004" t="n">
        <v>0</v>
      </c>
      <c r="M1004" t="n">
        <v>0</v>
      </c>
      <c r="N1004" t="n">
        <v>0</v>
      </c>
      <c r="O1004" t="n">
        <v>1</v>
      </c>
      <c r="P1004" t="n">
        <v>0</v>
      </c>
      <c r="Q1004" t="n">
        <v>1</v>
      </c>
      <c r="R1004" s="2" t="inlineStr">
        <is>
          <t>Nordfladdermus</t>
        </is>
      </c>
      <c r="S1004">
        <f>HYPERLINK("https://klasma.github.io/Logging_2283/artfynd/A 18461-2021 artfynd.xlsx", "A 18461-2021")</f>
        <v/>
      </c>
      <c r="T1004">
        <f>HYPERLINK("https://klasma.github.io/Logging_2283/kartor/A 18461-2021 karta.png", "A 18461-2021")</f>
        <v/>
      </c>
      <c r="V1004">
        <f>HYPERLINK("https://klasma.github.io/Logging_2283/klagomål/A 18461-2021 FSC-klagomål.docx", "A 18461-2021")</f>
        <v/>
      </c>
      <c r="W1004">
        <f>HYPERLINK("https://klasma.github.io/Logging_2283/klagomålsmail/A 18461-2021 FSC-klagomål mail.docx", "A 18461-2021")</f>
        <v/>
      </c>
      <c r="X1004">
        <f>HYPERLINK("https://klasma.github.io/Logging_2283/tillsyn/A 18461-2021 tillsynsbegäran.docx", "A 18461-2021")</f>
        <v/>
      </c>
      <c r="Y1004">
        <f>HYPERLINK("https://klasma.github.io/Logging_2283/tillsynsmail/A 18461-2021 tillsynsbegäran mail.docx", "A 18461-2021")</f>
        <v/>
      </c>
    </row>
    <row r="1005" ht="15" customHeight="1">
      <c r="A1005" t="inlineStr">
        <is>
          <t>A 18969-2021</t>
        </is>
      </c>
      <c r="B1005" s="1" t="n">
        <v>44308</v>
      </c>
      <c r="C1005" s="1" t="n">
        <v>45657</v>
      </c>
      <c r="D1005" t="inlineStr">
        <is>
          <t>VÄSTERNORRLANDS LÄN</t>
        </is>
      </c>
      <c r="E1005" t="inlineStr">
        <is>
          <t>TIMRÅ</t>
        </is>
      </c>
      <c r="G1005" t="n">
        <v>7.4</v>
      </c>
      <c r="H1005" t="n">
        <v>0</v>
      </c>
      <c r="I1005" t="n">
        <v>1</v>
      </c>
      <c r="J1005" t="n">
        <v>0</v>
      </c>
      <c r="K1005" t="n">
        <v>0</v>
      </c>
      <c r="L1005" t="n">
        <v>0</v>
      </c>
      <c r="M1005" t="n">
        <v>0</v>
      </c>
      <c r="N1005" t="n">
        <v>0</v>
      </c>
      <c r="O1005" t="n">
        <v>0</v>
      </c>
      <c r="P1005" t="n">
        <v>0</v>
      </c>
      <c r="Q1005" t="n">
        <v>1</v>
      </c>
      <c r="R1005" s="2" t="inlineStr">
        <is>
          <t>Strutbräken</t>
        </is>
      </c>
      <c r="S1005">
        <f>HYPERLINK("https://klasma.github.io/Logging_2262/artfynd/A 18969-2021 artfynd.xlsx", "A 18969-2021")</f>
        <v/>
      </c>
      <c r="T1005">
        <f>HYPERLINK("https://klasma.github.io/Logging_2262/kartor/A 18969-2021 karta.png", "A 18969-2021")</f>
        <v/>
      </c>
      <c r="V1005">
        <f>HYPERLINK("https://klasma.github.io/Logging_2262/klagomål/A 18969-2021 FSC-klagomål.docx", "A 18969-2021")</f>
        <v/>
      </c>
      <c r="W1005">
        <f>HYPERLINK("https://klasma.github.io/Logging_2262/klagomålsmail/A 18969-2021 FSC-klagomål mail.docx", "A 18969-2021")</f>
        <v/>
      </c>
      <c r="X1005">
        <f>HYPERLINK("https://klasma.github.io/Logging_2262/tillsyn/A 18969-2021 tillsynsbegäran.docx", "A 18969-2021")</f>
        <v/>
      </c>
      <c r="Y1005">
        <f>HYPERLINK("https://klasma.github.io/Logging_2262/tillsynsmail/A 18969-2021 tillsynsbegäran mail.docx", "A 18969-2021")</f>
        <v/>
      </c>
    </row>
    <row r="1006" ht="15" customHeight="1">
      <c r="A1006" t="inlineStr">
        <is>
          <t>A 19437-2021</t>
        </is>
      </c>
      <c r="B1006" s="1" t="n">
        <v>44310</v>
      </c>
      <c r="C1006" s="1" t="n">
        <v>45657</v>
      </c>
      <c r="D1006" t="inlineStr">
        <is>
          <t>VÄSTERNORRLANDS LÄN</t>
        </is>
      </c>
      <c r="E1006" t="inlineStr">
        <is>
          <t>KRAMFORS</t>
        </is>
      </c>
      <c r="G1006" t="n">
        <v>6.7</v>
      </c>
      <c r="H1006" t="n">
        <v>1</v>
      </c>
      <c r="I1006" t="n">
        <v>0</v>
      </c>
      <c r="J1006" t="n">
        <v>0</v>
      </c>
      <c r="K1006" t="n">
        <v>0</v>
      </c>
      <c r="L1006" t="n">
        <v>0</v>
      </c>
      <c r="M1006" t="n">
        <v>0</v>
      </c>
      <c r="N1006" t="n">
        <v>0</v>
      </c>
      <c r="O1006" t="n">
        <v>0</v>
      </c>
      <c r="P1006" t="n">
        <v>0</v>
      </c>
      <c r="Q1006" t="n">
        <v>1</v>
      </c>
      <c r="R1006" s="2" t="inlineStr">
        <is>
          <t>Tjäder</t>
        </is>
      </c>
      <c r="S1006">
        <f>HYPERLINK("https://klasma.github.io/Logging_2282/artfynd/A 19437-2021 artfynd.xlsx", "A 19437-2021")</f>
        <v/>
      </c>
      <c r="T1006">
        <f>HYPERLINK("https://klasma.github.io/Logging_2282/kartor/A 19437-2021 karta.png", "A 19437-2021")</f>
        <v/>
      </c>
      <c r="V1006">
        <f>HYPERLINK("https://klasma.github.io/Logging_2282/klagomål/A 19437-2021 FSC-klagomål.docx", "A 19437-2021")</f>
        <v/>
      </c>
      <c r="W1006">
        <f>HYPERLINK("https://klasma.github.io/Logging_2282/klagomålsmail/A 19437-2021 FSC-klagomål mail.docx", "A 19437-2021")</f>
        <v/>
      </c>
      <c r="X1006">
        <f>HYPERLINK("https://klasma.github.io/Logging_2282/tillsyn/A 19437-2021 tillsynsbegäran.docx", "A 19437-2021")</f>
        <v/>
      </c>
      <c r="Y1006">
        <f>HYPERLINK("https://klasma.github.io/Logging_2282/tillsynsmail/A 19437-2021 tillsynsbegäran mail.docx", "A 19437-2021")</f>
        <v/>
      </c>
      <c r="Z1006">
        <f>HYPERLINK("https://klasma.github.io/Logging_2282/fåglar/A 19437-2021 prioriterade fågelarter.docx", "A 19437-2021")</f>
        <v/>
      </c>
    </row>
    <row r="1007" ht="15" customHeight="1">
      <c r="A1007" t="inlineStr">
        <is>
          <t>A 20679-2021</t>
        </is>
      </c>
      <c r="B1007" s="1" t="n">
        <v>44316</v>
      </c>
      <c r="C1007" s="1" t="n">
        <v>45657</v>
      </c>
      <c r="D1007" t="inlineStr">
        <is>
          <t>VÄSTERNORRLANDS LÄN</t>
        </is>
      </c>
      <c r="E1007" t="inlineStr">
        <is>
          <t>TIMRÅ</t>
        </is>
      </c>
      <c r="G1007" t="n">
        <v>12.6</v>
      </c>
      <c r="H1007" t="n">
        <v>1</v>
      </c>
      <c r="I1007" t="n">
        <v>0</v>
      </c>
      <c r="J1007" t="n">
        <v>1</v>
      </c>
      <c r="K1007" t="n">
        <v>0</v>
      </c>
      <c r="L1007" t="n">
        <v>0</v>
      </c>
      <c r="M1007" t="n">
        <v>0</v>
      </c>
      <c r="N1007" t="n">
        <v>0</v>
      </c>
      <c r="O1007" t="n">
        <v>1</v>
      </c>
      <c r="P1007" t="n">
        <v>0</v>
      </c>
      <c r="Q1007" t="n">
        <v>1</v>
      </c>
      <c r="R1007" s="2" t="inlineStr">
        <is>
          <t>Havsörn</t>
        </is>
      </c>
      <c r="S1007">
        <f>HYPERLINK("https://klasma.github.io/Logging_2262/artfynd/A 20679-2021 artfynd.xlsx", "A 20679-2021")</f>
        <v/>
      </c>
      <c r="T1007">
        <f>HYPERLINK("https://klasma.github.io/Logging_2262/kartor/A 20679-2021 karta.png", "A 20679-2021")</f>
        <v/>
      </c>
      <c r="V1007">
        <f>HYPERLINK("https://klasma.github.io/Logging_2262/klagomål/A 20679-2021 FSC-klagomål.docx", "A 20679-2021")</f>
        <v/>
      </c>
      <c r="W1007">
        <f>HYPERLINK("https://klasma.github.io/Logging_2262/klagomålsmail/A 20679-2021 FSC-klagomål mail.docx", "A 20679-2021")</f>
        <v/>
      </c>
      <c r="X1007">
        <f>HYPERLINK("https://klasma.github.io/Logging_2262/tillsyn/A 20679-2021 tillsynsbegäran.docx", "A 20679-2021")</f>
        <v/>
      </c>
      <c r="Y1007">
        <f>HYPERLINK("https://klasma.github.io/Logging_2262/tillsynsmail/A 20679-2021 tillsynsbegäran mail.docx", "A 20679-2021")</f>
        <v/>
      </c>
      <c r="Z1007">
        <f>HYPERLINK("https://klasma.github.io/Logging_2262/fåglar/A 20679-2021 prioriterade fågelarter.docx", "A 20679-2021")</f>
        <v/>
      </c>
    </row>
    <row r="1008" ht="15" customHeight="1">
      <c r="A1008" t="inlineStr">
        <is>
          <t>A 20741-2021</t>
        </is>
      </c>
      <c r="B1008" s="1" t="n">
        <v>44316</v>
      </c>
      <c r="C1008" s="1" t="n">
        <v>45657</v>
      </c>
      <c r="D1008" t="inlineStr">
        <is>
          <t>VÄSTERNORRLANDS LÄN</t>
        </is>
      </c>
      <c r="E1008" t="inlineStr">
        <is>
          <t>KRAMFORS</t>
        </is>
      </c>
      <c r="G1008" t="n">
        <v>4.9</v>
      </c>
      <c r="H1008" t="n">
        <v>0</v>
      </c>
      <c r="I1008" t="n">
        <v>1</v>
      </c>
      <c r="J1008" t="n">
        <v>0</v>
      </c>
      <c r="K1008" t="n">
        <v>0</v>
      </c>
      <c r="L1008" t="n">
        <v>0</v>
      </c>
      <c r="M1008" t="n">
        <v>0</v>
      </c>
      <c r="N1008" t="n">
        <v>0</v>
      </c>
      <c r="O1008" t="n">
        <v>0</v>
      </c>
      <c r="P1008" t="n">
        <v>0</v>
      </c>
      <c r="Q1008" t="n">
        <v>1</v>
      </c>
      <c r="R1008" s="2" t="inlineStr">
        <is>
          <t>Vedticka</t>
        </is>
      </c>
      <c r="S1008">
        <f>HYPERLINK("https://klasma.github.io/Logging_2282/artfynd/A 20741-2021 artfynd.xlsx", "A 20741-2021")</f>
        <v/>
      </c>
      <c r="T1008">
        <f>HYPERLINK("https://klasma.github.io/Logging_2282/kartor/A 20741-2021 karta.png", "A 20741-2021")</f>
        <v/>
      </c>
      <c r="V1008">
        <f>HYPERLINK("https://klasma.github.io/Logging_2282/klagomål/A 20741-2021 FSC-klagomål.docx", "A 20741-2021")</f>
        <v/>
      </c>
      <c r="W1008">
        <f>HYPERLINK("https://klasma.github.io/Logging_2282/klagomålsmail/A 20741-2021 FSC-klagomål mail.docx", "A 20741-2021")</f>
        <v/>
      </c>
      <c r="X1008">
        <f>HYPERLINK("https://klasma.github.io/Logging_2282/tillsyn/A 20741-2021 tillsynsbegäran.docx", "A 20741-2021")</f>
        <v/>
      </c>
      <c r="Y1008">
        <f>HYPERLINK("https://klasma.github.io/Logging_2282/tillsynsmail/A 20741-2021 tillsynsbegäran mail.docx", "A 20741-2021")</f>
        <v/>
      </c>
    </row>
    <row r="1009" ht="15" customHeight="1">
      <c r="A1009" t="inlineStr">
        <is>
          <t>A 21360-2021</t>
        </is>
      </c>
      <c r="B1009" s="1" t="n">
        <v>44320</v>
      </c>
      <c r="C1009" s="1" t="n">
        <v>45657</v>
      </c>
      <c r="D1009" t="inlineStr">
        <is>
          <t>VÄSTERNORRLANDS LÄN</t>
        </is>
      </c>
      <c r="E1009" t="inlineStr">
        <is>
          <t>SOLLEFTEÅ</t>
        </is>
      </c>
      <c r="G1009" t="n">
        <v>6.8</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21360-2021 artfynd.xlsx", "A 21360-2021")</f>
        <v/>
      </c>
      <c r="T1009">
        <f>HYPERLINK("https://klasma.github.io/Logging_2283/kartor/A 21360-2021 karta.png", "A 21360-2021")</f>
        <v/>
      </c>
      <c r="U1009">
        <f>HYPERLINK("https://klasma.github.io/Logging_2283/knärot/A 21360-2021 karta knärot.png", "A 21360-2021")</f>
        <v/>
      </c>
      <c r="V1009">
        <f>HYPERLINK("https://klasma.github.io/Logging_2283/klagomål/A 21360-2021 FSC-klagomål.docx", "A 21360-2021")</f>
        <v/>
      </c>
      <c r="W1009">
        <f>HYPERLINK("https://klasma.github.io/Logging_2283/klagomålsmail/A 21360-2021 FSC-klagomål mail.docx", "A 21360-2021")</f>
        <v/>
      </c>
      <c r="X1009">
        <f>HYPERLINK("https://klasma.github.io/Logging_2283/tillsyn/A 21360-2021 tillsynsbegäran.docx", "A 21360-2021")</f>
        <v/>
      </c>
      <c r="Y1009">
        <f>HYPERLINK("https://klasma.github.io/Logging_2283/tillsynsmail/A 21360-2021 tillsynsbegäran mail.docx", "A 21360-2021")</f>
        <v/>
      </c>
    </row>
    <row r="1010" ht="15" customHeight="1">
      <c r="A1010" t="inlineStr">
        <is>
          <t>A 21740-2021</t>
        </is>
      </c>
      <c r="B1010" s="1" t="n">
        <v>44321</v>
      </c>
      <c r="C1010" s="1" t="n">
        <v>45657</v>
      </c>
      <c r="D1010" t="inlineStr">
        <is>
          <t>VÄSTERNORRLANDS LÄN</t>
        </is>
      </c>
      <c r="E1010" t="inlineStr">
        <is>
          <t>HÄRNÖSAND</t>
        </is>
      </c>
      <c r="G1010" t="n">
        <v>12.2</v>
      </c>
      <c r="H1010" t="n">
        <v>0</v>
      </c>
      <c r="I1010" t="n">
        <v>1</v>
      </c>
      <c r="J1010" t="n">
        <v>0</v>
      </c>
      <c r="K1010" t="n">
        <v>0</v>
      </c>
      <c r="L1010" t="n">
        <v>0</v>
      </c>
      <c r="M1010" t="n">
        <v>0</v>
      </c>
      <c r="N1010" t="n">
        <v>0</v>
      </c>
      <c r="O1010" t="n">
        <v>0</v>
      </c>
      <c r="P1010" t="n">
        <v>0</v>
      </c>
      <c r="Q1010" t="n">
        <v>1</v>
      </c>
      <c r="R1010" s="2" t="inlineStr">
        <is>
          <t>Bronshjon</t>
        </is>
      </c>
      <c r="S1010">
        <f>HYPERLINK("https://klasma.github.io/Logging_2280/artfynd/A 21740-2021 artfynd.xlsx", "A 21740-2021")</f>
        <v/>
      </c>
      <c r="T1010">
        <f>HYPERLINK("https://klasma.github.io/Logging_2280/kartor/A 21740-2021 karta.png", "A 21740-2021")</f>
        <v/>
      </c>
      <c r="V1010">
        <f>HYPERLINK("https://klasma.github.io/Logging_2280/klagomål/A 21740-2021 FSC-klagomål.docx", "A 21740-2021")</f>
        <v/>
      </c>
      <c r="W1010">
        <f>HYPERLINK("https://klasma.github.io/Logging_2280/klagomålsmail/A 21740-2021 FSC-klagomål mail.docx", "A 21740-2021")</f>
        <v/>
      </c>
      <c r="X1010">
        <f>HYPERLINK("https://klasma.github.io/Logging_2280/tillsyn/A 21740-2021 tillsynsbegäran.docx", "A 21740-2021")</f>
        <v/>
      </c>
      <c r="Y1010">
        <f>HYPERLINK("https://klasma.github.io/Logging_2280/tillsynsmail/A 21740-2021 tillsynsbegäran mail.docx", "A 21740-2021")</f>
        <v/>
      </c>
    </row>
    <row r="1011" ht="15" customHeight="1">
      <c r="A1011" t="inlineStr">
        <is>
          <t>A 22395-2021</t>
        </is>
      </c>
      <c r="B1011" s="1" t="n">
        <v>44326</v>
      </c>
      <c r="C1011" s="1" t="n">
        <v>45657</v>
      </c>
      <c r="D1011" t="inlineStr">
        <is>
          <t>VÄSTERNORRLANDS LÄN</t>
        </is>
      </c>
      <c r="E1011" t="inlineStr">
        <is>
          <t>SUNDSVALL</t>
        </is>
      </c>
      <c r="G1011" t="n">
        <v>8.6</v>
      </c>
      <c r="H1011" t="n">
        <v>1</v>
      </c>
      <c r="I1011" t="n">
        <v>0</v>
      </c>
      <c r="J1011" t="n">
        <v>0</v>
      </c>
      <c r="K1011" t="n">
        <v>0</v>
      </c>
      <c r="L1011" t="n">
        <v>0</v>
      </c>
      <c r="M1011" t="n">
        <v>0</v>
      </c>
      <c r="N1011" t="n">
        <v>0</v>
      </c>
      <c r="O1011" t="n">
        <v>0</v>
      </c>
      <c r="P1011" t="n">
        <v>0</v>
      </c>
      <c r="Q1011" t="n">
        <v>1</v>
      </c>
      <c r="R1011" s="2" t="inlineStr">
        <is>
          <t>Gröngöling</t>
        </is>
      </c>
      <c r="S1011">
        <f>HYPERLINK("https://klasma.github.io/Logging_2281/artfynd/A 22395-2021 artfynd.xlsx", "A 22395-2021")</f>
        <v/>
      </c>
      <c r="T1011">
        <f>HYPERLINK("https://klasma.github.io/Logging_2281/kartor/A 22395-2021 karta.png", "A 22395-2021")</f>
        <v/>
      </c>
      <c r="V1011">
        <f>HYPERLINK("https://klasma.github.io/Logging_2281/klagomål/A 22395-2021 FSC-klagomål.docx", "A 22395-2021")</f>
        <v/>
      </c>
      <c r="W1011">
        <f>HYPERLINK("https://klasma.github.io/Logging_2281/klagomålsmail/A 22395-2021 FSC-klagomål mail.docx", "A 22395-2021")</f>
        <v/>
      </c>
      <c r="X1011">
        <f>HYPERLINK("https://klasma.github.io/Logging_2281/tillsyn/A 22395-2021 tillsynsbegäran.docx", "A 22395-2021")</f>
        <v/>
      </c>
      <c r="Y1011">
        <f>HYPERLINK("https://klasma.github.io/Logging_2281/tillsynsmail/A 22395-2021 tillsynsbegäran mail.docx", "A 22395-2021")</f>
        <v/>
      </c>
      <c r="Z1011">
        <f>HYPERLINK("https://klasma.github.io/Logging_2281/fåglar/A 22395-2021 prioriterade fågelarter.docx", "A 22395-2021")</f>
        <v/>
      </c>
    </row>
    <row r="1012" ht="15" customHeight="1">
      <c r="A1012" t="inlineStr">
        <is>
          <t>A 22420-2021</t>
        </is>
      </c>
      <c r="B1012" s="1" t="n">
        <v>44326</v>
      </c>
      <c r="C1012" s="1" t="n">
        <v>45657</v>
      </c>
      <c r="D1012" t="inlineStr">
        <is>
          <t>VÄSTERNORRLANDS LÄN</t>
        </is>
      </c>
      <c r="E1012" t="inlineStr">
        <is>
          <t>SUNDSVALL</t>
        </is>
      </c>
      <c r="F1012" t="inlineStr">
        <is>
          <t>Kyrkan</t>
        </is>
      </c>
      <c r="G1012" t="n">
        <v>21.9</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22420-2021 artfynd.xlsx", "A 22420-2021")</f>
        <v/>
      </c>
      <c r="T1012">
        <f>HYPERLINK("https://klasma.github.io/Logging_2281/kartor/A 22420-2021 karta.png", "A 22420-2021")</f>
        <v/>
      </c>
      <c r="V1012">
        <f>HYPERLINK("https://klasma.github.io/Logging_2281/klagomål/A 22420-2021 FSC-klagomål.docx", "A 22420-2021")</f>
        <v/>
      </c>
      <c r="W1012">
        <f>HYPERLINK("https://klasma.github.io/Logging_2281/klagomålsmail/A 22420-2021 FSC-klagomål mail.docx", "A 22420-2021")</f>
        <v/>
      </c>
      <c r="X1012">
        <f>HYPERLINK("https://klasma.github.io/Logging_2281/tillsyn/A 22420-2021 tillsynsbegäran.docx", "A 22420-2021")</f>
        <v/>
      </c>
      <c r="Y1012">
        <f>HYPERLINK("https://klasma.github.io/Logging_2281/tillsynsmail/A 22420-2021 tillsynsbegäran mail.docx", "A 22420-2021")</f>
        <v/>
      </c>
      <c r="Z1012">
        <f>HYPERLINK("https://klasma.github.io/Logging_2281/fåglar/A 22420-2021 prioriterade fågelarter.docx", "A 22420-2021")</f>
        <v/>
      </c>
    </row>
    <row r="1013" ht="15" customHeight="1">
      <c r="A1013" t="inlineStr">
        <is>
          <t>A 22862-2021</t>
        </is>
      </c>
      <c r="B1013" s="1" t="n">
        <v>44326</v>
      </c>
      <c r="C1013" s="1" t="n">
        <v>45657</v>
      </c>
      <c r="D1013" t="inlineStr">
        <is>
          <t>VÄSTERNORRLANDS LÄN</t>
        </is>
      </c>
      <c r="E1013" t="inlineStr">
        <is>
          <t>SOLLEFTEÅ</t>
        </is>
      </c>
      <c r="F1013" t="inlineStr">
        <is>
          <t>Kommuner</t>
        </is>
      </c>
      <c r="G1013" t="n">
        <v>2</v>
      </c>
      <c r="H1013" t="n">
        <v>1</v>
      </c>
      <c r="I1013" t="n">
        <v>0</v>
      </c>
      <c r="J1013" t="n">
        <v>0</v>
      </c>
      <c r="K1013" t="n">
        <v>1</v>
      </c>
      <c r="L1013" t="n">
        <v>0</v>
      </c>
      <c r="M1013" t="n">
        <v>0</v>
      </c>
      <c r="N1013" t="n">
        <v>0</v>
      </c>
      <c r="O1013" t="n">
        <v>1</v>
      </c>
      <c r="P1013" t="n">
        <v>1</v>
      </c>
      <c r="Q1013" t="n">
        <v>1</v>
      </c>
      <c r="R1013" s="2" t="inlineStr">
        <is>
          <t>Lappuggla</t>
        </is>
      </c>
      <c r="S1013">
        <f>HYPERLINK("https://klasma.github.io/Logging_2283/artfynd/A 22862-2021 artfynd.xlsx", "A 22862-2021")</f>
        <v/>
      </c>
      <c r="T1013">
        <f>HYPERLINK("https://klasma.github.io/Logging_2283/kartor/A 22862-2021 karta.png", "A 22862-2021")</f>
        <v/>
      </c>
      <c r="V1013">
        <f>HYPERLINK("https://klasma.github.io/Logging_2283/klagomål/A 22862-2021 FSC-klagomål.docx", "A 22862-2021")</f>
        <v/>
      </c>
      <c r="W1013">
        <f>HYPERLINK("https://klasma.github.io/Logging_2283/klagomålsmail/A 22862-2021 FSC-klagomål mail.docx", "A 22862-2021")</f>
        <v/>
      </c>
      <c r="X1013">
        <f>HYPERLINK("https://klasma.github.io/Logging_2283/tillsyn/A 22862-2021 tillsynsbegäran.docx", "A 22862-2021")</f>
        <v/>
      </c>
      <c r="Y1013">
        <f>HYPERLINK("https://klasma.github.io/Logging_2283/tillsynsmail/A 22862-2021 tillsynsbegäran mail.docx", "A 22862-2021")</f>
        <v/>
      </c>
      <c r="Z1013">
        <f>HYPERLINK("https://klasma.github.io/Logging_2283/fåglar/A 22862-2021 prioriterade fågelarter.docx", "A 22862-2021")</f>
        <v/>
      </c>
    </row>
    <row r="1014" ht="15" customHeight="1">
      <c r="A1014" t="inlineStr">
        <is>
          <t>A 23217-2021</t>
        </is>
      </c>
      <c r="B1014" s="1" t="n">
        <v>44333</v>
      </c>
      <c r="C1014" s="1" t="n">
        <v>45657</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23217-2021 artfynd.xlsx", "A 23217-2021")</f>
        <v/>
      </c>
      <c r="T1014">
        <f>HYPERLINK("https://klasma.github.io/Logging_2284/kartor/A 23217-2021 karta.png", "A 23217-2021")</f>
        <v/>
      </c>
      <c r="V1014">
        <f>HYPERLINK("https://klasma.github.io/Logging_2284/klagomål/A 23217-2021 FSC-klagomål.docx", "A 23217-2021")</f>
        <v/>
      </c>
      <c r="W1014">
        <f>HYPERLINK("https://klasma.github.io/Logging_2284/klagomålsmail/A 23217-2021 FSC-klagomål mail.docx", "A 23217-2021")</f>
        <v/>
      </c>
      <c r="X1014">
        <f>HYPERLINK("https://klasma.github.io/Logging_2284/tillsyn/A 23217-2021 tillsynsbegäran.docx", "A 23217-2021")</f>
        <v/>
      </c>
      <c r="Y1014">
        <f>HYPERLINK("https://klasma.github.io/Logging_2284/tillsynsmail/A 23217-2021 tillsynsbegäran mail.docx", "A 23217-2021")</f>
        <v/>
      </c>
    </row>
    <row r="1015" ht="15" customHeight="1">
      <c r="A1015" t="inlineStr">
        <is>
          <t>A 25455-2021</t>
        </is>
      </c>
      <c r="B1015" s="1" t="n">
        <v>44342</v>
      </c>
      <c r="C1015" s="1" t="n">
        <v>45657</v>
      </c>
      <c r="D1015" t="inlineStr">
        <is>
          <t>VÄSTERNORRLANDS LÄN</t>
        </is>
      </c>
      <c r="E1015" t="inlineStr">
        <is>
          <t>ÖRNSKÖLDSVIK</t>
        </is>
      </c>
      <c r="F1015" t="inlineStr">
        <is>
          <t>Holmen skog AB</t>
        </is>
      </c>
      <c r="G1015" t="n">
        <v>5.6</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25455-2021 artfynd.xlsx", "A 25455-2021")</f>
        <v/>
      </c>
      <c r="T1015">
        <f>HYPERLINK("https://klasma.github.io/Logging_2284/kartor/A 25455-2021 karta.png", "A 25455-2021")</f>
        <v/>
      </c>
      <c r="V1015">
        <f>HYPERLINK("https://klasma.github.io/Logging_2284/klagomål/A 25455-2021 FSC-klagomål.docx", "A 25455-2021")</f>
        <v/>
      </c>
      <c r="W1015">
        <f>HYPERLINK("https://klasma.github.io/Logging_2284/klagomålsmail/A 25455-2021 FSC-klagomål mail.docx", "A 25455-2021")</f>
        <v/>
      </c>
      <c r="X1015">
        <f>HYPERLINK("https://klasma.github.io/Logging_2284/tillsyn/A 25455-2021 tillsynsbegäran.docx", "A 25455-2021")</f>
        <v/>
      </c>
      <c r="Y1015">
        <f>HYPERLINK("https://klasma.github.io/Logging_2284/tillsynsmail/A 25455-2021 tillsynsbegäran mail.docx", "A 25455-2021")</f>
        <v/>
      </c>
    </row>
    <row r="1016" ht="15" customHeight="1">
      <c r="A1016" t="inlineStr">
        <is>
          <t>A 28332-2021</t>
        </is>
      </c>
      <c r="B1016" s="1" t="n">
        <v>44356</v>
      </c>
      <c r="C1016" s="1" t="n">
        <v>45657</v>
      </c>
      <c r="D1016" t="inlineStr">
        <is>
          <t>VÄSTERNORRLANDS LÄN</t>
        </is>
      </c>
      <c r="E1016" t="inlineStr">
        <is>
          <t>SUNDSVALL</t>
        </is>
      </c>
      <c r="G1016" t="n">
        <v>11.8</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HYPERLINK("https://klasma.github.io/Logging_2281/artfynd/A 28332-2021 artfynd.xlsx", "A 28332-2021")</f>
        <v/>
      </c>
      <c r="T1016">
        <f>HYPERLINK("https://klasma.github.io/Logging_2281/kartor/A 28332-2021 karta.png", "A 28332-2021")</f>
        <v/>
      </c>
      <c r="V1016">
        <f>HYPERLINK("https://klasma.github.io/Logging_2281/klagomål/A 28332-2021 FSC-klagomål.docx", "A 28332-2021")</f>
        <v/>
      </c>
      <c r="W1016">
        <f>HYPERLINK("https://klasma.github.io/Logging_2281/klagomålsmail/A 28332-2021 FSC-klagomål mail.docx", "A 28332-2021")</f>
        <v/>
      </c>
      <c r="X1016">
        <f>HYPERLINK("https://klasma.github.io/Logging_2281/tillsyn/A 28332-2021 tillsynsbegäran.docx", "A 28332-2021")</f>
        <v/>
      </c>
      <c r="Y1016">
        <f>HYPERLINK("https://klasma.github.io/Logging_2281/tillsynsmail/A 28332-2021 tillsynsbegäran mail.docx", "A 28332-2021")</f>
        <v/>
      </c>
    </row>
    <row r="1017" ht="15" customHeight="1">
      <c r="A1017" t="inlineStr">
        <is>
          <t>A 31578-2021</t>
        </is>
      </c>
      <c r="B1017" s="1" t="n">
        <v>44369</v>
      </c>
      <c r="C1017" s="1" t="n">
        <v>45657</v>
      </c>
      <c r="D1017" t="inlineStr">
        <is>
          <t>VÄSTERNORRLANDS LÄN</t>
        </is>
      </c>
      <c r="E1017" t="inlineStr">
        <is>
          <t>ÅNGE</t>
        </is>
      </c>
      <c r="G1017" t="n">
        <v>25.8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31578-2021 artfynd.xlsx", "A 31578-2021")</f>
        <v/>
      </c>
      <c r="T1017">
        <f>HYPERLINK("https://klasma.github.io/Logging_2260/kartor/A 31578-2021 karta.png", "A 31578-2021")</f>
        <v/>
      </c>
      <c r="U1017">
        <f>HYPERLINK("https://klasma.github.io/Logging_2260/knärot/A 31578-2021 karta knärot.png", "A 31578-2021")</f>
        <v/>
      </c>
      <c r="V1017">
        <f>HYPERLINK("https://klasma.github.io/Logging_2260/klagomål/A 31578-2021 FSC-klagomål.docx", "A 31578-2021")</f>
        <v/>
      </c>
      <c r="W1017">
        <f>HYPERLINK("https://klasma.github.io/Logging_2260/klagomålsmail/A 31578-2021 FSC-klagomål mail.docx", "A 31578-2021")</f>
        <v/>
      </c>
      <c r="X1017">
        <f>HYPERLINK("https://klasma.github.io/Logging_2260/tillsyn/A 31578-2021 tillsynsbegäran.docx", "A 31578-2021")</f>
        <v/>
      </c>
      <c r="Y1017">
        <f>HYPERLINK("https://klasma.github.io/Logging_2260/tillsynsmail/A 31578-2021 tillsynsbegäran mail.docx", "A 31578-2021")</f>
        <v/>
      </c>
    </row>
    <row r="1018" ht="15" customHeight="1">
      <c r="A1018" t="inlineStr">
        <is>
          <t>A 32102-2021</t>
        </is>
      </c>
      <c r="B1018" s="1" t="n">
        <v>44370</v>
      </c>
      <c r="C1018" s="1" t="n">
        <v>45657</v>
      </c>
      <c r="D1018" t="inlineStr">
        <is>
          <t>VÄSTERNORRLANDS LÄN</t>
        </is>
      </c>
      <c r="E1018" t="inlineStr">
        <is>
          <t>HÄRNÖSAND</t>
        </is>
      </c>
      <c r="F1018" t="inlineStr">
        <is>
          <t>SCA</t>
        </is>
      </c>
      <c r="G1018" t="n">
        <v>1.3</v>
      </c>
      <c r="H1018" t="n">
        <v>0</v>
      </c>
      <c r="I1018" t="n">
        <v>0</v>
      </c>
      <c r="J1018" t="n">
        <v>1</v>
      </c>
      <c r="K1018" t="n">
        <v>0</v>
      </c>
      <c r="L1018" t="n">
        <v>0</v>
      </c>
      <c r="M1018" t="n">
        <v>0</v>
      </c>
      <c r="N1018" t="n">
        <v>0</v>
      </c>
      <c r="O1018" t="n">
        <v>1</v>
      </c>
      <c r="P1018" t="n">
        <v>0</v>
      </c>
      <c r="Q1018" t="n">
        <v>1</v>
      </c>
      <c r="R1018" s="2" t="inlineStr">
        <is>
          <t>Vedflamlav</t>
        </is>
      </c>
      <c r="S1018">
        <f>HYPERLINK("https://klasma.github.io/Logging_2280/artfynd/A 32102-2021 artfynd.xlsx", "A 32102-2021")</f>
        <v/>
      </c>
      <c r="T1018">
        <f>HYPERLINK("https://klasma.github.io/Logging_2280/kartor/A 32102-2021 karta.png", "A 32102-2021")</f>
        <v/>
      </c>
      <c r="V1018">
        <f>HYPERLINK("https://klasma.github.io/Logging_2280/klagomål/A 32102-2021 FSC-klagomål.docx", "A 32102-2021")</f>
        <v/>
      </c>
      <c r="W1018">
        <f>HYPERLINK("https://klasma.github.io/Logging_2280/klagomålsmail/A 32102-2021 FSC-klagomål mail.docx", "A 32102-2021")</f>
        <v/>
      </c>
      <c r="X1018">
        <f>HYPERLINK("https://klasma.github.io/Logging_2280/tillsyn/A 32102-2021 tillsynsbegäran.docx", "A 32102-2021")</f>
        <v/>
      </c>
      <c r="Y1018">
        <f>HYPERLINK("https://klasma.github.io/Logging_2280/tillsynsmail/A 32102-2021 tillsynsbegäran mail.docx", "A 32102-2021")</f>
        <v/>
      </c>
    </row>
    <row r="1019" ht="15" customHeight="1">
      <c r="A1019" t="inlineStr">
        <is>
          <t>A 35018-2021</t>
        </is>
      </c>
      <c r="B1019" s="1" t="n">
        <v>44383</v>
      </c>
      <c r="C1019" s="1" t="n">
        <v>45657</v>
      </c>
      <c r="D1019" t="inlineStr">
        <is>
          <t>VÄSTERNORRLANDS LÄN</t>
        </is>
      </c>
      <c r="E1019" t="inlineStr">
        <is>
          <t>ÅNGE</t>
        </is>
      </c>
      <c r="F1019" t="inlineStr">
        <is>
          <t>Sveaskog</t>
        </is>
      </c>
      <c r="G1019" t="n">
        <v>9.5</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35018-2021 artfynd.xlsx", "A 35018-2021")</f>
        <v/>
      </c>
      <c r="T1019">
        <f>HYPERLINK("https://klasma.github.io/Logging_2260/kartor/A 35018-2021 karta.png", "A 35018-2021")</f>
        <v/>
      </c>
      <c r="V1019">
        <f>HYPERLINK("https://klasma.github.io/Logging_2260/klagomål/A 35018-2021 FSC-klagomål.docx", "A 35018-2021")</f>
        <v/>
      </c>
      <c r="W1019">
        <f>HYPERLINK("https://klasma.github.io/Logging_2260/klagomålsmail/A 35018-2021 FSC-klagomål mail.docx", "A 35018-2021")</f>
        <v/>
      </c>
      <c r="X1019">
        <f>HYPERLINK("https://klasma.github.io/Logging_2260/tillsyn/A 35018-2021 tillsynsbegäran.docx", "A 35018-2021")</f>
        <v/>
      </c>
      <c r="Y1019">
        <f>HYPERLINK("https://klasma.github.io/Logging_2260/tillsynsmail/A 35018-2021 tillsynsbegäran mail.docx", "A 35018-2021")</f>
        <v/>
      </c>
    </row>
    <row r="1020" ht="15" customHeight="1">
      <c r="A1020" t="inlineStr">
        <is>
          <t>A 37057-2021</t>
        </is>
      </c>
      <c r="B1020" s="1" t="n">
        <v>44394</v>
      </c>
      <c r="C1020" s="1" t="n">
        <v>45657</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37043-2021</t>
        </is>
      </c>
      <c r="B1021" s="1" t="n">
        <v>44393</v>
      </c>
      <c r="C1021" s="1" t="n">
        <v>45657</v>
      </c>
      <c r="D1021" t="inlineStr">
        <is>
          <t>VÄSTERNORRLANDS LÄN</t>
        </is>
      </c>
      <c r="E1021" t="inlineStr">
        <is>
          <t>SOLLEFTEÅ</t>
        </is>
      </c>
      <c r="F1021" t="inlineStr">
        <is>
          <t>SCA</t>
        </is>
      </c>
      <c r="G1021" t="n">
        <v>2.9</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37043-2021 artfynd.xlsx", "A 37043-2021")</f>
        <v/>
      </c>
      <c r="T1021">
        <f>HYPERLINK("https://klasma.github.io/Logging_2283/kartor/A 37043-2021 karta.png", "A 37043-2021")</f>
        <v/>
      </c>
      <c r="V1021">
        <f>HYPERLINK("https://klasma.github.io/Logging_2283/klagomål/A 37043-2021 FSC-klagomål.docx", "A 37043-2021")</f>
        <v/>
      </c>
      <c r="W1021">
        <f>HYPERLINK("https://klasma.github.io/Logging_2283/klagomålsmail/A 37043-2021 FSC-klagomål mail.docx", "A 37043-2021")</f>
        <v/>
      </c>
      <c r="X1021">
        <f>HYPERLINK("https://klasma.github.io/Logging_2283/tillsyn/A 37043-2021 tillsynsbegäran.docx", "A 37043-2021")</f>
        <v/>
      </c>
      <c r="Y1021">
        <f>HYPERLINK("https://klasma.github.io/Logging_2283/tillsynsmail/A 37043-2021 tillsynsbegäran mail.docx", "A 37043-2021")</f>
        <v/>
      </c>
    </row>
    <row r="1022" ht="15" customHeight="1">
      <c r="A1022" t="inlineStr">
        <is>
          <t>A 37231-2021</t>
        </is>
      </c>
      <c r="B1022" s="1" t="n">
        <v>44396</v>
      </c>
      <c r="C1022" s="1" t="n">
        <v>45657</v>
      </c>
      <c r="D1022" t="inlineStr">
        <is>
          <t>VÄSTERNORRLANDS LÄN</t>
        </is>
      </c>
      <c r="E1022" t="inlineStr">
        <is>
          <t>SUNDSVALL</t>
        </is>
      </c>
      <c r="F1022" t="inlineStr">
        <is>
          <t>SCA</t>
        </is>
      </c>
      <c r="G1022" t="n">
        <v>7.3</v>
      </c>
      <c r="H1022" t="n">
        <v>1</v>
      </c>
      <c r="I1022" t="n">
        <v>0</v>
      </c>
      <c r="J1022" t="n">
        <v>0</v>
      </c>
      <c r="K1022" t="n">
        <v>0</v>
      </c>
      <c r="L1022" t="n">
        <v>0</v>
      </c>
      <c r="M1022" t="n">
        <v>0</v>
      </c>
      <c r="N1022" t="n">
        <v>0</v>
      </c>
      <c r="O1022" t="n">
        <v>0</v>
      </c>
      <c r="P1022" t="n">
        <v>0</v>
      </c>
      <c r="Q1022" t="n">
        <v>1</v>
      </c>
      <c r="R1022" s="2" t="inlineStr">
        <is>
          <t>Orre</t>
        </is>
      </c>
      <c r="S1022">
        <f>HYPERLINK("https://klasma.github.io/Logging_2281/artfynd/A 37231-2021 artfynd.xlsx", "A 37231-2021")</f>
        <v/>
      </c>
      <c r="T1022">
        <f>HYPERLINK("https://klasma.github.io/Logging_2281/kartor/A 37231-2021 karta.png", "A 37231-2021")</f>
        <v/>
      </c>
      <c r="V1022">
        <f>HYPERLINK("https://klasma.github.io/Logging_2281/klagomål/A 37231-2021 FSC-klagomål.docx", "A 37231-2021")</f>
        <v/>
      </c>
      <c r="W1022">
        <f>HYPERLINK("https://klasma.github.io/Logging_2281/klagomålsmail/A 37231-2021 FSC-klagomål mail.docx", "A 37231-2021")</f>
        <v/>
      </c>
      <c r="X1022">
        <f>HYPERLINK("https://klasma.github.io/Logging_2281/tillsyn/A 37231-2021 tillsynsbegäran.docx", "A 37231-2021")</f>
        <v/>
      </c>
      <c r="Y1022">
        <f>HYPERLINK("https://klasma.github.io/Logging_2281/tillsynsmail/A 37231-2021 tillsynsbegäran mail.docx", "A 37231-2021")</f>
        <v/>
      </c>
      <c r="Z1022">
        <f>HYPERLINK("https://klasma.github.io/Logging_2281/fåglar/A 37231-2021 prioriterade fågelarter.docx", "A 37231-2021")</f>
        <v/>
      </c>
    </row>
    <row r="1023" ht="15" customHeight="1">
      <c r="A1023" t="inlineStr">
        <is>
          <t>A 40123-2021</t>
        </is>
      </c>
      <c r="B1023" s="1" t="n">
        <v>44418</v>
      </c>
      <c r="C1023" s="1" t="n">
        <v>45657</v>
      </c>
      <c r="D1023" t="inlineStr">
        <is>
          <t>VÄSTERNORRLANDS LÄN</t>
        </is>
      </c>
      <c r="E1023" t="inlineStr">
        <is>
          <t>SUNDSVALL</t>
        </is>
      </c>
      <c r="G1023" t="n">
        <v>12.2</v>
      </c>
      <c r="H1023" t="n">
        <v>1</v>
      </c>
      <c r="I1023" t="n">
        <v>0</v>
      </c>
      <c r="J1023" t="n">
        <v>1</v>
      </c>
      <c r="K1023" t="n">
        <v>0</v>
      </c>
      <c r="L1023" t="n">
        <v>0</v>
      </c>
      <c r="M1023" t="n">
        <v>0</v>
      </c>
      <c r="N1023" t="n">
        <v>0</v>
      </c>
      <c r="O1023" t="n">
        <v>1</v>
      </c>
      <c r="P1023" t="n">
        <v>0</v>
      </c>
      <c r="Q1023" t="n">
        <v>1</v>
      </c>
      <c r="R1023" s="2" t="inlineStr">
        <is>
          <t>Skogsfru</t>
        </is>
      </c>
      <c r="S1023">
        <f>HYPERLINK("https://klasma.github.io/Logging_2281/artfynd/A 40123-2021 artfynd.xlsx", "A 40123-2021")</f>
        <v/>
      </c>
      <c r="T1023">
        <f>HYPERLINK("https://klasma.github.io/Logging_2281/kartor/A 40123-2021 karta.png", "A 40123-2021")</f>
        <v/>
      </c>
      <c r="V1023">
        <f>HYPERLINK("https://klasma.github.io/Logging_2281/klagomål/A 40123-2021 FSC-klagomål.docx", "A 40123-2021")</f>
        <v/>
      </c>
      <c r="W1023">
        <f>HYPERLINK("https://klasma.github.io/Logging_2281/klagomålsmail/A 40123-2021 FSC-klagomål mail.docx", "A 40123-2021")</f>
        <v/>
      </c>
      <c r="X1023">
        <f>HYPERLINK("https://klasma.github.io/Logging_2281/tillsyn/A 40123-2021 tillsynsbegäran.docx", "A 40123-2021")</f>
        <v/>
      </c>
      <c r="Y1023">
        <f>HYPERLINK("https://klasma.github.io/Logging_2281/tillsynsmail/A 40123-2021 tillsynsbegäran mail.docx", "A 40123-2021")</f>
        <v/>
      </c>
    </row>
    <row r="1024" ht="15" customHeight="1">
      <c r="A1024" t="inlineStr">
        <is>
          <t>A 41493-2021</t>
        </is>
      </c>
      <c r="B1024" s="1" t="n">
        <v>44424</v>
      </c>
      <c r="C1024" s="1" t="n">
        <v>45657</v>
      </c>
      <c r="D1024" t="inlineStr">
        <is>
          <t>VÄSTERNORRLANDS LÄN</t>
        </is>
      </c>
      <c r="E1024" t="inlineStr">
        <is>
          <t>ÅNGE</t>
        </is>
      </c>
      <c r="F1024" t="inlineStr">
        <is>
          <t>SCA</t>
        </is>
      </c>
      <c r="G1024" t="n">
        <v>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41493-2021 artfynd.xlsx", "A 41493-2021")</f>
        <v/>
      </c>
      <c r="T1024">
        <f>HYPERLINK("https://klasma.github.io/Logging_2260/kartor/A 41493-2021 karta.png", "A 41493-2021")</f>
        <v/>
      </c>
      <c r="U1024">
        <f>HYPERLINK("https://klasma.github.io/Logging_2260/knärot/A 41493-2021 karta knärot.png", "A 41493-2021")</f>
        <v/>
      </c>
      <c r="V1024">
        <f>HYPERLINK("https://klasma.github.io/Logging_2260/klagomål/A 41493-2021 FSC-klagomål.docx", "A 41493-2021")</f>
        <v/>
      </c>
      <c r="W1024">
        <f>HYPERLINK("https://klasma.github.io/Logging_2260/klagomålsmail/A 41493-2021 FSC-klagomål mail.docx", "A 41493-2021")</f>
        <v/>
      </c>
      <c r="X1024">
        <f>HYPERLINK("https://klasma.github.io/Logging_2260/tillsyn/A 41493-2021 tillsynsbegäran.docx", "A 41493-2021")</f>
        <v/>
      </c>
      <c r="Y1024">
        <f>HYPERLINK("https://klasma.github.io/Logging_2260/tillsynsmail/A 41493-2021 tillsynsbegäran mail.docx", "A 41493-2021")</f>
        <v/>
      </c>
    </row>
    <row r="1025" ht="15" customHeight="1">
      <c r="A1025" t="inlineStr">
        <is>
          <t>A 42224-2021</t>
        </is>
      </c>
      <c r="B1025" s="1" t="n">
        <v>44426</v>
      </c>
      <c r="C1025" s="1" t="n">
        <v>45657</v>
      </c>
      <c r="D1025" t="inlineStr">
        <is>
          <t>VÄSTERNORRLANDS LÄN</t>
        </is>
      </c>
      <c r="E1025" t="inlineStr">
        <is>
          <t>SOLLEFTEÅ</t>
        </is>
      </c>
      <c r="G1025" t="n">
        <v>0.6</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42224-2021 artfynd.xlsx", "A 42224-2021")</f>
        <v/>
      </c>
      <c r="T1025">
        <f>HYPERLINK("https://klasma.github.io/Logging_2283/kartor/A 42224-2021 karta.png", "A 42224-2021")</f>
        <v/>
      </c>
      <c r="V1025">
        <f>HYPERLINK("https://klasma.github.io/Logging_2283/klagomål/A 42224-2021 FSC-klagomål.docx", "A 42224-2021")</f>
        <v/>
      </c>
      <c r="W1025">
        <f>HYPERLINK("https://klasma.github.io/Logging_2283/klagomålsmail/A 42224-2021 FSC-klagomål mail.docx", "A 42224-2021")</f>
        <v/>
      </c>
      <c r="X1025">
        <f>HYPERLINK("https://klasma.github.io/Logging_2283/tillsyn/A 42224-2021 tillsynsbegäran.docx", "A 42224-2021")</f>
        <v/>
      </c>
      <c r="Y1025">
        <f>HYPERLINK("https://klasma.github.io/Logging_2283/tillsynsmail/A 42224-2021 tillsynsbegäran mail.docx", "A 42224-2021")</f>
        <v/>
      </c>
    </row>
    <row r="1026" ht="15" customHeight="1">
      <c r="A1026" t="inlineStr">
        <is>
          <t>A 45355-2021</t>
        </is>
      </c>
      <c r="B1026" s="1" t="n">
        <v>44439</v>
      </c>
      <c r="C1026" s="1" t="n">
        <v>45657</v>
      </c>
      <c r="D1026" t="inlineStr">
        <is>
          <t>VÄSTERNORRLANDS LÄN</t>
        </is>
      </c>
      <c r="E1026" t="inlineStr">
        <is>
          <t>ÅNGE</t>
        </is>
      </c>
      <c r="F1026" t="inlineStr">
        <is>
          <t>SCA</t>
        </is>
      </c>
      <c r="G1026" t="n">
        <v>1.7</v>
      </c>
      <c r="H1026" t="n">
        <v>0</v>
      </c>
      <c r="I1026" t="n">
        <v>0</v>
      </c>
      <c r="J1026" t="n">
        <v>1</v>
      </c>
      <c r="K1026" t="n">
        <v>0</v>
      </c>
      <c r="L1026" t="n">
        <v>0</v>
      </c>
      <c r="M1026" t="n">
        <v>0</v>
      </c>
      <c r="N1026" t="n">
        <v>0</v>
      </c>
      <c r="O1026" t="n">
        <v>1</v>
      </c>
      <c r="P1026" t="n">
        <v>0</v>
      </c>
      <c r="Q1026" t="n">
        <v>1</v>
      </c>
      <c r="R1026" s="2" t="inlineStr">
        <is>
          <t>Stiftgelélav</t>
        </is>
      </c>
      <c r="S1026">
        <f>HYPERLINK("https://klasma.github.io/Logging_2260/artfynd/A 45355-2021 artfynd.xlsx", "A 45355-2021")</f>
        <v/>
      </c>
      <c r="T1026">
        <f>HYPERLINK("https://klasma.github.io/Logging_2260/kartor/A 45355-2021 karta.png", "A 45355-2021")</f>
        <v/>
      </c>
      <c r="V1026">
        <f>HYPERLINK("https://klasma.github.io/Logging_2260/klagomål/A 45355-2021 FSC-klagomål.docx", "A 45355-2021")</f>
        <v/>
      </c>
      <c r="W1026">
        <f>HYPERLINK("https://klasma.github.io/Logging_2260/klagomålsmail/A 45355-2021 FSC-klagomål mail.docx", "A 45355-2021")</f>
        <v/>
      </c>
      <c r="X1026">
        <f>HYPERLINK("https://klasma.github.io/Logging_2260/tillsyn/A 45355-2021 tillsynsbegäran.docx", "A 45355-2021")</f>
        <v/>
      </c>
      <c r="Y1026">
        <f>HYPERLINK("https://klasma.github.io/Logging_2260/tillsynsmail/A 45355-2021 tillsynsbegäran mail.docx", "A 45355-2021")</f>
        <v/>
      </c>
    </row>
    <row r="1027" ht="15" customHeight="1">
      <c r="A1027" t="inlineStr">
        <is>
          <t>A 45551-2021</t>
        </is>
      </c>
      <c r="B1027" s="1" t="n">
        <v>44440</v>
      </c>
      <c r="C1027" s="1" t="n">
        <v>45657</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51019-2021</t>
        </is>
      </c>
      <c r="B1028" s="1" t="n">
        <v>44460</v>
      </c>
      <c r="C1028" s="1" t="n">
        <v>45657</v>
      </c>
      <c r="D1028" t="inlineStr">
        <is>
          <t>VÄSTERNORRLANDS LÄN</t>
        </is>
      </c>
      <c r="E1028" t="inlineStr">
        <is>
          <t>SOLLEFTEÅ</t>
        </is>
      </c>
      <c r="F1028" t="inlineStr">
        <is>
          <t>SCA</t>
        </is>
      </c>
      <c r="G1028" t="n">
        <v>2.1</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HYPERLINK("https://klasma.github.io/Logging_2283/artfynd/A 51019-2021 artfynd.xlsx", "A 51019-2021")</f>
        <v/>
      </c>
      <c r="T1028">
        <f>HYPERLINK("https://klasma.github.io/Logging_2283/kartor/A 51019-2021 karta.png", "A 51019-2021")</f>
        <v/>
      </c>
      <c r="V1028">
        <f>HYPERLINK("https://klasma.github.io/Logging_2283/klagomål/A 51019-2021 FSC-klagomål.docx", "A 51019-2021")</f>
        <v/>
      </c>
      <c r="W1028">
        <f>HYPERLINK("https://klasma.github.io/Logging_2283/klagomålsmail/A 51019-2021 FSC-klagomål mail.docx", "A 51019-2021")</f>
        <v/>
      </c>
      <c r="X1028">
        <f>HYPERLINK("https://klasma.github.io/Logging_2283/tillsyn/A 51019-2021 tillsynsbegäran.docx", "A 51019-2021")</f>
        <v/>
      </c>
      <c r="Y1028">
        <f>HYPERLINK("https://klasma.github.io/Logging_2283/tillsynsmail/A 51019-2021 tillsynsbegäran mail.docx", "A 51019-2021")</f>
        <v/>
      </c>
    </row>
    <row r="1029" ht="15" customHeight="1">
      <c r="A1029" t="inlineStr">
        <is>
          <t>A 54751-2021</t>
        </is>
      </c>
      <c r="B1029" s="1" t="n">
        <v>44473</v>
      </c>
      <c r="C1029" s="1" t="n">
        <v>45657</v>
      </c>
      <c r="D1029" t="inlineStr">
        <is>
          <t>VÄSTERNORRLANDS LÄN</t>
        </is>
      </c>
      <c r="E1029" t="inlineStr">
        <is>
          <t>ÅNGE</t>
        </is>
      </c>
      <c r="G1029" t="n">
        <v>6.5</v>
      </c>
      <c r="H1029" t="n">
        <v>0</v>
      </c>
      <c r="I1029" t="n">
        <v>0</v>
      </c>
      <c r="J1029" t="n">
        <v>0</v>
      </c>
      <c r="K1029" t="n">
        <v>1</v>
      </c>
      <c r="L1029" t="n">
        <v>0</v>
      </c>
      <c r="M1029" t="n">
        <v>0</v>
      </c>
      <c r="N1029" t="n">
        <v>0</v>
      </c>
      <c r="O1029" t="n">
        <v>1</v>
      </c>
      <c r="P1029" t="n">
        <v>1</v>
      </c>
      <c r="Q1029" t="n">
        <v>1</v>
      </c>
      <c r="R1029" s="2" t="inlineStr">
        <is>
          <t>Gräddporing</t>
        </is>
      </c>
      <c r="S1029">
        <f>HYPERLINK("https://klasma.github.io/Logging_2260/artfynd/A 54751-2021 artfynd.xlsx", "A 54751-2021")</f>
        <v/>
      </c>
      <c r="T1029">
        <f>HYPERLINK("https://klasma.github.io/Logging_2260/kartor/A 54751-2021 karta.png", "A 54751-2021")</f>
        <v/>
      </c>
      <c r="V1029">
        <f>HYPERLINK("https://klasma.github.io/Logging_2260/klagomål/A 54751-2021 FSC-klagomål.docx", "A 54751-2021")</f>
        <v/>
      </c>
      <c r="W1029">
        <f>HYPERLINK("https://klasma.github.io/Logging_2260/klagomålsmail/A 54751-2021 FSC-klagomål mail.docx", "A 54751-2021")</f>
        <v/>
      </c>
      <c r="X1029">
        <f>HYPERLINK("https://klasma.github.io/Logging_2260/tillsyn/A 54751-2021 tillsynsbegäran.docx", "A 54751-2021")</f>
        <v/>
      </c>
      <c r="Y1029">
        <f>HYPERLINK("https://klasma.github.io/Logging_2260/tillsynsmail/A 54751-2021 tillsynsbegäran mail.docx", "A 54751-2021")</f>
        <v/>
      </c>
    </row>
    <row r="1030" ht="15" customHeight="1">
      <c r="A1030" t="inlineStr">
        <is>
          <t>A 57562-2021</t>
        </is>
      </c>
      <c r="B1030" s="1" t="n">
        <v>44483</v>
      </c>
      <c r="C1030" s="1" t="n">
        <v>45657</v>
      </c>
      <c r="D1030" t="inlineStr">
        <is>
          <t>VÄSTERNORRLANDS LÄN</t>
        </is>
      </c>
      <c r="E1030" t="inlineStr">
        <is>
          <t>ÅNGE</t>
        </is>
      </c>
      <c r="F1030" t="inlineStr">
        <is>
          <t>SCA</t>
        </is>
      </c>
      <c r="G1030" t="n">
        <v>10.7</v>
      </c>
      <c r="H1030" t="n">
        <v>0</v>
      </c>
      <c r="I1030" t="n">
        <v>1</v>
      </c>
      <c r="J1030" t="n">
        <v>0</v>
      </c>
      <c r="K1030" t="n">
        <v>0</v>
      </c>
      <c r="L1030" t="n">
        <v>0</v>
      </c>
      <c r="M1030" t="n">
        <v>0</v>
      </c>
      <c r="N1030" t="n">
        <v>0</v>
      </c>
      <c r="O1030" t="n">
        <v>0</v>
      </c>
      <c r="P1030" t="n">
        <v>0</v>
      </c>
      <c r="Q1030" t="n">
        <v>1</v>
      </c>
      <c r="R1030" s="2" t="inlineStr">
        <is>
          <t>Ögonpyrola</t>
        </is>
      </c>
      <c r="S1030">
        <f>HYPERLINK("https://klasma.github.io/Logging_2260/artfynd/A 57562-2021 artfynd.xlsx", "A 57562-2021")</f>
        <v/>
      </c>
      <c r="T1030">
        <f>HYPERLINK("https://klasma.github.io/Logging_2260/kartor/A 57562-2021 karta.png", "A 57562-2021")</f>
        <v/>
      </c>
      <c r="V1030">
        <f>HYPERLINK("https://klasma.github.io/Logging_2260/klagomål/A 57562-2021 FSC-klagomål.docx", "A 57562-2021")</f>
        <v/>
      </c>
      <c r="W1030">
        <f>HYPERLINK("https://klasma.github.io/Logging_2260/klagomålsmail/A 57562-2021 FSC-klagomål mail.docx", "A 57562-2021")</f>
        <v/>
      </c>
      <c r="X1030">
        <f>HYPERLINK("https://klasma.github.io/Logging_2260/tillsyn/A 57562-2021 tillsynsbegäran.docx", "A 57562-2021")</f>
        <v/>
      </c>
      <c r="Y1030">
        <f>HYPERLINK("https://klasma.github.io/Logging_2260/tillsynsmail/A 57562-2021 tillsynsbegäran mail.docx", "A 57562-2021")</f>
        <v/>
      </c>
    </row>
    <row r="1031" ht="15" customHeight="1">
      <c r="A1031" t="inlineStr">
        <is>
          <t>A 58162-2021</t>
        </is>
      </c>
      <c r="B1031" s="1" t="n">
        <v>44487</v>
      </c>
      <c r="C1031" s="1" t="n">
        <v>45657</v>
      </c>
      <c r="D1031" t="inlineStr">
        <is>
          <t>VÄSTERNORRLANDS LÄN</t>
        </is>
      </c>
      <c r="E1031" t="inlineStr">
        <is>
          <t>ÖRNSKÖLDSVIK</t>
        </is>
      </c>
      <c r="G1031" t="n">
        <v>4.9</v>
      </c>
      <c r="H1031" t="n">
        <v>1</v>
      </c>
      <c r="I1031" t="n">
        <v>0</v>
      </c>
      <c r="J1031" t="n">
        <v>0</v>
      </c>
      <c r="K1031" t="n">
        <v>1</v>
      </c>
      <c r="L1031" t="n">
        <v>0</v>
      </c>
      <c r="M1031" t="n">
        <v>0</v>
      </c>
      <c r="N1031" t="n">
        <v>0</v>
      </c>
      <c r="O1031" t="n">
        <v>1</v>
      </c>
      <c r="P1031" t="n">
        <v>1</v>
      </c>
      <c r="Q1031" t="n">
        <v>1</v>
      </c>
      <c r="R1031" s="2" t="inlineStr">
        <is>
          <t>Knottblomster</t>
        </is>
      </c>
      <c r="S1031">
        <f>HYPERLINK("https://klasma.github.io/Logging_2284/artfynd/A 58162-2021 artfynd.xlsx", "A 58162-2021")</f>
        <v/>
      </c>
      <c r="T1031">
        <f>HYPERLINK("https://klasma.github.io/Logging_2284/kartor/A 58162-2021 karta.png", "A 58162-2021")</f>
        <v/>
      </c>
      <c r="V1031">
        <f>HYPERLINK("https://klasma.github.io/Logging_2284/klagomål/A 58162-2021 FSC-klagomål.docx", "A 58162-2021")</f>
        <v/>
      </c>
      <c r="W1031">
        <f>HYPERLINK("https://klasma.github.io/Logging_2284/klagomålsmail/A 58162-2021 FSC-klagomål mail.docx", "A 58162-2021")</f>
        <v/>
      </c>
      <c r="X1031">
        <f>HYPERLINK("https://klasma.github.io/Logging_2284/tillsyn/A 58162-2021 tillsynsbegäran.docx", "A 58162-2021")</f>
        <v/>
      </c>
      <c r="Y1031">
        <f>HYPERLINK("https://klasma.github.io/Logging_2284/tillsynsmail/A 58162-2021 tillsynsbegäran mail.docx", "A 58162-2021")</f>
        <v/>
      </c>
    </row>
    <row r="1032" ht="15" customHeight="1">
      <c r="A1032" t="inlineStr">
        <is>
          <t>A 58147-2021</t>
        </is>
      </c>
      <c r="B1032" s="1" t="n">
        <v>44487</v>
      </c>
      <c r="C1032" s="1" t="n">
        <v>45657</v>
      </c>
      <c r="D1032" t="inlineStr">
        <is>
          <t>VÄSTERNORRLANDS LÄN</t>
        </is>
      </c>
      <c r="E1032" t="inlineStr">
        <is>
          <t>ÖRNSKÖLDSVIK</t>
        </is>
      </c>
      <c r="G1032" t="n">
        <v>6.4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HYPERLINK("https://klasma.github.io/Logging_2284/artfynd/A 58147-2021 artfynd.xlsx", "A 58147-2021")</f>
        <v/>
      </c>
      <c r="T1032">
        <f>HYPERLINK("https://klasma.github.io/Logging_2284/kartor/A 58147-2021 karta.png", "A 58147-2021")</f>
        <v/>
      </c>
      <c r="V1032">
        <f>HYPERLINK("https://klasma.github.io/Logging_2284/klagomål/A 58147-2021 FSC-klagomål.docx", "A 58147-2021")</f>
        <v/>
      </c>
      <c r="W1032">
        <f>HYPERLINK("https://klasma.github.io/Logging_2284/klagomålsmail/A 58147-2021 FSC-klagomål mail.docx", "A 58147-2021")</f>
        <v/>
      </c>
      <c r="X1032">
        <f>HYPERLINK("https://klasma.github.io/Logging_2284/tillsyn/A 58147-2021 tillsynsbegäran.docx", "A 58147-2021")</f>
        <v/>
      </c>
      <c r="Y1032">
        <f>HYPERLINK("https://klasma.github.io/Logging_2284/tillsynsmail/A 58147-2021 tillsynsbegäran mail.docx", "A 58147-2021")</f>
        <v/>
      </c>
    </row>
    <row r="1033" ht="15" customHeight="1">
      <c r="A1033" t="inlineStr">
        <is>
          <t>A 58572-2021</t>
        </is>
      </c>
      <c r="B1033" s="1" t="n">
        <v>44488</v>
      </c>
      <c r="C1033" s="1" t="n">
        <v>45657</v>
      </c>
      <c r="D1033" t="inlineStr">
        <is>
          <t>VÄSTERNORRLANDS LÄN</t>
        </is>
      </c>
      <c r="E1033" t="inlineStr">
        <is>
          <t>SOLLEFTEÅ</t>
        </is>
      </c>
      <c r="G1033" t="n">
        <v>0.1</v>
      </c>
      <c r="H1033" t="n">
        <v>0</v>
      </c>
      <c r="I1033" t="n">
        <v>0</v>
      </c>
      <c r="J1033" t="n">
        <v>1</v>
      </c>
      <c r="K1033" t="n">
        <v>0</v>
      </c>
      <c r="L1033" t="n">
        <v>0</v>
      </c>
      <c r="M1033" t="n">
        <v>0</v>
      </c>
      <c r="N1033" t="n">
        <v>0</v>
      </c>
      <c r="O1033" t="n">
        <v>1</v>
      </c>
      <c r="P1033" t="n">
        <v>0</v>
      </c>
      <c r="Q1033" t="n">
        <v>1</v>
      </c>
      <c r="R1033" s="2" t="inlineStr">
        <is>
          <t>Brunklöver</t>
        </is>
      </c>
      <c r="S1033">
        <f>HYPERLINK("https://klasma.github.io/Logging_2283/artfynd/A 58572-2021 artfynd.xlsx", "A 58572-2021")</f>
        <v/>
      </c>
      <c r="T1033">
        <f>HYPERLINK("https://klasma.github.io/Logging_2283/kartor/A 58572-2021 karta.png", "A 58572-2021")</f>
        <v/>
      </c>
      <c r="V1033">
        <f>HYPERLINK("https://klasma.github.io/Logging_2283/klagomål/A 58572-2021 FSC-klagomål.docx", "A 58572-2021")</f>
        <v/>
      </c>
      <c r="W1033">
        <f>HYPERLINK("https://klasma.github.io/Logging_2283/klagomålsmail/A 58572-2021 FSC-klagomål mail.docx", "A 58572-2021")</f>
        <v/>
      </c>
      <c r="X1033">
        <f>HYPERLINK("https://klasma.github.io/Logging_2283/tillsyn/A 58572-2021 tillsynsbegäran.docx", "A 58572-2021")</f>
        <v/>
      </c>
      <c r="Y1033">
        <f>HYPERLINK("https://klasma.github.io/Logging_2283/tillsynsmail/A 58572-2021 tillsynsbegäran mail.docx", "A 58572-2021")</f>
        <v/>
      </c>
    </row>
    <row r="1034" ht="15" customHeight="1">
      <c r="A1034" t="inlineStr">
        <is>
          <t>A 60137-2021</t>
        </is>
      </c>
      <c r="B1034" s="1" t="n">
        <v>44494</v>
      </c>
      <c r="C1034" s="1" t="n">
        <v>45657</v>
      </c>
      <c r="D1034" t="inlineStr">
        <is>
          <t>VÄSTERNORRLANDS LÄN</t>
        </is>
      </c>
      <c r="E1034" t="inlineStr">
        <is>
          <t>ÖRNSKÖLDSVIK</t>
        </is>
      </c>
      <c r="G1034" t="n">
        <v>7.1</v>
      </c>
      <c r="H1034" t="n">
        <v>0</v>
      </c>
      <c r="I1034" t="n">
        <v>0</v>
      </c>
      <c r="J1034" t="n">
        <v>1</v>
      </c>
      <c r="K1034" t="n">
        <v>0</v>
      </c>
      <c r="L1034" t="n">
        <v>0</v>
      </c>
      <c r="M1034" t="n">
        <v>0</v>
      </c>
      <c r="N1034" t="n">
        <v>0</v>
      </c>
      <c r="O1034" t="n">
        <v>1</v>
      </c>
      <c r="P1034" t="n">
        <v>0</v>
      </c>
      <c r="Q1034" t="n">
        <v>1</v>
      </c>
      <c r="R1034" s="2" t="inlineStr">
        <is>
          <t>Harticka</t>
        </is>
      </c>
      <c r="S1034">
        <f>HYPERLINK("https://klasma.github.io/Logging_2284/artfynd/A 60137-2021 artfynd.xlsx", "A 60137-2021")</f>
        <v/>
      </c>
      <c r="T1034">
        <f>HYPERLINK("https://klasma.github.io/Logging_2284/kartor/A 60137-2021 karta.png", "A 60137-2021")</f>
        <v/>
      </c>
      <c r="V1034">
        <f>HYPERLINK("https://klasma.github.io/Logging_2284/klagomål/A 60137-2021 FSC-klagomål.docx", "A 60137-2021")</f>
        <v/>
      </c>
      <c r="W1034">
        <f>HYPERLINK("https://klasma.github.io/Logging_2284/klagomålsmail/A 60137-2021 FSC-klagomål mail.docx", "A 60137-2021")</f>
        <v/>
      </c>
      <c r="X1034">
        <f>HYPERLINK("https://klasma.github.io/Logging_2284/tillsyn/A 60137-2021 tillsynsbegäran.docx", "A 60137-2021")</f>
        <v/>
      </c>
      <c r="Y1034">
        <f>HYPERLINK("https://klasma.github.io/Logging_2284/tillsynsmail/A 60137-2021 tillsynsbegäran mail.docx", "A 60137-2021")</f>
        <v/>
      </c>
    </row>
    <row r="1035" ht="15" customHeight="1">
      <c r="A1035" t="inlineStr">
        <is>
          <t>A 60767-2021</t>
        </is>
      </c>
      <c r="B1035" s="1" t="n">
        <v>44496</v>
      </c>
      <c r="C1035" s="1" t="n">
        <v>45657</v>
      </c>
      <c r="D1035" t="inlineStr">
        <is>
          <t>VÄSTERNORRLANDS LÄN</t>
        </is>
      </c>
      <c r="E1035" t="inlineStr">
        <is>
          <t>ÅNGE</t>
        </is>
      </c>
      <c r="F1035" t="inlineStr">
        <is>
          <t>SCA</t>
        </is>
      </c>
      <c r="G1035" t="n">
        <v>4.5</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60767-2021 artfynd.xlsx", "A 60767-2021")</f>
        <v/>
      </c>
      <c r="T1035">
        <f>HYPERLINK("https://klasma.github.io/Logging_2260/kartor/A 60767-2021 karta.png", "A 60767-2021")</f>
        <v/>
      </c>
      <c r="U1035">
        <f>HYPERLINK("https://klasma.github.io/Logging_2260/knärot/A 60767-2021 karta knärot.png", "A 60767-2021")</f>
        <v/>
      </c>
      <c r="V1035">
        <f>HYPERLINK("https://klasma.github.io/Logging_2260/klagomål/A 60767-2021 FSC-klagomål.docx", "A 60767-2021")</f>
        <v/>
      </c>
      <c r="W1035">
        <f>HYPERLINK("https://klasma.github.io/Logging_2260/klagomålsmail/A 60767-2021 FSC-klagomål mail.docx", "A 60767-2021")</f>
        <v/>
      </c>
      <c r="X1035">
        <f>HYPERLINK("https://klasma.github.io/Logging_2260/tillsyn/A 60767-2021 tillsynsbegäran.docx", "A 60767-2021")</f>
        <v/>
      </c>
      <c r="Y1035">
        <f>HYPERLINK("https://klasma.github.io/Logging_2260/tillsynsmail/A 60767-2021 tillsynsbegäran mail.docx", "A 60767-2021")</f>
        <v/>
      </c>
    </row>
    <row r="1036" ht="15" customHeight="1">
      <c r="A1036" t="inlineStr">
        <is>
          <t>A 61458-2021</t>
        </is>
      </c>
      <c r="B1036" s="1" t="n">
        <v>44500</v>
      </c>
      <c r="C1036" s="1" t="n">
        <v>45657</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61458-2021 artfynd.xlsx", "A 61458-2021")</f>
        <v/>
      </c>
      <c r="T1036">
        <f>HYPERLINK("https://klasma.github.io/Logging_2260/kartor/A 61458-2021 karta.png", "A 61458-2021")</f>
        <v/>
      </c>
      <c r="U1036">
        <f>HYPERLINK("https://klasma.github.io/Logging_2260/knärot/A 61458-2021 karta knärot.png", "A 61458-2021")</f>
        <v/>
      </c>
      <c r="V1036">
        <f>HYPERLINK("https://klasma.github.io/Logging_2260/klagomål/A 61458-2021 FSC-klagomål.docx", "A 61458-2021")</f>
        <v/>
      </c>
      <c r="W1036">
        <f>HYPERLINK("https://klasma.github.io/Logging_2260/klagomålsmail/A 61458-2021 FSC-klagomål mail.docx", "A 61458-2021")</f>
        <v/>
      </c>
      <c r="X1036">
        <f>HYPERLINK("https://klasma.github.io/Logging_2260/tillsyn/A 61458-2021 tillsynsbegäran.docx", "A 61458-2021")</f>
        <v/>
      </c>
      <c r="Y1036">
        <f>HYPERLINK("https://klasma.github.io/Logging_2260/tillsynsmail/A 61458-2021 tillsynsbegäran mail.docx", "A 61458-2021")</f>
        <v/>
      </c>
    </row>
    <row r="1037" ht="15" customHeight="1">
      <c r="A1037" t="inlineStr">
        <is>
          <t>A 61479-2021</t>
        </is>
      </c>
      <c r="B1037" s="1" t="n">
        <v>44500</v>
      </c>
      <c r="C1037" s="1" t="n">
        <v>45657</v>
      </c>
      <c r="D1037" t="inlineStr">
        <is>
          <t>VÄSTERNORRLANDS LÄN</t>
        </is>
      </c>
      <c r="E1037" t="inlineStr">
        <is>
          <t>ÅNGE</t>
        </is>
      </c>
      <c r="F1037" t="inlineStr">
        <is>
          <t>SCA</t>
        </is>
      </c>
      <c r="G1037" t="n">
        <v>7.2</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61479-2021 artfynd.xlsx", "A 61479-2021")</f>
        <v/>
      </c>
      <c r="T1037">
        <f>HYPERLINK("https://klasma.github.io/Logging_2260/kartor/A 61479-2021 karta.png", "A 61479-2021")</f>
        <v/>
      </c>
      <c r="U1037">
        <f>HYPERLINK("https://klasma.github.io/Logging_2260/knärot/A 61479-2021 karta knärot.png", "A 61479-2021")</f>
        <v/>
      </c>
      <c r="V1037">
        <f>HYPERLINK("https://klasma.github.io/Logging_2260/klagomål/A 61479-2021 FSC-klagomål.docx", "A 61479-2021")</f>
        <v/>
      </c>
      <c r="W1037">
        <f>HYPERLINK("https://klasma.github.io/Logging_2260/klagomålsmail/A 61479-2021 FSC-klagomål mail.docx", "A 61479-2021")</f>
        <v/>
      </c>
      <c r="X1037">
        <f>HYPERLINK("https://klasma.github.io/Logging_2260/tillsyn/A 61479-2021 tillsynsbegäran.docx", "A 61479-2021")</f>
        <v/>
      </c>
      <c r="Y1037">
        <f>HYPERLINK("https://klasma.github.io/Logging_2260/tillsynsmail/A 61479-2021 tillsynsbegäran mail.docx", "A 61479-2021")</f>
        <v/>
      </c>
    </row>
    <row r="1038" ht="15" customHeight="1">
      <c r="A1038" t="inlineStr">
        <is>
          <t>A 64922-2021</t>
        </is>
      </c>
      <c r="B1038" s="1" t="n">
        <v>44512</v>
      </c>
      <c r="C1038" s="1" t="n">
        <v>45657</v>
      </c>
      <c r="D1038" t="inlineStr">
        <is>
          <t>VÄSTERNORRLANDS LÄN</t>
        </is>
      </c>
      <c r="E1038" t="inlineStr">
        <is>
          <t>SUNDSVALL</t>
        </is>
      </c>
      <c r="F1038" t="inlineStr">
        <is>
          <t>Kommuner</t>
        </is>
      </c>
      <c r="G1038" t="n">
        <v>1.5</v>
      </c>
      <c r="H1038" t="n">
        <v>1</v>
      </c>
      <c r="I1038" t="n">
        <v>0</v>
      </c>
      <c r="J1038" t="n">
        <v>0</v>
      </c>
      <c r="K1038" t="n">
        <v>0</v>
      </c>
      <c r="L1038" t="n">
        <v>0</v>
      </c>
      <c r="M1038" t="n">
        <v>0</v>
      </c>
      <c r="N1038" t="n">
        <v>0</v>
      </c>
      <c r="O1038" t="n">
        <v>0</v>
      </c>
      <c r="P1038" t="n">
        <v>0</v>
      </c>
      <c r="Q1038" t="n">
        <v>1</v>
      </c>
      <c r="R1038" s="2" t="inlineStr">
        <is>
          <t>Näktergal</t>
        </is>
      </c>
      <c r="S1038">
        <f>HYPERLINK("https://klasma.github.io/Logging_2281/artfynd/A 64922-2021 artfynd.xlsx", "A 64922-2021")</f>
        <v/>
      </c>
      <c r="T1038">
        <f>HYPERLINK("https://klasma.github.io/Logging_2281/kartor/A 64922-2021 karta.png", "A 64922-2021")</f>
        <v/>
      </c>
      <c r="V1038">
        <f>HYPERLINK("https://klasma.github.io/Logging_2281/klagomål/A 64922-2021 FSC-klagomål.docx", "A 64922-2021")</f>
        <v/>
      </c>
      <c r="W1038">
        <f>HYPERLINK("https://klasma.github.io/Logging_2281/klagomålsmail/A 64922-2021 FSC-klagomål mail.docx", "A 64922-2021")</f>
        <v/>
      </c>
      <c r="X1038">
        <f>HYPERLINK("https://klasma.github.io/Logging_2281/tillsyn/A 64922-2021 tillsynsbegäran.docx", "A 64922-2021")</f>
        <v/>
      </c>
      <c r="Y1038">
        <f>HYPERLINK("https://klasma.github.io/Logging_2281/tillsynsmail/A 64922-2021 tillsynsbegäran mail.docx", "A 64922-2021")</f>
        <v/>
      </c>
      <c r="Z1038">
        <f>HYPERLINK("https://klasma.github.io/Logging_2281/fåglar/A 64922-2021 prioriterade fågelarter.docx", "A 64922-2021")</f>
        <v/>
      </c>
    </row>
    <row r="1039" ht="15" customHeight="1">
      <c r="A1039" t="inlineStr">
        <is>
          <t>A 66478-2021</t>
        </is>
      </c>
      <c r="B1039" s="1" t="n">
        <v>44518</v>
      </c>
      <c r="C1039" s="1" t="n">
        <v>45657</v>
      </c>
      <c r="D1039" t="inlineStr">
        <is>
          <t>VÄSTERNORRLANDS LÄN</t>
        </is>
      </c>
      <c r="E1039" t="inlineStr">
        <is>
          <t>HÄRNÖSAND</t>
        </is>
      </c>
      <c r="F1039" t="inlineStr">
        <is>
          <t>SCA</t>
        </is>
      </c>
      <c r="G1039" t="n">
        <v>6.4</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66478-2021 artfynd.xlsx", "A 66478-2021")</f>
        <v/>
      </c>
      <c r="T1039">
        <f>HYPERLINK("https://klasma.github.io/Logging_2280/kartor/A 66478-2021 karta.png", "A 66478-2021")</f>
        <v/>
      </c>
      <c r="V1039">
        <f>HYPERLINK("https://klasma.github.io/Logging_2280/klagomål/A 66478-2021 FSC-klagomål.docx", "A 66478-2021")</f>
        <v/>
      </c>
      <c r="W1039">
        <f>HYPERLINK("https://klasma.github.io/Logging_2280/klagomålsmail/A 66478-2021 FSC-klagomål mail.docx", "A 66478-2021")</f>
        <v/>
      </c>
      <c r="X1039">
        <f>HYPERLINK("https://klasma.github.io/Logging_2280/tillsyn/A 66478-2021 tillsynsbegäran.docx", "A 66478-2021")</f>
        <v/>
      </c>
      <c r="Y1039">
        <f>HYPERLINK("https://klasma.github.io/Logging_2280/tillsynsmail/A 66478-2021 tillsynsbegäran mail.docx", "A 66478-2021")</f>
        <v/>
      </c>
    </row>
    <row r="1040" ht="15" customHeight="1">
      <c r="A1040" t="inlineStr">
        <is>
          <t>A 66531-2021</t>
        </is>
      </c>
      <c r="B1040" s="1" t="n">
        <v>44518</v>
      </c>
      <c r="C1040" s="1" t="n">
        <v>45657</v>
      </c>
      <c r="D1040" t="inlineStr">
        <is>
          <t>VÄSTERNORRLANDS LÄN</t>
        </is>
      </c>
      <c r="E1040" t="inlineStr">
        <is>
          <t>ÖRNSKÖLDSVIK</t>
        </is>
      </c>
      <c r="G1040" t="n">
        <v>0.6</v>
      </c>
      <c r="H1040" t="n">
        <v>1</v>
      </c>
      <c r="I1040" t="n">
        <v>0</v>
      </c>
      <c r="J1040" t="n">
        <v>0</v>
      </c>
      <c r="K1040" t="n">
        <v>0</v>
      </c>
      <c r="L1040" t="n">
        <v>0</v>
      </c>
      <c r="M1040" t="n">
        <v>0</v>
      </c>
      <c r="N1040" t="n">
        <v>0</v>
      </c>
      <c r="O1040" t="n">
        <v>0</v>
      </c>
      <c r="P1040" t="n">
        <v>0</v>
      </c>
      <c r="Q1040" t="n">
        <v>1</v>
      </c>
      <c r="R1040" s="2" t="inlineStr">
        <is>
          <t>Nattviol</t>
        </is>
      </c>
      <c r="S1040">
        <f>HYPERLINK("https://klasma.github.io/Logging_2284/artfynd/A 66531-2021 artfynd.xlsx", "A 66531-2021")</f>
        <v/>
      </c>
      <c r="T1040">
        <f>HYPERLINK("https://klasma.github.io/Logging_2284/kartor/A 66531-2021 karta.png", "A 66531-2021")</f>
        <v/>
      </c>
      <c r="V1040">
        <f>HYPERLINK("https://klasma.github.io/Logging_2284/klagomål/A 66531-2021 FSC-klagomål.docx", "A 66531-2021")</f>
        <v/>
      </c>
      <c r="W1040">
        <f>HYPERLINK("https://klasma.github.io/Logging_2284/klagomålsmail/A 66531-2021 FSC-klagomål mail.docx", "A 66531-2021")</f>
        <v/>
      </c>
      <c r="X1040">
        <f>HYPERLINK("https://klasma.github.io/Logging_2284/tillsyn/A 66531-2021 tillsynsbegäran.docx", "A 66531-2021")</f>
        <v/>
      </c>
      <c r="Y1040">
        <f>HYPERLINK("https://klasma.github.io/Logging_2284/tillsynsmail/A 66531-2021 tillsynsbegäran mail.docx", "A 66531-2021")</f>
        <v/>
      </c>
    </row>
    <row r="1041" ht="15" customHeight="1">
      <c r="A1041" t="inlineStr">
        <is>
          <t>A 67402-2021</t>
        </is>
      </c>
      <c r="B1041" s="1" t="n">
        <v>44523</v>
      </c>
      <c r="C1041" s="1" t="n">
        <v>45657</v>
      </c>
      <c r="D1041" t="inlineStr">
        <is>
          <t>VÄSTERNORRLANDS LÄN</t>
        </is>
      </c>
      <c r="E1041" t="inlineStr">
        <is>
          <t>SOLLEFTEÅ</t>
        </is>
      </c>
      <c r="F1041" t="inlineStr">
        <is>
          <t>SCA</t>
        </is>
      </c>
      <c r="G1041" t="n">
        <v>11</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67402-2021 artfynd.xlsx", "A 67402-2021")</f>
        <v/>
      </c>
      <c r="T1041">
        <f>HYPERLINK("https://klasma.github.io/Logging_2283/kartor/A 67402-2021 karta.png", "A 67402-2021")</f>
        <v/>
      </c>
      <c r="U1041">
        <f>HYPERLINK("https://klasma.github.io/Logging_2283/knärot/A 67402-2021 karta knärot.png", "A 67402-2021")</f>
        <v/>
      </c>
      <c r="V1041">
        <f>HYPERLINK("https://klasma.github.io/Logging_2283/klagomål/A 67402-2021 FSC-klagomål.docx", "A 67402-2021")</f>
        <v/>
      </c>
      <c r="W1041">
        <f>HYPERLINK("https://klasma.github.io/Logging_2283/klagomålsmail/A 67402-2021 FSC-klagomål mail.docx", "A 67402-2021")</f>
        <v/>
      </c>
      <c r="X1041">
        <f>HYPERLINK("https://klasma.github.io/Logging_2283/tillsyn/A 67402-2021 tillsynsbegäran.docx", "A 67402-2021")</f>
        <v/>
      </c>
      <c r="Y1041">
        <f>HYPERLINK("https://klasma.github.io/Logging_2283/tillsynsmail/A 67402-2021 tillsynsbegäran mail.docx", "A 67402-2021")</f>
        <v/>
      </c>
    </row>
    <row r="1042" ht="15" customHeight="1">
      <c r="A1042" t="inlineStr">
        <is>
          <t>A 67492-2021</t>
        </is>
      </c>
      <c r="B1042" s="1" t="n">
        <v>44524</v>
      </c>
      <c r="C1042" s="1" t="n">
        <v>45657</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67492-2021 artfynd.xlsx", "A 67492-2021")</f>
        <v/>
      </c>
      <c r="T1042">
        <f>HYPERLINK("https://klasma.github.io/Logging_2284/kartor/A 67492-2021 karta.png", "A 67492-2021")</f>
        <v/>
      </c>
      <c r="V1042">
        <f>HYPERLINK("https://klasma.github.io/Logging_2284/klagomål/A 67492-2021 FSC-klagomål.docx", "A 67492-2021")</f>
        <v/>
      </c>
      <c r="W1042">
        <f>HYPERLINK("https://klasma.github.io/Logging_2284/klagomålsmail/A 67492-2021 FSC-klagomål mail.docx", "A 67492-2021")</f>
        <v/>
      </c>
      <c r="X1042">
        <f>HYPERLINK("https://klasma.github.io/Logging_2284/tillsyn/A 67492-2021 tillsynsbegäran.docx", "A 67492-2021")</f>
        <v/>
      </c>
      <c r="Y1042">
        <f>HYPERLINK("https://klasma.github.io/Logging_2284/tillsynsmail/A 67492-2021 tillsynsbegäran mail.docx", "A 67492-2021")</f>
        <v/>
      </c>
    </row>
    <row r="1043" ht="15" customHeight="1">
      <c r="A1043" t="inlineStr">
        <is>
          <t>A 68781-2021</t>
        </is>
      </c>
      <c r="B1043" s="1" t="n">
        <v>44529</v>
      </c>
      <c r="C1043" s="1" t="n">
        <v>45657</v>
      </c>
      <c r="D1043" t="inlineStr">
        <is>
          <t>VÄSTERNORRLANDS LÄN</t>
        </is>
      </c>
      <c r="E1043" t="inlineStr">
        <is>
          <t>SOLLEFTEÅ</t>
        </is>
      </c>
      <c r="F1043" t="inlineStr">
        <is>
          <t>SCA</t>
        </is>
      </c>
      <c r="G1043" t="n">
        <v>1.9</v>
      </c>
      <c r="H1043" t="n">
        <v>1</v>
      </c>
      <c r="I1043" t="n">
        <v>0</v>
      </c>
      <c r="J1043" t="n">
        <v>0</v>
      </c>
      <c r="K1043" t="n">
        <v>1</v>
      </c>
      <c r="L1043" t="n">
        <v>0</v>
      </c>
      <c r="M1043" t="n">
        <v>0</v>
      </c>
      <c r="N1043" t="n">
        <v>0</v>
      </c>
      <c r="O1043" t="n">
        <v>1</v>
      </c>
      <c r="P1043" t="n">
        <v>1</v>
      </c>
      <c r="Q1043" t="n">
        <v>1</v>
      </c>
      <c r="R1043" s="2" t="inlineStr">
        <is>
          <t>Doftticka</t>
        </is>
      </c>
      <c r="S1043">
        <f>HYPERLINK("https://klasma.github.io/Logging_2283/artfynd/A 68781-2021 artfynd.xlsx", "A 68781-2021")</f>
        <v/>
      </c>
      <c r="T1043">
        <f>HYPERLINK("https://klasma.github.io/Logging_2283/kartor/A 68781-2021 karta.png", "A 68781-2021")</f>
        <v/>
      </c>
      <c r="V1043">
        <f>HYPERLINK("https://klasma.github.io/Logging_2283/klagomål/A 68781-2021 FSC-klagomål.docx", "A 68781-2021")</f>
        <v/>
      </c>
      <c r="W1043">
        <f>HYPERLINK("https://klasma.github.io/Logging_2283/klagomålsmail/A 68781-2021 FSC-klagomål mail.docx", "A 68781-2021")</f>
        <v/>
      </c>
      <c r="X1043">
        <f>HYPERLINK("https://klasma.github.io/Logging_2283/tillsyn/A 68781-2021 tillsynsbegäran.docx", "A 68781-2021")</f>
        <v/>
      </c>
      <c r="Y1043">
        <f>HYPERLINK("https://klasma.github.io/Logging_2283/tillsynsmail/A 68781-2021 tillsynsbegäran mail.docx", "A 68781-2021")</f>
        <v/>
      </c>
    </row>
    <row r="1044" ht="15" customHeight="1">
      <c r="A1044" t="inlineStr">
        <is>
          <t>A 71366-2021</t>
        </is>
      </c>
      <c r="B1044" s="1" t="n">
        <v>44539</v>
      </c>
      <c r="C1044" s="1" t="n">
        <v>45657</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71349-2021</t>
        </is>
      </c>
      <c r="B1045" s="1" t="n">
        <v>44539</v>
      </c>
      <c r="C1045" s="1" t="n">
        <v>45657</v>
      </c>
      <c r="D1045" t="inlineStr">
        <is>
          <t>VÄSTERNORRLANDS LÄN</t>
        </is>
      </c>
      <c r="E1045" t="inlineStr">
        <is>
          <t>SOLLEFTEÅ</t>
        </is>
      </c>
      <c r="G1045" t="n">
        <v>0.5</v>
      </c>
      <c r="H1045" t="n">
        <v>1</v>
      </c>
      <c r="I1045" t="n">
        <v>0</v>
      </c>
      <c r="J1045" t="n">
        <v>1</v>
      </c>
      <c r="K1045" t="n">
        <v>0</v>
      </c>
      <c r="L1045" t="n">
        <v>0</v>
      </c>
      <c r="M1045" t="n">
        <v>0</v>
      </c>
      <c r="N1045" t="n">
        <v>0</v>
      </c>
      <c r="O1045" t="n">
        <v>1</v>
      </c>
      <c r="P1045" t="n">
        <v>0</v>
      </c>
      <c r="Q1045" t="n">
        <v>1</v>
      </c>
      <c r="R1045" s="2" t="inlineStr">
        <is>
          <t>Björktrast</t>
        </is>
      </c>
      <c r="S1045">
        <f>HYPERLINK("https://klasma.github.io/Logging_2283/artfynd/A 71349-2021 artfynd.xlsx", "A 71349-2021")</f>
        <v/>
      </c>
      <c r="T1045">
        <f>HYPERLINK("https://klasma.github.io/Logging_2283/kartor/A 71349-2021 karta.png", "A 71349-2021")</f>
        <v/>
      </c>
      <c r="V1045">
        <f>HYPERLINK("https://klasma.github.io/Logging_2283/klagomål/A 71349-2021 FSC-klagomål.docx", "A 71349-2021")</f>
        <v/>
      </c>
      <c r="W1045">
        <f>HYPERLINK("https://klasma.github.io/Logging_2283/klagomålsmail/A 71349-2021 FSC-klagomål mail.docx", "A 71349-2021")</f>
        <v/>
      </c>
      <c r="X1045">
        <f>HYPERLINK("https://klasma.github.io/Logging_2283/tillsyn/A 71349-2021 tillsynsbegäran.docx", "A 71349-2021")</f>
        <v/>
      </c>
      <c r="Y1045">
        <f>HYPERLINK("https://klasma.github.io/Logging_2283/tillsynsmail/A 71349-2021 tillsynsbegäran mail.docx", "A 71349-2021")</f>
        <v/>
      </c>
      <c r="Z1045">
        <f>HYPERLINK("https://klasma.github.io/Logging_2283/fåglar/A 71349-2021 prioriterade fågelarter.docx", "A 71349-2021")</f>
        <v/>
      </c>
    </row>
    <row r="1046" ht="15" customHeight="1">
      <c r="A1046" t="inlineStr">
        <is>
          <t>A 74325-2021</t>
        </is>
      </c>
      <c r="B1046" s="1" t="n">
        <v>44559</v>
      </c>
      <c r="C1046" s="1" t="n">
        <v>45657</v>
      </c>
      <c r="D1046" t="inlineStr">
        <is>
          <t>VÄSTERNORRLANDS LÄN</t>
        </is>
      </c>
      <c r="E1046" t="inlineStr">
        <is>
          <t>HÄRNÖSAND</t>
        </is>
      </c>
      <c r="G1046" t="n">
        <v>4.6</v>
      </c>
      <c r="H1046" t="n">
        <v>0</v>
      </c>
      <c r="I1046" t="n">
        <v>0</v>
      </c>
      <c r="J1046" t="n">
        <v>1</v>
      </c>
      <c r="K1046" t="n">
        <v>0</v>
      </c>
      <c r="L1046" t="n">
        <v>0</v>
      </c>
      <c r="M1046" t="n">
        <v>0</v>
      </c>
      <c r="N1046" t="n">
        <v>0</v>
      </c>
      <c r="O1046" t="n">
        <v>1</v>
      </c>
      <c r="P1046" t="n">
        <v>0</v>
      </c>
      <c r="Q1046" t="n">
        <v>1</v>
      </c>
      <c r="R1046" s="2" t="inlineStr">
        <is>
          <t>Skogshare</t>
        </is>
      </c>
      <c r="S1046">
        <f>HYPERLINK("https://klasma.github.io/Logging_2280/artfynd/A 74325-2021 artfynd.xlsx", "A 74325-2021")</f>
        <v/>
      </c>
      <c r="T1046">
        <f>HYPERLINK("https://klasma.github.io/Logging_2280/kartor/A 74325-2021 karta.png", "A 74325-2021")</f>
        <v/>
      </c>
      <c r="V1046">
        <f>HYPERLINK("https://klasma.github.io/Logging_2280/klagomål/A 74325-2021 FSC-klagomål.docx", "A 74325-2021")</f>
        <v/>
      </c>
      <c r="W1046">
        <f>HYPERLINK("https://klasma.github.io/Logging_2280/klagomålsmail/A 74325-2021 FSC-klagomål mail.docx", "A 74325-2021")</f>
        <v/>
      </c>
      <c r="X1046">
        <f>HYPERLINK("https://klasma.github.io/Logging_2280/tillsyn/A 74325-2021 tillsynsbegäran.docx", "A 74325-2021")</f>
        <v/>
      </c>
      <c r="Y1046">
        <f>HYPERLINK("https://klasma.github.io/Logging_2280/tillsynsmail/A 74325-2021 tillsynsbegäran mail.docx", "A 74325-2021")</f>
        <v/>
      </c>
    </row>
    <row r="1047" ht="15" customHeight="1">
      <c r="A1047" t="inlineStr">
        <is>
          <t>A 3008-2022</t>
        </is>
      </c>
      <c r="B1047" s="1" t="n">
        <v>44581</v>
      </c>
      <c r="C1047" s="1" t="n">
        <v>45657</v>
      </c>
      <c r="D1047" t="inlineStr">
        <is>
          <t>VÄSTERNORRLANDS LÄN</t>
        </is>
      </c>
      <c r="E1047" t="inlineStr">
        <is>
          <t>SUNDSVALL</t>
        </is>
      </c>
      <c r="G1047" t="n">
        <v>1</v>
      </c>
      <c r="H1047" t="n">
        <v>0</v>
      </c>
      <c r="I1047" t="n">
        <v>0</v>
      </c>
      <c r="J1047" t="n">
        <v>1</v>
      </c>
      <c r="K1047" t="n">
        <v>0</v>
      </c>
      <c r="L1047" t="n">
        <v>0</v>
      </c>
      <c r="M1047" t="n">
        <v>0</v>
      </c>
      <c r="N1047" t="n">
        <v>0</v>
      </c>
      <c r="O1047" t="n">
        <v>1</v>
      </c>
      <c r="P1047" t="n">
        <v>0</v>
      </c>
      <c r="Q1047" t="n">
        <v>1</v>
      </c>
      <c r="R1047" s="2" t="inlineStr">
        <is>
          <t>Fjällhumla</t>
        </is>
      </c>
      <c r="S1047">
        <f>HYPERLINK("https://klasma.github.io/Logging_2281/artfynd/A 3008-2022 artfynd.xlsx", "A 3008-2022")</f>
        <v/>
      </c>
      <c r="T1047">
        <f>HYPERLINK("https://klasma.github.io/Logging_2281/kartor/A 3008-2022 karta.png", "A 3008-2022")</f>
        <v/>
      </c>
      <c r="V1047">
        <f>HYPERLINK("https://klasma.github.io/Logging_2281/klagomål/A 3008-2022 FSC-klagomål.docx", "A 3008-2022")</f>
        <v/>
      </c>
      <c r="W1047">
        <f>HYPERLINK("https://klasma.github.io/Logging_2281/klagomålsmail/A 3008-2022 FSC-klagomål mail.docx", "A 3008-2022")</f>
        <v/>
      </c>
      <c r="X1047">
        <f>HYPERLINK("https://klasma.github.io/Logging_2281/tillsyn/A 3008-2022 tillsynsbegäran.docx", "A 3008-2022")</f>
        <v/>
      </c>
      <c r="Y1047">
        <f>HYPERLINK("https://klasma.github.io/Logging_2281/tillsynsmail/A 3008-2022 tillsynsbegäran mail.docx", "A 3008-2022")</f>
        <v/>
      </c>
    </row>
    <row r="1048" ht="15" customHeight="1">
      <c r="A1048" t="inlineStr">
        <is>
          <t>A 4908-2022</t>
        </is>
      </c>
      <c r="B1048" s="1" t="n">
        <v>44593</v>
      </c>
      <c r="C1048" s="1" t="n">
        <v>45657</v>
      </c>
      <c r="D1048" t="inlineStr">
        <is>
          <t>VÄSTERNORRLANDS LÄN</t>
        </is>
      </c>
      <c r="E1048" t="inlineStr">
        <is>
          <t>HÄRNÖSAND</t>
        </is>
      </c>
      <c r="G1048" t="n">
        <v>2.5</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HYPERLINK("https://klasma.github.io/Logging_2280/artfynd/A 4908-2022 artfynd.xlsx", "A 4908-2022")</f>
        <v/>
      </c>
      <c r="T1048">
        <f>HYPERLINK("https://klasma.github.io/Logging_2280/kartor/A 4908-2022 karta.png", "A 4908-2022")</f>
        <v/>
      </c>
      <c r="V1048">
        <f>HYPERLINK("https://klasma.github.io/Logging_2280/klagomål/A 4908-2022 FSC-klagomål.docx", "A 4908-2022")</f>
        <v/>
      </c>
      <c r="W1048">
        <f>HYPERLINK("https://klasma.github.io/Logging_2280/klagomålsmail/A 4908-2022 FSC-klagomål mail.docx", "A 4908-2022")</f>
        <v/>
      </c>
      <c r="X1048">
        <f>HYPERLINK("https://klasma.github.io/Logging_2280/tillsyn/A 4908-2022 tillsynsbegäran.docx", "A 4908-2022")</f>
        <v/>
      </c>
      <c r="Y1048">
        <f>HYPERLINK("https://klasma.github.io/Logging_2280/tillsynsmail/A 4908-2022 tillsynsbegäran mail.docx", "A 4908-2022")</f>
        <v/>
      </c>
      <c r="Z1048">
        <f>HYPERLINK("https://klasma.github.io/Logging_2280/fåglar/A 4908-2022 prioriterade fågelarter.docx", "A 4908-2022")</f>
        <v/>
      </c>
    </row>
    <row r="1049" ht="15" customHeight="1">
      <c r="A1049" t="inlineStr">
        <is>
          <t>A 12753-2022</t>
        </is>
      </c>
      <c r="B1049" s="1" t="n">
        <v>44641</v>
      </c>
      <c r="C1049" s="1" t="n">
        <v>45657</v>
      </c>
      <c r="D1049" t="inlineStr">
        <is>
          <t>VÄSTERNORRLANDS LÄN</t>
        </is>
      </c>
      <c r="E1049" t="inlineStr">
        <is>
          <t>TIMRÅ</t>
        </is>
      </c>
      <c r="G1049" t="n">
        <v>1.6</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12753-2022 artfynd.xlsx", "A 12753-2022")</f>
        <v/>
      </c>
      <c r="T1049">
        <f>HYPERLINK("https://klasma.github.io/Logging_2262/kartor/A 12753-2022 karta.png", "A 12753-2022")</f>
        <v/>
      </c>
      <c r="V1049">
        <f>HYPERLINK("https://klasma.github.io/Logging_2262/klagomål/A 12753-2022 FSC-klagomål.docx", "A 12753-2022")</f>
        <v/>
      </c>
      <c r="W1049">
        <f>HYPERLINK("https://klasma.github.io/Logging_2262/klagomålsmail/A 12753-2022 FSC-klagomål mail.docx", "A 12753-2022")</f>
        <v/>
      </c>
      <c r="X1049">
        <f>HYPERLINK("https://klasma.github.io/Logging_2262/tillsyn/A 12753-2022 tillsynsbegäran.docx", "A 12753-2022")</f>
        <v/>
      </c>
      <c r="Y1049">
        <f>HYPERLINK("https://klasma.github.io/Logging_2262/tillsynsmail/A 12753-2022 tillsynsbegäran mail.docx", "A 12753-2022")</f>
        <v/>
      </c>
    </row>
    <row r="1050" ht="15" customHeight="1">
      <c r="A1050" t="inlineStr">
        <is>
          <t>A 12785-2022</t>
        </is>
      </c>
      <c r="B1050" s="1" t="n">
        <v>44641</v>
      </c>
      <c r="C1050" s="1" t="n">
        <v>45657</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14676-2022</t>
        </is>
      </c>
      <c r="B1051" s="1" t="n">
        <v>44655</v>
      </c>
      <c r="C1051" s="1" t="n">
        <v>45657</v>
      </c>
      <c r="D1051" t="inlineStr">
        <is>
          <t>VÄSTERNORRLANDS LÄN</t>
        </is>
      </c>
      <c r="E1051" t="inlineStr">
        <is>
          <t>SUNDSVALL</t>
        </is>
      </c>
      <c r="G1051" t="n">
        <v>10.1</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14676-2022 artfynd.xlsx", "A 14676-2022")</f>
        <v/>
      </c>
      <c r="T1051">
        <f>HYPERLINK("https://klasma.github.io/Logging_2281/kartor/A 14676-2022 karta.png", "A 14676-2022")</f>
        <v/>
      </c>
      <c r="V1051">
        <f>HYPERLINK("https://klasma.github.io/Logging_2281/klagomål/A 14676-2022 FSC-klagomål.docx", "A 14676-2022")</f>
        <v/>
      </c>
      <c r="W1051">
        <f>HYPERLINK("https://klasma.github.io/Logging_2281/klagomålsmail/A 14676-2022 FSC-klagomål mail.docx", "A 14676-2022")</f>
        <v/>
      </c>
      <c r="X1051">
        <f>HYPERLINK("https://klasma.github.io/Logging_2281/tillsyn/A 14676-2022 tillsynsbegäran.docx", "A 14676-2022")</f>
        <v/>
      </c>
      <c r="Y1051">
        <f>HYPERLINK("https://klasma.github.io/Logging_2281/tillsynsmail/A 14676-2022 tillsynsbegäran mail.docx", "A 14676-2022")</f>
        <v/>
      </c>
    </row>
    <row r="1052" ht="15" customHeight="1">
      <c r="A1052" t="inlineStr">
        <is>
          <t>A 14834-2022</t>
        </is>
      </c>
      <c r="B1052" s="1" t="n">
        <v>44656</v>
      </c>
      <c r="C1052" s="1" t="n">
        <v>45657</v>
      </c>
      <c r="D1052" t="inlineStr">
        <is>
          <t>VÄSTERNORRLANDS LÄN</t>
        </is>
      </c>
      <c r="E1052" t="inlineStr">
        <is>
          <t>ÅNGE</t>
        </is>
      </c>
      <c r="G1052" t="n">
        <v>3.3</v>
      </c>
      <c r="H1052" t="n">
        <v>1</v>
      </c>
      <c r="I1052" t="n">
        <v>0</v>
      </c>
      <c r="J1052" t="n">
        <v>0</v>
      </c>
      <c r="K1052" t="n">
        <v>0</v>
      </c>
      <c r="L1052" t="n">
        <v>0</v>
      </c>
      <c r="M1052" t="n">
        <v>0</v>
      </c>
      <c r="N1052" t="n">
        <v>0</v>
      </c>
      <c r="O1052" t="n">
        <v>0</v>
      </c>
      <c r="P1052" t="n">
        <v>0</v>
      </c>
      <c r="Q1052" t="n">
        <v>1</v>
      </c>
      <c r="R1052" s="2" t="inlineStr">
        <is>
          <t>Orre</t>
        </is>
      </c>
      <c r="S1052">
        <f>HYPERLINK("https://klasma.github.io/Logging_2260/artfynd/A 14834-2022 artfynd.xlsx", "A 14834-2022")</f>
        <v/>
      </c>
      <c r="T1052">
        <f>HYPERLINK("https://klasma.github.io/Logging_2260/kartor/A 14834-2022 karta.png", "A 14834-2022")</f>
        <v/>
      </c>
      <c r="V1052">
        <f>HYPERLINK("https://klasma.github.io/Logging_2260/klagomål/A 14834-2022 FSC-klagomål.docx", "A 14834-2022")</f>
        <v/>
      </c>
      <c r="W1052">
        <f>HYPERLINK("https://klasma.github.io/Logging_2260/klagomålsmail/A 14834-2022 FSC-klagomål mail.docx", "A 14834-2022")</f>
        <v/>
      </c>
      <c r="X1052">
        <f>HYPERLINK("https://klasma.github.io/Logging_2260/tillsyn/A 14834-2022 tillsynsbegäran.docx", "A 14834-2022")</f>
        <v/>
      </c>
      <c r="Y1052">
        <f>HYPERLINK("https://klasma.github.io/Logging_2260/tillsynsmail/A 14834-2022 tillsynsbegäran mail.docx", "A 14834-2022")</f>
        <v/>
      </c>
      <c r="Z1052">
        <f>HYPERLINK("https://klasma.github.io/Logging_2260/fåglar/A 14834-2022 prioriterade fågelarter.docx", "A 14834-2022")</f>
        <v/>
      </c>
    </row>
    <row r="1053" ht="15" customHeight="1">
      <c r="A1053" t="inlineStr">
        <is>
          <t>A 15669-2022</t>
        </is>
      </c>
      <c r="B1053" s="1" t="n">
        <v>44662</v>
      </c>
      <c r="C1053" s="1" t="n">
        <v>45657</v>
      </c>
      <c r="D1053" t="inlineStr">
        <is>
          <t>VÄSTERNORRLANDS LÄN</t>
        </is>
      </c>
      <c r="E1053" t="inlineStr">
        <is>
          <t>SOLLEFTEÅ</t>
        </is>
      </c>
      <c r="G1053" t="n">
        <v>12.1</v>
      </c>
      <c r="H1053" t="n">
        <v>0</v>
      </c>
      <c r="I1053" t="n">
        <v>1</v>
      </c>
      <c r="J1053" t="n">
        <v>0</v>
      </c>
      <c r="K1053" t="n">
        <v>0</v>
      </c>
      <c r="L1053" t="n">
        <v>0</v>
      </c>
      <c r="M1053" t="n">
        <v>0</v>
      </c>
      <c r="N1053" t="n">
        <v>0</v>
      </c>
      <c r="O1053" t="n">
        <v>0</v>
      </c>
      <c r="P1053" t="n">
        <v>0</v>
      </c>
      <c r="Q1053" t="n">
        <v>1</v>
      </c>
      <c r="R1053" s="2" t="inlineStr">
        <is>
          <t>Skinnlav</t>
        </is>
      </c>
      <c r="S1053">
        <f>HYPERLINK("https://klasma.github.io/Logging_2283/artfynd/A 15669-2022 artfynd.xlsx", "A 15669-2022")</f>
        <v/>
      </c>
      <c r="T1053">
        <f>HYPERLINK("https://klasma.github.io/Logging_2283/kartor/A 15669-2022 karta.png", "A 15669-2022")</f>
        <v/>
      </c>
      <c r="V1053">
        <f>HYPERLINK("https://klasma.github.io/Logging_2283/klagomål/A 15669-2022 FSC-klagomål.docx", "A 15669-2022")</f>
        <v/>
      </c>
      <c r="W1053">
        <f>HYPERLINK("https://klasma.github.io/Logging_2283/klagomålsmail/A 15669-2022 FSC-klagomål mail.docx", "A 15669-2022")</f>
        <v/>
      </c>
      <c r="X1053">
        <f>HYPERLINK("https://klasma.github.io/Logging_2283/tillsyn/A 15669-2022 tillsynsbegäran.docx", "A 15669-2022")</f>
        <v/>
      </c>
      <c r="Y1053">
        <f>HYPERLINK("https://klasma.github.io/Logging_2283/tillsynsmail/A 15669-2022 tillsynsbegäran mail.docx", "A 15669-2022")</f>
        <v/>
      </c>
    </row>
    <row r="1054" ht="15" customHeight="1">
      <c r="A1054" t="inlineStr">
        <is>
          <t>A 15846-2022</t>
        </is>
      </c>
      <c r="B1054" s="1" t="n">
        <v>44664</v>
      </c>
      <c r="C1054" s="1" t="n">
        <v>45657</v>
      </c>
      <c r="D1054" t="inlineStr">
        <is>
          <t>VÄSTERNORRLANDS LÄN</t>
        </is>
      </c>
      <c r="E1054" t="inlineStr">
        <is>
          <t>HÄRNÖSAND</t>
        </is>
      </c>
      <c r="G1054" t="n">
        <v>1.2</v>
      </c>
      <c r="H1054" t="n">
        <v>1</v>
      </c>
      <c r="I1054" t="n">
        <v>0</v>
      </c>
      <c r="J1054" t="n">
        <v>0</v>
      </c>
      <c r="K1054" t="n">
        <v>0</v>
      </c>
      <c r="L1054" t="n">
        <v>0</v>
      </c>
      <c r="M1054" t="n">
        <v>0</v>
      </c>
      <c r="N1054" t="n">
        <v>0</v>
      </c>
      <c r="O1054" t="n">
        <v>0</v>
      </c>
      <c r="P1054" t="n">
        <v>0</v>
      </c>
      <c r="Q1054" t="n">
        <v>1</v>
      </c>
      <c r="R1054" s="2" t="inlineStr">
        <is>
          <t>Vanlig groda</t>
        </is>
      </c>
      <c r="S1054">
        <f>HYPERLINK("https://klasma.github.io/Logging_2280/artfynd/A 15846-2022 artfynd.xlsx", "A 15846-2022")</f>
        <v/>
      </c>
      <c r="T1054">
        <f>HYPERLINK("https://klasma.github.io/Logging_2280/kartor/A 15846-2022 karta.png", "A 15846-2022")</f>
        <v/>
      </c>
      <c r="V1054">
        <f>HYPERLINK("https://klasma.github.io/Logging_2280/klagomål/A 15846-2022 FSC-klagomål.docx", "A 15846-2022")</f>
        <v/>
      </c>
      <c r="W1054">
        <f>HYPERLINK("https://klasma.github.io/Logging_2280/klagomålsmail/A 15846-2022 FSC-klagomål mail.docx", "A 15846-2022")</f>
        <v/>
      </c>
      <c r="X1054">
        <f>HYPERLINK("https://klasma.github.io/Logging_2280/tillsyn/A 15846-2022 tillsynsbegäran.docx", "A 15846-2022")</f>
        <v/>
      </c>
      <c r="Y1054">
        <f>HYPERLINK("https://klasma.github.io/Logging_2280/tillsynsmail/A 15846-2022 tillsynsbegäran mail.docx", "A 15846-2022")</f>
        <v/>
      </c>
    </row>
    <row r="1055" ht="15" customHeight="1">
      <c r="A1055" t="inlineStr">
        <is>
          <t>A 16053-2022</t>
        </is>
      </c>
      <c r="B1055" s="1" t="n">
        <v>44665</v>
      </c>
      <c r="C1055" s="1" t="n">
        <v>45657</v>
      </c>
      <c r="D1055" t="inlineStr">
        <is>
          <t>VÄSTERNORRLANDS LÄN</t>
        </is>
      </c>
      <c r="E1055" t="inlineStr">
        <is>
          <t>ÅNGE</t>
        </is>
      </c>
      <c r="G1055" t="n">
        <v>3.8</v>
      </c>
      <c r="H1055" t="n">
        <v>1</v>
      </c>
      <c r="I1055" t="n">
        <v>0</v>
      </c>
      <c r="J1055" t="n">
        <v>1</v>
      </c>
      <c r="K1055" t="n">
        <v>0</v>
      </c>
      <c r="L1055" t="n">
        <v>0</v>
      </c>
      <c r="M1055" t="n">
        <v>0</v>
      </c>
      <c r="N1055" t="n">
        <v>0</v>
      </c>
      <c r="O1055" t="n">
        <v>1</v>
      </c>
      <c r="P1055" t="n">
        <v>0</v>
      </c>
      <c r="Q1055" t="n">
        <v>1</v>
      </c>
      <c r="R1055" s="2" t="inlineStr">
        <is>
          <t>Järpe</t>
        </is>
      </c>
      <c r="S1055">
        <f>HYPERLINK("https://klasma.github.io/Logging_2260/artfynd/A 16053-2022 artfynd.xlsx", "A 16053-2022")</f>
        <v/>
      </c>
      <c r="T1055">
        <f>HYPERLINK("https://klasma.github.io/Logging_2260/kartor/A 16053-2022 karta.png", "A 16053-2022")</f>
        <v/>
      </c>
      <c r="V1055">
        <f>HYPERLINK("https://klasma.github.io/Logging_2260/klagomål/A 16053-2022 FSC-klagomål.docx", "A 16053-2022")</f>
        <v/>
      </c>
      <c r="W1055">
        <f>HYPERLINK("https://klasma.github.io/Logging_2260/klagomålsmail/A 16053-2022 FSC-klagomål mail.docx", "A 16053-2022")</f>
        <v/>
      </c>
      <c r="X1055">
        <f>HYPERLINK("https://klasma.github.io/Logging_2260/tillsyn/A 16053-2022 tillsynsbegäran.docx", "A 16053-2022")</f>
        <v/>
      </c>
      <c r="Y1055">
        <f>HYPERLINK("https://klasma.github.io/Logging_2260/tillsynsmail/A 16053-2022 tillsynsbegäran mail.docx", "A 16053-2022")</f>
        <v/>
      </c>
      <c r="Z1055">
        <f>HYPERLINK("https://klasma.github.io/Logging_2260/fåglar/A 16053-2022 prioriterade fågelarter.docx", "A 16053-2022")</f>
        <v/>
      </c>
    </row>
    <row r="1056" ht="15" customHeight="1">
      <c r="A1056" t="inlineStr">
        <is>
          <t>A 16269-2022</t>
        </is>
      </c>
      <c r="B1056" s="1" t="n">
        <v>44670</v>
      </c>
      <c r="C1056" s="1" t="n">
        <v>45657</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19305-2022</t>
        </is>
      </c>
      <c r="B1057" s="1" t="n">
        <v>44692</v>
      </c>
      <c r="C1057" s="1" t="n">
        <v>45657</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19827-2022</t>
        </is>
      </c>
      <c r="B1058" s="1" t="n">
        <v>44694</v>
      </c>
      <c r="C1058" s="1" t="n">
        <v>45657</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20367-2022</t>
        </is>
      </c>
      <c r="B1059" s="1" t="n">
        <v>44699</v>
      </c>
      <c r="C1059" s="1" t="n">
        <v>45657</v>
      </c>
      <c r="D1059" t="inlineStr">
        <is>
          <t>VÄSTERNORRLANDS LÄN</t>
        </is>
      </c>
      <c r="E1059" t="inlineStr">
        <is>
          <t>ÅNGE</t>
        </is>
      </c>
      <c r="G1059" t="n">
        <v>9.6</v>
      </c>
      <c r="H1059" t="n">
        <v>1</v>
      </c>
      <c r="I1059" t="n">
        <v>0</v>
      </c>
      <c r="J1059" t="n">
        <v>0</v>
      </c>
      <c r="K1059" t="n">
        <v>0</v>
      </c>
      <c r="L1059" t="n">
        <v>0</v>
      </c>
      <c r="M1059" t="n">
        <v>0</v>
      </c>
      <c r="N1059" t="n">
        <v>0</v>
      </c>
      <c r="O1059" t="n">
        <v>0</v>
      </c>
      <c r="P1059" t="n">
        <v>0</v>
      </c>
      <c r="Q1059" t="n">
        <v>1</v>
      </c>
      <c r="R1059" s="2" t="inlineStr">
        <is>
          <t>Fläcknycklar</t>
        </is>
      </c>
      <c r="S1059">
        <f>HYPERLINK("https://klasma.github.io/Logging_2260/artfynd/A 20367-2022 artfynd.xlsx", "A 20367-2022")</f>
        <v/>
      </c>
      <c r="T1059">
        <f>HYPERLINK("https://klasma.github.io/Logging_2260/kartor/A 20367-2022 karta.png", "A 20367-2022")</f>
        <v/>
      </c>
      <c r="V1059">
        <f>HYPERLINK("https://klasma.github.io/Logging_2260/klagomål/A 20367-2022 FSC-klagomål.docx", "A 20367-2022")</f>
        <v/>
      </c>
      <c r="W1059">
        <f>HYPERLINK("https://klasma.github.io/Logging_2260/klagomålsmail/A 20367-2022 FSC-klagomål mail.docx", "A 20367-2022")</f>
        <v/>
      </c>
      <c r="X1059">
        <f>HYPERLINK("https://klasma.github.io/Logging_2260/tillsyn/A 20367-2022 tillsynsbegäran.docx", "A 20367-2022")</f>
        <v/>
      </c>
      <c r="Y1059">
        <f>HYPERLINK("https://klasma.github.io/Logging_2260/tillsynsmail/A 20367-2022 tillsynsbegäran mail.docx", "A 20367-2022")</f>
        <v/>
      </c>
    </row>
    <row r="1060" ht="15" customHeight="1">
      <c r="A1060" t="inlineStr">
        <is>
          <t>A 21663-2022</t>
        </is>
      </c>
      <c r="B1060" s="1" t="n">
        <v>44707</v>
      </c>
      <c r="C1060" s="1" t="n">
        <v>45657</v>
      </c>
      <c r="D1060" t="inlineStr">
        <is>
          <t>VÄSTERNORRLANDS LÄN</t>
        </is>
      </c>
      <c r="E1060" t="inlineStr">
        <is>
          <t>SUNDSVALL</t>
        </is>
      </c>
      <c r="F1060" t="inlineStr">
        <is>
          <t>SCA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21663-2022 artfynd.xlsx", "A 21663-2022")</f>
        <v/>
      </c>
      <c r="T1060">
        <f>HYPERLINK("https://klasma.github.io/Logging_2281/kartor/A 21663-2022 karta.png", "A 21663-2022")</f>
        <v/>
      </c>
      <c r="V1060">
        <f>HYPERLINK("https://klasma.github.io/Logging_2281/klagomål/A 21663-2022 FSC-klagomål.docx", "A 21663-2022")</f>
        <v/>
      </c>
      <c r="W1060">
        <f>HYPERLINK("https://klasma.github.io/Logging_2281/klagomålsmail/A 21663-2022 FSC-klagomål mail.docx", "A 21663-2022")</f>
        <v/>
      </c>
      <c r="X1060">
        <f>HYPERLINK("https://klasma.github.io/Logging_2281/tillsyn/A 21663-2022 tillsynsbegäran.docx", "A 21663-2022")</f>
        <v/>
      </c>
      <c r="Y1060">
        <f>HYPERLINK("https://klasma.github.io/Logging_2281/tillsynsmail/A 21663-2022 tillsynsbegäran mail.docx", "A 21663-2022")</f>
        <v/>
      </c>
    </row>
    <row r="1061" ht="15" customHeight="1">
      <c r="A1061" t="inlineStr">
        <is>
          <t>A 21708-2022</t>
        </is>
      </c>
      <c r="B1061" s="1" t="n">
        <v>44707</v>
      </c>
      <c r="C1061" s="1" t="n">
        <v>45657</v>
      </c>
      <c r="D1061" t="inlineStr">
        <is>
          <t>VÄSTERNORRLANDS LÄN</t>
        </is>
      </c>
      <c r="E1061" t="inlineStr">
        <is>
          <t>SOLLEFTEÅ</t>
        </is>
      </c>
      <c r="F1061" t="inlineStr">
        <is>
          <t>SCA</t>
        </is>
      </c>
      <c r="G1061" t="n">
        <v>2.6</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21708-2022 artfynd.xlsx", "A 21708-2022")</f>
        <v/>
      </c>
      <c r="T1061">
        <f>HYPERLINK("https://klasma.github.io/Logging_2283/kartor/A 21708-2022 karta.png", "A 21708-2022")</f>
        <v/>
      </c>
      <c r="V1061">
        <f>HYPERLINK("https://klasma.github.io/Logging_2283/klagomål/A 21708-2022 FSC-klagomål.docx", "A 21708-2022")</f>
        <v/>
      </c>
      <c r="W1061">
        <f>HYPERLINK("https://klasma.github.io/Logging_2283/klagomålsmail/A 21708-2022 FSC-klagomål mail.docx", "A 21708-2022")</f>
        <v/>
      </c>
      <c r="X1061">
        <f>HYPERLINK("https://klasma.github.io/Logging_2283/tillsyn/A 21708-2022 tillsynsbegäran.docx", "A 21708-2022")</f>
        <v/>
      </c>
      <c r="Y1061">
        <f>HYPERLINK("https://klasma.github.io/Logging_2283/tillsynsmail/A 21708-2022 tillsynsbegäran mail.docx", "A 21708-2022")</f>
        <v/>
      </c>
    </row>
    <row r="1062" ht="15" customHeight="1">
      <c r="A1062" t="inlineStr">
        <is>
          <t>A 22323-2022</t>
        </is>
      </c>
      <c r="B1062" s="1" t="n">
        <v>44713</v>
      </c>
      <c r="C1062" s="1" t="n">
        <v>45657</v>
      </c>
      <c r="D1062" t="inlineStr">
        <is>
          <t>VÄSTERNORRLANDS LÄN</t>
        </is>
      </c>
      <c r="E1062" t="inlineStr">
        <is>
          <t>SOLLEFTEÅ</t>
        </is>
      </c>
      <c r="F1062" t="inlineStr">
        <is>
          <t>SCA</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22323-2022 artfynd.xlsx", "A 22323-2022")</f>
        <v/>
      </c>
      <c r="T1062">
        <f>HYPERLINK("https://klasma.github.io/Logging_2283/kartor/A 22323-2022 karta.png", "A 22323-2022")</f>
        <v/>
      </c>
      <c r="V1062">
        <f>HYPERLINK("https://klasma.github.io/Logging_2283/klagomål/A 22323-2022 FSC-klagomål.docx", "A 22323-2022")</f>
        <v/>
      </c>
      <c r="W1062">
        <f>HYPERLINK("https://klasma.github.io/Logging_2283/klagomålsmail/A 22323-2022 FSC-klagomål mail.docx", "A 22323-2022")</f>
        <v/>
      </c>
      <c r="X1062">
        <f>HYPERLINK("https://klasma.github.io/Logging_2283/tillsyn/A 22323-2022 tillsynsbegäran.docx", "A 22323-2022")</f>
        <v/>
      </c>
      <c r="Y1062">
        <f>HYPERLINK("https://klasma.github.io/Logging_2283/tillsynsmail/A 22323-2022 tillsynsbegäran mail.docx", "A 22323-2022")</f>
        <v/>
      </c>
    </row>
    <row r="1063" ht="15" customHeight="1">
      <c r="A1063" t="inlineStr">
        <is>
          <t>A 22382-2022</t>
        </is>
      </c>
      <c r="B1063" s="1" t="n">
        <v>44713</v>
      </c>
      <c r="C1063" s="1" t="n">
        <v>45657</v>
      </c>
      <c r="D1063" t="inlineStr">
        <is>
          <t>VÄSTERNORRLANDS LÄN</t>
        </is>
      </c>
      <c r="E1063" t="inlineStr">
        <is>
          <t>KRAMFORS</t>
        </is>
      </c>
      <c r="G1063" t="n">
        <v>1.5</v>
      </c>
      <c r="H1063" t="n">
        <v>1</v>
      </c>
      <c r="I1063" t="n">
        <v>0</v>
      </c>
      <c r="J1063" t="n">
        <v>1</v>
      </c>
      <c r="K1063" t="n">
        <v>0</v>
      </c>
      <c r="L1063" t="n">
        <v>0</v>
      </c>
      <c r="M1063" t="n">
        <v>0</v>
      </c>
      <c r="N1063" t="n">
        <v>0</v>
      </c>
      <c r="O1063" t="n">
        <v>1</v>
      </c>
      <c r="P1063" t="n">
        <v>0</v>
      </c>
      <c r="Q1063" t="n">
        <v>1</v>
      </c>
      <c r="R1063" s="2" t="inlineStr">
        <is>
          <t>Spillkråka</t>
        </is>
      </c>
      <c r="S1063">
        <f>HYPERLINK("https://klasma.github.io/Logging_2282/artfynd/A 22382-2022 artfynd.xlsx", "A 22382-2022")</f>
        <v/>
      </c>
      <c r="T1063">
        <f>HYPERLINK("https://klasma.github.io/Logging_2282/kartor/A 22382-2022 karta.png", "A 22382-2022")</f>
        <v/>
      </c>
      <c r="V1063">
        <f>HYPERLINK("https://klasma.github.io/Logging_2282/klagomål/A 22382-2022 FSC-klagomål.docx", "A 22382-2022")</f>
        <v/>
      </c>
      <c r="W1063">
        <f>HYPERLINK("https://klasma.github.io/Logging_2282/klagomålsmail/A 22382-2022 FSC-klagomål mail.docx", "A 22382-2022")</f>
        <v/>
      </c>
      <c r="X1063">
        <f>HYPERLINK("https://klasma.github.io/Logging_2282/tillsyn/A 22382-2022 tillsynsbegäran.docx", "A 22382-2022")</f>
        <v/>
      </c>
      <c r="Y1063">
        <f>HYPERLINK("https://klasma.github.io/Logging_2282/tillsynsmail/A 22382-2022 tillsynsbegäran mail.docx", "A 22382-2022")</f>
        <v/>
      </c>
      <c r="Z1063">
        <f>HYPERLINK("https://klasma.github.io/Logging_2282/fåglar/A 22382-2022 prioriterade fågelarter.docx", "A 22382-2022")</f>
        <v/>
      </c>
    </row>
    <row r="1064" ht="15" customHeight="1">
      <c r="A1064" t="inlineStr">
        <is>
          <t>A 22556-2022</t>
        </is>
      </c>
      <c r="B1064" s="1" t="n">
        <v>44714</v>
      </c>
      <c r="C1064" s="1" t="n">
        <v>45657</v>
      </c>
      <c r="D1064" t="inlineStr">
        <is>
          <t>VÄSTERNORRLANDS LÄN</t>
        </is>
      </c>
      <c r="E1064" t="inlineStr">
        <is>
          <t>SUNDSVALL</t>
        </is>
      </c>
      <c r="F1064" t="inlineStr">
        <is>
          <t>SCA</t>
        </is>
      </c>
      <c r="G1064" t="n">
        <v>1.9</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22556-2022 artfynd.xlsx", "A 22556-2022")</f>
        <v/>
      </c>
      <c r="T1064">
        <f>HYPERLINK("https://klasma.github.io/Logging_2281/kartor/A 22556-2022 karta.png", "A 22556-2022")</f>
        <v/>
      </c>
      <c r="V1064">
        <f>HYPERLINK("https://klasma.github.io/Logging_2281/klagomål/A 22556-2022 FSC-klagomål.docx", "A 22556-2022")</f>
        <v/>
      </c>
      <c r="W1064">
        <f>HYPERLINK("https://klasma.github.io/Logging_2281/klagomålsmail/A 22556-2022 FSC-klagomål mail.docx", "A 22556-2022")</f>
        <v/>
      </c>
      <c r="X1064">
        <f>HYPERLINK("https://klasma.github.io/Logging_2281/tillsyn/A 22556-2022 tillsynsbegäran.docx", "A 22556-2022")</f>
        <v/>
      </c>
      <c r="Y1064">
        <f>HYPERLINK("https://klasma.github.io/Logging_2281/tillsynsmail/A 22556-2022 tillsynsbegäran mail.docx", "A 22556-2022")</f>
        <v/>
      </c>
    </row>
    <row r="1065" ht="15" customHeight="1">
      <c r="A1065" t="inlineStr">
        <is>
          <t>A 23088-2022</t>
        </is>
      </c>
      <c r="B1065" s="1" t="n">
        <v>44719</v>
      </c>
      <c r="C1065" s="1" t="n">
        <v>45657</v>
      </c>
      <c r="D1065" t="inlineStr">
        <is>
          <t>VÄSTERNORRLANDS LÄN</t>
        </is>
      </c>
      <c r="E1065" t="inlineStr">
        <is>
          <t>ÖRNSKÖLDSVIK</t>
        </is>
      </c>
      <c r="F1065" t="inlineStr">
        <is>
          <t>Holmen skog AB</t>
        </is>
      </c>
      <c r="G1065" t="n">
        <v>23.3</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23088-2022 artfynd.xlsx", "A 23088-2022")</f>
        <v/>
      </c>
      <c r="T1065">
        <f>HYPERLINK("https://klasma.github.io/Logging_2284/kartor/A 23088-2022 karta.png", "A 23088-2022")</f>
        <v/>
      </c>
      <c r="V1065">
        <f>HYPERLINK("https://klasma.github.io/Logging_2284/klagomål/A 23088-2022 FSC-klagomål.docx", "A 23088-2022")</f>
        <v/>
      </c>
      <c r="W1065">
        <f>HYPERLINK("https://klasma.github.io/Logging_2284/klagomålsmail/A 23088-2022 FSC-klagomål mail.docx", "A 23088-2022")</f>
        <v/>
      </c>
      <c r="X1065">
        <f>HYPERLINK("https://klasma.github.io/Logging_2284/tillsyn/A 23088-2022 tillsynsbegäran.docx", "A 23088-2022")</f>
        <v/>
      </c>
      <c r="Y1065">
        <f>HYPERLINK("https://klasma.github.io/Logging_2284/tillsynsmail/A 23088-2022 tillsynsbegäran mail.docx", "A 23088-2022")</f>
        <v/>
      </c>
    </row>
    <row r="1066" ht="15" customHeight="1">
      <c r="A1066" t="inlineStr">
        <is>
          <t>A 23711-2022</t>
        </is>
      </c>
      <c r="B1066" s="1" t="n">
        <v>44722</v>
      </c>
      <c r="C1066" s="1" t="n">
        <v>45657</v>
      </c>
      <c r="D1066" t="inlineStr">
        <is>
          <t>VÄSTERNORRLANDS LÄN</t>
        </is>
      </c>
      <c r="E1066" t="inlineStr">
        <is>
          <t>SUNDSVALL</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23711-2022 artfynd.xlsx", "A 23711-2022")</f>
        <v/>
      </c>
      <c r="T1066">
        <f>HYPERLINK("https://klasma.github.io/Logging_2281/kartor/A 23711-2022 karta.png", "A 23711-2022")</f>
        <v/>
      </c>
      <c r="V1066">
        <f>HYPERLINK("https://klasma.github.io/Logging_2281/klagomål/A 23711-2022 FSC-klagomål.docx", "A 23711-2022")</f>
        <v/>
      </c>
      <c r="W1066">
        <f>HYPERLINK("https://klasma.github.io/Logging_2281/klagomålsmail/A 23711-2022 FSC-klagomål mail.docx", "A 23711-2022")</f>
        <v/>
      </c>
      <c r="X1066">
        <f>HYPERLINK("https://klasma.github.io/Logging_2281/tillsyn/A 23711-2022 tillsynsbegäran.docx", "A 23711-2022")</f>
        <v/>
      </c>
      <c r="Y1066">
        <f>HYPERLINK("https://klasma.github.io/Logging_2281/tillsynsmail/A 23711-2022 tillsynsbegäran mail.docx", "A 23711-2022")</f>
        <v/>
      </c>
    </row>
    <row r="1067" ht="15" customHeight="1">
      <c r="A1067" t="inlineStr">
        <is>
          <t>A 25250-2022</t>
        </is>
      </c>
      <c r="B1067" s="1" t="n">
        <v>44729</v>
      </c>
      <c r="C1067" s="1" t="n">
        <v>45657</v>
      </c>
      <c r="D1067" t="inlineStr">
        <is>
          <t>VÄSTERNORRLANDS LÄN</t>
        </is>
      </c>
      <c r="E1067" t="inlineStr">
        <is>
          <t>SUNDSVALL</t>
        </is>
      </c>
      <c r="F1067" t="inlineStr">
        <is>
          <t>SCA</t>
        </is>
      </c>
      <c r="G1067" t="n">
        <v>2.6</v>
      </c>
      <c r="H1067" t="n">
        <v>0</v>
      </c>
      <c r="I1067" t="n">
        <v>1</v>
      </c>
      <c r="J1067" t="n">
        <v>0</v>
      </c>
      <c r="K1067" t="n">
        <v>0</v>
      </c>
      <c r="L1067" t="n">
        <v>0</v>
      </c>
      <c r="M1067" t="n">
        <v>0</v>
      </c>
      <c r="N1067" t="n">
        <v>0</v>
      </c>
      <c r="O1067" t="n">
        <v>0</v>
      </c>
      <c r="P1067" t="n">
        <v>0</v>
      </c>
      <c r="Q1067" t="n">
        <v>1</v>
      </c>
      <c r="R1067" s="2" t="inlineStr">
        <is>
          <t>Stor aspticka</t>
        </is>
      </c>
      <c r="S1067">
        <f>HYPERLINK("https://klasma.github.io/Logging_2281/artfynd/A 25250-2022 artfynd.xlsx", "A 25250-2022")</f>
        <v/>
      </c>
      <c r="T1067">
        <f>HYPERLINK("https://klasma.github.io/Logging_2281/kartor/A 25250-2022 karta.png", "A 25250-2022")</f>
        <v/>
      </c>
      <c r="V1067">
        <f>HYPERLINK("https://klasma.github.io/Logging_2281/klagomål/A 25250-2022 FSC-klagomål.docx", "A 25250-2022")</f>
        <v/>
      </c>
      <c r="W1067">
        <f>HYPERLINK("https://klasma.github.io/Logging_2281/klagomålsmail/A 25250-2022 FSC-klagomål mail.docx", "A 25250-2022")</f>
        <v/>
      </c>
      <c r="X1067">
        <f>HYPERLINK("https://klasma.github.io/Logging_2281/tillsyn/A 25250-2022 tillsynsbegäran.docx", "A 25250-2022")</f>
        <v/>
      </c>
      <c r="Y1067">
        <f>HYPERLINK("https://klasma.github.io/Logging_2281/tillsynsmail/A 25250-2022 tillsynsbegäran mail.docx", "A 25250-2022")</f>
        <v/>
      </c>
    </row>
    <row r="1068" ht="15" customHeight="1">
      <c r="A1068" t="inlineStr">
        <is>
          <t>A 26121-2022</t>
        </is>
      </c>
      <c r="B1068" s="1" t="n">
        <v>44734</v>
      </c>
      <c r="C1068" s="1" t="n">
        <v>45657</v>
      </c>
      <c r="D1068" t="inlineStr">
        <is>
          <t>VÄSTERNORRLANDS LÄN</t>
        </is>
      </c>
      <c r="E1068" t="inlineStr">
        <is>
          <t>SOLLEFTEÅ</t>
        </is>
      </c>
      <c r="F1068" t="inlineStr">
        <is>
          <t>SCA</t>
        </is>
      </c>
      <c r="G1068" t="n">
        <v>6.3</v>
      </c>
      <c r="H1068" t="n">
        <v>0</v>
      </c>
      <c r="I1068" t="n">
        <v>0</v>
      </c>
      <c r="J1068" t="n">
        <v>1</v>
      </c>
      <c r="K1068" t="n">
        <v>0</v>
      </c>
      <c r="L1068" t="n">
        <v>0</v>
      </c>
      <c r="M1068" t="n">
        <v>0</v>
      </c>
      <c r="N1068" t="n">
        <v>0</v>
      </c>
      <c r="O1068" t="n">
        <v>1</v>
      </c>
      <c r="P1068" t="n">
        <v>0</v>
      </c>
      <c r="Q1068" t="n">
        <v>1</v>
      </c>
      <c r="R1068" s="2" t="inlineStr">
        <is>
          <t>Veckticka</t>
        </is>
      </c>
      <c r="S1068">
        <f>HYPERLINK("https://klasma.github.io/Logging_2283/artfynd/A 26121-2022 artfynd.xlsx", "A 26121-2022")</f>
        <v/>
      </c>
      <c r="T1068">
        <f>HYPERLINK("https://klasma.github.io/Logging_2283/kartor/A 26121-2022 karta.png", "A 26121-2022")</f>
        <v/>
      </c>
      <c r="V1068">
        <f>HYPERLINK("https://klasma.github.io/Logging_2283/klagomål/A 26121-2022 FSC-klagomål.docx", "A 26121-2022")</f>
        <v/>
      </c>
      <c r="W1068">
        <f>HYPERLINK("https://klasma.github.io/Logging_2283/klagomålsmail/A 26121-2022 FSC-klagomål mail.docx", "A 26121-2022")</f>
        <v/>
      </c>
      <c r="X1068">
        <f>HYPERLINK("https://klasma.github.io/Logging_2283/tillsyn/A 26121-2022 tillsynsbegäran.docx", "A 26121-2022")</f>
        <v/>
      </c>
      <c r="Y1068">
        <f>HYPERLINK("https://klasma.github.io/Logging_2283/tillsynsmail/A 26121-2022 tillsynsbegäran mail.docx", "A 26121-2022")</f>
        <v/>
      </c>
    </row>
    <row r="1069" ht="15" customHeight="1">
      <c r="A1069" t="inlineStr">
        <is>
          <t>A 27106-2022</t>
        </is>
      </c>
      <c r="B1069" s="1" t="n">
        <v>44741</v>
      </c>
      <c r="C1069" s="1" t="n">
        <v>45657</v>
      </c>
      <c r="D1069" t="inlineStr">
        <is>
          <t>VÄSTERNORRLANDS LÄN</t>
        </is>
      </c>
      <c r="E1069" t="inlineStr">
        <is>
          <t>SOLLEFTEÅ</t>
        </is>
      </c>
      <c r="G1069" t="n">
        <v>1.3</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27106-2022 artfynd.xlsx", "A 27106-2022")</f>
        <v/>
      </c>
      <c r="T1069">
        <f>HYPERLINK("https://klasma.github.io/Logging_2283/kartor/A 27106-2022 karta.png", "A 27106-2022")</f>
        <v/>
      </c>
      <c r="V1069">
        <f>HYPERLINK("https://klasma.github.io/Logging_2283/klagomål/A 27106-2022 FSC-klagomål.docx", "A 27106-2022")</f>
        <v/>
      </c>
      <c r="W1069">
        <f>HYPERLINK("https://klasma.github.io/Logging_2283/klagomålsmail/A 27106-2022 FSC-klagomål mail.docx", "A 27106-2022")</f>
        <v/>
      </c>
      <c r="X1069">
        <f>HYPERLINK("https://klasma.github.io/Logging_2283/tillsyn/A 27106-2022 tillsynsbegäran.docx", "A 27106-2022")</f>
        <v/>
      </c>
      <c r="Y1069">
        <f>HYPERLINK("https://klasma.github.io/Logging_2283/tillsynsmail/A 27106-2022 tillsynsbegäran mail.docx", "A 27106-2022")</f>
        <v/>
      </c>
    </row>
    <row r="1070" ht="15" customHeight="1">
      <c r="A1070" t="inlineStr">
        <is>
          <t>A 28728-2022</t>
        </is>
      </c>
      <c r="B1070" s="1" t="n">
        <v>44749</v>
      </c>
      <c r="C1070" s="1" t="n">
        <v>45657</v>
      </c>
      <c r="D1070" t="inlineStr">
        <is>
          <t>VÄSTERNORRLANDS LÄN</t>
        </is>
      </c>
      <c r="E1070" t="inlineStr">
        <is>
          <t>SUNDSVALL</t>
        </is>
      </c>
      <c r="F1070" t="inlineStr">
        <is>
          <t>SCA</t>
        </is>
      </c>
      <c r="G1070" t="n">
        <v>3.4</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28728-2022 artfynd.xlsx", "A 28728-2022")</f>
        <v/>
      </c>
      <c r="T1070">
        <f>HYPERLINK("https://klasma.github.io/Logging_2281/kartor/A 28728-2022 karta.png", "A 28728-2022")</f>
        <v/>
      </c>
      <c r="V1070">
        <f>HYPERLINK("https://klasma.github.io/Logging_2281/klagomål/A 28728-2022 FSC-klagomål.docx", "A 28728-2022")</f>
        <v/>
      </c>
      <c r="W1070">
        <f>HYPERLINK("https://klasma.github.io/Logging_2281/klagomålsmail/A 28728-2022 FSC-klagomål mail.docx", "A 28728-2022")</f>
        <v/>
      </c>
      <c r="X1070">
        <f>HYPERLINK("https://klasma.github.io/Logging_2281/tillsyn/A 28728-2022 tillsynsbegäran.docx", "A 28728-2022")</f>
        <v/>
      </c>
      <c r="Y1070">
        <f>HYPERLINK("https://klasma.github.io/Logging_2281/tillsynsmail/A 28728-2022 tillsynsbegäran mail.docx", "A 28728-2022")</f>
        <v/>
      </c>
    </row>
    <row r="1071" ht="15" customHeight="1">
      <c r="A1071" t="inlineStr">
        <is>
          <t>A 29037-2022</t>
        </is>
      </c>
      <c r="B1071" s="1" t="n">
        <v>44749</v>
      </c>
      <c r="C1071" s="1" t="n">
        <v>45657</v>
      </c>
      <c r="D1071" t="inlineStr">
        <is>
          <t>VÄSTERNORRLANDS LÄN</t>
        </is>
      </c>
      <c r="E1071" t="inlineStr">
        <is>
          <t>SOLLEFTEÅ</t>
        </is>
      </c>
      <c r="F1071" t="inlineStr">
        <is>
          <t>SCA</t>
        </is>
      </c>
      <c r="G1071" t="n">
        <v>1</v>
      </c>
      <c r="H1071" t="n">
        <v>0</v>
      </c>
      <c r="I1071" t="n">
        <v>1</v>
      </c>
      <c r="J1071" t="n">
        <v>0</v>
      </c>
      <c r="K1071" t="n">
        <v>0</v>
      </c>
      <c r="L1071" t="n">
        <v>0</v>
      </c>
      <c r="M1071" t="n">
        <v>0</v>
      </c>
      <c r="N1071" t="n">
        <v>0</v>
      </c>
      <c r="O1071" t="n">
        <v>0</v>
      </c>
      <c r="P1071" t="n">
        <v>0</v>
      </c>
      <c r="Q1071" t="n">
        <v>1</v>
      </c>
      <c r="R1071" s="2" t="inlineStr">
        <is>
          <t>Vanlig flatbagge</t>
        </is>
      </c>
      <c r="S1071">
        <f>HYPERLINK("https://klasma.github.io/Logging_2283/artfynd/A 29037-2022 artfynd.xlsx", "A 29037-2022")</f>
        <v/>
      </c>
      <c r="T1071">
        <f>HYPERLINK("https://klasma.github.io/Logging_2283/kartor/A 29037-2022 karta.png", "A 29037-2022")</f>
        <v/>
      </c>
      <c r="V1071">
        <f>HYPERLINK("https://klasma.github.io/Logging_2283/klagomål/A 29037-2022 FSC-klagomål.docx", "A 29037-2022")</f>
        <v/>
      </c>
      <c r="W1071">
        <f>HYPERLINK("https://klasma.github.io/Logging_2283/klagomålsmail/A 29037-2022 FSC-klagomål mail.docx", "A 29037-2022")</f>
        <v/>
      </c>
      <c r="X1071">
        <f>HYPERLINK("https://klasma.github.io/Logging_2283/tillsyn/A 29037-2022 tillsynsbegäran.docx", "A 29037-2022")</f>
        <v/>
      </c>
      <c r="Y1071">
        <f>HYPERLINK("https://klasma.github.io/Logging_2283/tillsynsmail/A 29037-2022 tillsynsbegäran mail.docx", "A 29037-2022")</f>
        <v/>
      </c>
    </row>
    <row r="1072" ht="15" customHeight="1">
      <c r="A1072" t="inlineStr">
        <is>
          <t>A 30047-2022</t>
        </is>
      </c>
      <c r="B1072" s="1" t="n">
        <v>44757</v>
      </c>
      <c r="C1072" s="1" t="n">
        <v>45657</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30047-2022 artfynd.xlsx", "A 30047-2022")</f>
        <v/>
      </c>
      <c r="T1072">
        <f>HYPERLINK("https://klasma.github.io/Logging_2283/kartor/A 30047-2022 karta.png", "A 30047-2022")</f>
        <v/>
      </c>
      <c r="V1072">
        <f>HYPERLINK("https://klasma.github.io/Logging_2283/klagomål/A 30047-2022 FSC-klagomål.docx", "A 30047-2022")</f>
        <v/>
      </c>
      <c r="W1072">
        <f>HYPERLINK("https://klasma.github.io/Logging_2283/klagomålsmail/A 30047-2022 FSC-klagomål mail.docx", "A 30047-2022")</f>
        <v/>
      </c>
      <c r="X1072">
        <f>HYPERLINK("https://klasma.github.io/Logging_2283/tillsyn/A 30047-2022 tillsynsbegäran.docx", "A 30047-2022")</f>
        <v/>
      </c>
      <c r="Y1072">
        <f>HYPERLINK("https://klasma.github.io/Logging_2283/tillsynsmail/A 30047-2022 tillsynsbegäran mail.docx", "A 30047-2022")</f>
        <v/>
      </c>
    </row>
    <row r="1073" ht="15" customHeight="1">
      <c r="A1073" t="inlineStr">
        <is>
          <t>A 30933-2022</t>
        </is>
      </c>
      <c r="B1073" s="1" t="n">
        <v>44768</v>
      </c>
      <c r="C1073" s="1" t="n">
        <v>45657</v>
      </c>
      <c r="D1073" t="inlineStr">
        <is>
          <t>VÄSTERNORRLANDS LÄN</t>
        </is>
      </c>
      <c r="E1073" t="inlineStr">
        <is>
          <t>SUNDSVALL</t>
        </is>
      </c>
      <c r="F1073" t="inlineStr">
        <is>
          <t>SCA</t>
        </is>
      </c>
      <c r="G1073" t="n">
        <v>1.9</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30933-2022 artfynd.xlsx", "A 30933-2022")</f>
        <v/>
      </c>
      <c r="T1073">
        <f>HYPERLINK("https://klasma.github.io/Logging_2281/kartor/A 30933-2022 karta.png", "A 30933-2022")</f>
        <v/>
      </c>
      <c r="V1073">
        <f>HYPERLINK("https://klasma.github.io/Logging_2281/klagomål/A 30933-2022 FSC-klagomål.docx", "A 30933-2022")</f>
        <v/>
      </c>
      <c r="W1073">
        <f>HYPERLINK("https://klasma.github.io/Logging_2281/klagomålsmail/A 30933-2022 FSC-klagomål mail.docx", "A 30933-2022")</f>
        <v/>
      </c>
      <c r="X1073">
        <f>HYPERLINK("https://klasma.github.io/Logging_2281/tillsyn/A 30933-2022 tillsynsbegäran.docx", "A 30933-2022")</f>
        <v/>
      </c>
      <c r="Y1073">
        <f>HYPERLINK("https://klasma.github.io/Logging_2281/tillsynsmail/A 30933-2022 tillsynsbegäran mail.docx", "A 30933-2022")</f>
        <v/>
      </c>
      <c r="Z1073">
        <f>HYPERLINK("https://klasma.github.io/Logging_2281/fåglar/A 30933-2022 prioriterade fågelarter.docx", "A 30933-2022")</f>
        <v/>
      </c>
    </row>
    <row r="1074" ht="15" customHeight="1">
      <c r="A1074" t="inlineStr">
        <is>
          <t>A 32122-2022</t>
        </is>
      </c>
      <c r="B1074" s="1" t="n">
        <v>44778</v>
      </c>
      <c r="C1074" s="1" t="n">
        <v>45657</v>
      </c>
      <c r="D1074" t="inlineStr">
        <is>
          <t>VÄSTERNORRLANDS LÄN</t>
        </is>
      </c>
      <c r="E1074" t="inlineStr">
        <is>
          <t>ÖRNSKÖLDSVIK</t>
        </is>
      </c>
      <c r="F1074" t="inlineStr">
        <is>
          <t>SCA</t>
        </is>
      </c>
      <c r="G1074" t="n">
        <v>1.4</v>
      </c>
      <c r="H1074" t="n">
        <v>0</v>
      </c>
      <c r="I1074" t="n">
        <v>1</v>
      </c>
      <c r="J1074" t="n">
        <v>0</v>
      </c>
      <c r="K1074" t="n">
        <v>0</v>
      </c>
      <c r="L1074" t="n">
        <v>0</v>
      </c>
      <c r="M1074" t="n">
        <v>0</v>
      </c>
      <c r="N1074" t="n">
        <v>0</v>
      </c>
      <c r="O1074" t="n">
        <v>0</v>
      </c>
      <c r="P1074" t="n">
        <v>0</v>
      </c>
      <c r="Q1074" t="n">
        <v>1</v>
      </c>
      <c r="R1074" s="2" t="inlineStr">
        <is>
          <t>Kattfotslav</t>
        </is>
      </c>
      <c r="S1074">
        <f>HYPERLINK("https://klasma.github.io/Logging_2284/artfynd/A 32122-2022 artfynd.xlsx", "A 32122-2022")</f>
        <v/>
      </c>
      <c r="T1074">
        <f>HYPERLINK("https://klasma.github.io/Logging_2284/kartor/A 32122-2022 karta.png", "A 32122-2022")</f>
        <v/>
      </c>
      <c r="V1074">
        <f>HYPERLINK("https://klasma.github.io/Logging_2284/klagomål/A 32122-2022 FSC-klagomål.docx", "A 32122-2022")</f>
        <v/>
      </c>
      <c r="W1074">
        <f>HYPERLINK("https://klasma.github.io/Logging_2284/klagomålsmail/A 32122-2022 FSC-klagomål mail.docx", "A 32122-2022")</f>
        <v/>
      </c>
      <c r="X1074">
        <f>HYPERLINK("https://klasma.github.io/Logging_2284/tillsyn/A 32122-2022 tillsynsbegäran.docx", "A 32122-2022")</f>
        <v/>
      </c>
      <c r="Y1074">
        <f>HYPERLINK("https://klasma.github.io/Logging_2284/tillsynsmail/A 32122-2022 tillsynsbegäran mail.docx", "A 32122-2022")</f>
        <v/>
      </c>
    </row>
    <row r="1075" ht="15" customHeight="1">
      <c r="A1075" t="inlineStr">
        <is>
          <t>A 33216-2022</t>
        </is>
      </c>
      <c r="B1075" s="1" t="n">
        <v>44785</v>
      </c>
      <c r="C1075" s="1" t="n">
        <v>45657</v>
      </c>
      <c r="D1075" t="inlineStr">
        <is>
          <t>VÄSTERNORRLANDS LÄN</t>
        </is>
      </c>
      <c r="E1075" t="inlineStr">
        <is>
          <t>SOLLEFTEÅ</t>
        </is>
      </c>
      <c r="F1075" t="inlineStr">
        <is>
          <t>SCA</t>
        </is>
      </c>
      <c r="G1075" t="n">
        <v>4.4</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33216-2022 artfynd.xlsx", "A 33216-2022")</f>
        <v/>
      </c>
      <c r="T1075">
        <f>HYPERLINK("https://klasma.github.io/Logging_2283/kartor/A 33216-2022 karta.png", "A 33216-2022")</f>
        <v/>
      </c>
      <c r="V1075">
        <f>HYPERLINK("https://klasma.github.io/Logging_2283/klagomål/A 33216-2022 FSC-klagomål.docx", "A 33216-2022")</f>
        <v/>
      </c>
      <c r="W1075">
        <f>HYPERLINK("https://klasma.github.io/Logging_2283/klagomålsmail/A 33216-2022 FSC-klagomål mail.docx", "A 33216-2022")</f>
        <v/>
      </c>
      <c r="X1075">
        <f>HYPERLINK("https://klasma.github.io/Logging_2283/tillsyn/A 33216-2022 tillsynsbegäran.docx", "A 33216-2022")</f>
        <v/>
      </c>
      <c r="Y1075">
        <f>HYPERLINK("https://klasma.github.io/Logging_2283/tillsynsmail/A 33216-2022 tillsynsbegäran mail.docx", "A 33216-2022")</f>
        <v/>
      </c>
    </row>
    <row r="1076" ht="15" customHeight="1">
      <c r="A1076" t="inlineStr">
        <is>
          <t>A 33504-2022</t>
        </is>
      </c>
      <c r="B1076" s="1" t="n">
        <v>44788</v>
      </c>
      <c r="C1076" s="1" t="n">
        <v>45657</v>
      </c>
      <c r="D1076" t="inlineStr">
        <is>
          <t>VÄSTERNORRLANDS LÄN</t>
        </is>
      </c>
      <c r="E1076" t="inlineStr">
        <is>
          <t>SOLLEFTEÅ</t>
        </is>
      </c>
      <c r="F1076" t="inlineStr">
        <is>
          <t>SCA</t>
        </is>
      </c>
      <c r="G1076" t="n">
        <v>5.2</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33504-2022 artfynd.xlsx", "A 33504-2022")</f>
        <v/>
      </c>
      <c r="T1076">
        <f>HYPERLINK("https://klasma.github.io/Logging_2283/kartor/A 33504-2022 karta.png", "A 33504-2022")</f>
        <v/>
      </c>
      <c r="U1076">
        <f>HYPERLINK("https://klasma.github.io/Logging_2283/knärot/A 33504-2022 karta knärot.png", "A 33504-2022")</f>
        <v/>
      </c>
      <c r="V1076">
        <f>HYPERLINK("https://klasma.github.io/Logging_2283/klagomål/A 33504-2022 FSC-klagomål.docx", "A 33504-2022")</f>
        <v/>
      </c>
      <c r="W1076">
        <f>HYPERLINK("https://klasma.github.io/Logging_2283/klagomålsmail/A 33504-2022 FSC-klagomål mail.docx", "A 33504-2022")</f>
        <v/>
      </c>
      <c r="X1076">
        <f>HYPERLINK("https://klasma.github.io/Logging_2283/tillsyn/A 33504-2022 tillsynsbegäran.docx", "A 33504-2022")</f>
        <v/>
      </c>
      <c r="Y1076">
        <f>HYPERLINK("https://klasma.github.io/Logging_2283/tillsynsmail/A 33504-2022 tillsynsbegäran mail.docx", "A 33504-2022")</f>
        <v/>
      </c>
    </row>
    <row r="1077" ht="15" customHeight="1">
      <c r="A1077" t="inlineStr">
        <is>
          <t>A 35013-2022</t>
        </is>
      </c>
      <c r="B1077" s="1" t="n">
        <v>44796</v>
      </c>
      <c r="C1077" s="1" t="n">
        <v>45657</v>
      </c>
      <c r="D1077" t="inlineStr">
        <is>
          <t>VÄSTERNORRLANDS LÄN</t>
        </is>
      </c>
      <c r="E1077" t="inlineStr">
        <is>
          <t>SOLLEFTEÅ</t>
        </is>
      </c>
      <c r="F1077" t="inlineStr">
        <is>
          <t>SCA</t>
        </is>
      </c>
      <c r="G1077" t="n">
        <v>2.1</v>
      </c>
      <c r="H1077" t="n">
        <v>0</v>
      </c>
      <c r="I1077" t="n">
        <v>0</v>
      </c>
      <c r="J1077" t="n">
        <v>1</v>
      </c>
      <c r="K1077" t="n">
        <v>0</v>
      </c>
      <c r="L1077" t="n">
        <v>0</v>
      </c>
      <c r="M1077" t="n">
        <v>0</v>
      </c>
      <c r="N1077" t="n">
        <v>0</v>
      </c>
      <c r="O1077" t="n">
        <v>1</v>
      </c>
      <c r="P1077" t="n">
        <v>0</v>
      </c>
      <c r="Q1077" t="n">
        <v>1</v>
      </c>
      <c r="R1077" s="2" t="inlineStr">
        <is>
          <t>Rosenticka</t>
        </is>
      </c>
      <c r="S1077">
        <f>HYPERLINK("https://klasma.github.io/Logging_2283/artfynd/A 35013-2022 artfynd.xlsx", "A 35013-2022")</f>
        <v/>
      </c>
      <c r="T1077">
        <f>HYPERLINK("https://klasma.github.io/Logging_2283/kartor/A 35013-2022 karta.png", "A 35013-2022")</f>
        <v/>
      </c>
      <c r="V1077">
        <f>HYPERLINK("https://klasma.github.io/Logging_2283/klagomål/A 35013-2022 FSC-klagomål.docx", "A 35013-2022")</f>
        <v/>
      </c>
      <c r="W1077">
        <f>HYPERLINK("https://klasma.github.io/Logging_2283/klagomålsmail/A 35013-2022 FSC-klagomål mail.docx", "A 35013-2022")</f>
        <v/>
      </c>
      <c r="X1077">
        <f>HYPERLINK("https://klasma.github.io/Logging_2283/tillsyn/A 35013-2022 tillsynsbegäran.docx", "A 35013-2022")</f>
        <v/>
      </c>
      <c r="Y1077">
        <f>HYPERLINK("https://klasma.github.io/Logging_2283/tillsynsmail/A 35013-2022 tillsynsbegäran mail.docx", "A 35013-2022")</f>
        <v/>
      </c>
    </row>
    <row r="1078" ht="15" customHeight="1">
      <c r="A1078" t="inlineStr">
        <is>
          <t>A 38367-2022</t>
        </is>
      </c>
      <c r="B1078" s="1" t="n">
        <v>44812</v>
      </c>
      <c r="C1078" s="1" t="n">
        <v>45657</v>
      </c>
      <c r="D1078" t="inlineStr">
        <is>
          <t>VÄSTERNORRLANDS LÄN</t>
        </is>
      </c>
      <c r="E1078" t="inlineStr">
        <is>
          <t>SOLLEFTEÅ</t>
        </is>
      </c>
      <c r="F1078" t="inlineStr">
        <is>
          <t>Kommuner</t>
        </is>
      </c>
      <c r="G1078" t="n">
        <v>19.6</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38367-2022 artfynd.xlsx", "A 38367-2022")</f>
        <v/>
      </c>
      <c r="T1078">
        <f>HYPERLINK("https://klasma.github.io/Logging_2283/kartor/A 38367-2022 karta.png", "A 38367-2022")</f>
        <v/>
      </c>
      <c r="V1078">
        <f>HYPERLINK("https://klasma.github.io/Logging_2283/klagomål/A 38367-2022 FSC-klagomål.docx", "A 38367-2022")</f>
        <v/>
      </c>
      <c r="W1078">
        <f>HYPERLINK("https://klasma.github.io/Logging_2283/klagomålsmail/A 38367-2022 FSC-klagomål mail.docx", "A 38367-2022")</f>
        <v/>
      </c>
      <c r="X1078">
        <f>HYPERLINK("https://klasma.github.io/Logging_2283/tillsyn/A 38367-2022 tillsynsbegäran.docx", "A 38367-2022")</f>
        <v/>
      </c>
      <c r="Y1078">
        <f>HYPERLINK("https://klasma.github.io/Logging_2283/tillsynsmail/A 38367-2022 tillsynsbegäran mail.docx", "A 38367-2022")</f>
        <v/>
      </c>
    </row>
    <row r="1079" ht="15" customHeight="1">
      <c r="A1079" t="inlineStr">
        <is>
          <t>A 38363-2022</t>
        </is>
      </c>
      <c r="B1079" s="1" t="n">
        <v>44812</v>
      </c>
      <c r="C1079" s="1" t="n">
        <v>45657</v>
      </c>
      <c r="D1079" t="inlineStr">
        <is>
          <t>VÄSTERNORRLANDS LÄN</t>
        </is>
      </c>
      <c r="E1079" t="inlineStr">
        <is>
          <t>SOLLEFTEÅ</t>
        </is>
      </c>
      <c r="F1079" t="inlineStr">
        <is>
          <t>Kommuner</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38363-2022 artfynd.xlsx", "A 38363-2022")</f>
        <v/>
      </c>
      <c r="T1079">
        <f>HYPERLINK("https://klasma.github.io/Logging_2283/kartor/A 38363-2022 karta.png", "A 38363-2022")</f>
        <v/>
      </c>
      <c r="V1079">
        <f>HYPERLINK("https://klasma.github.io/Logging_2283/klagomål/A 38363-2022 FSC-klagomål.docx", "A 38363-2022")</f>
        <v/>
      </c>
      <c r="W1079">
        <f>HYPERLINK("https://klasma.github.io/Logging_2283/klagomålsmail/A 38363-2022 FSC-klagomål mail.docx", "A 38363-2022")</f>
        <v/>
      </c>
      <c r="X1079">
        <f>HYPERLINK("https://klasma.github.io/Logging_2283/tillsyn/A 38363-2022 tillsynsbegäran.docx", "A 38363-2022")</f>
        <v/>
      </c>
      <c r="Y1079">
        <f>HYPERLINK("https://klasma.github.io/Logging_2283/tillsynsmail/A 38363-2022 tillsynsbegäran mail.docx", "A 38363-2022")</f>
        <v/>
      </c>
    </row>
    <row r="1080" ht="15" customHeight="1">
      <c r="A1080" t="inlineStr">
        <is>
          <t>A 39933-2022</t>
        </is>
      </c>
      <c r="B1080" s="1" t="n">
        <v>44819</v>
      </c>
      <c r="C1080" s="1" t="n">
        <v>45657</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40626-2022</t>
        </is>
      </c>
      <c r="B1081" s="1" t="n">
        <v>44824</v>
      </c>
      <c r="C1081" s="1" t="n">
        <v>45657</v>
      </c>
      <c r="D1081" t="inlineStr">
        <is>
          <t>VÄSTERNORRLANDS LÄN</t>
        </is>
      </c>
      <c r="E1081" t="inlineStr">
        <is>
          <t>SOLLEFTEÅ</t>
        </is>
      </c>
      <c r="F1081" t="inlineStr">
        <is>
          <t>SCA</t>
        </is>
      </c>
      <c r="G1081" t="n">
        <v>2.5</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40626-2022 artfynd.xlsx", "A 40626-2022")</f>
        <v/>
      </c>
      <c r="T1081">
        <f>HYPERLINK("https://klasma.github.io/Logging_2283/kartor/A 40626-2022 karta.png", "A 40626-2022")</f>
        <v/>
      </c>
      <c r="V1081">
        <f>HYPERLINK("https://klasma.github.io/Logging_2283/klagomål/A 40626-2022 FSC-klagomål.docx", "A 40626-2022")</f>
        <v/>
      </c>
      <c r="W1081">
        <f>HYPERLINK("https://klasma.github.io/Logging_2283/klagomålsmail/A 40626-2022 FSC-klagomål mail.docx", "A 40626-2022")</f>
        <v/>
      </c>
      <c r="X1081">
        <f>HYPERLINK("https://klasma.github.io/Logging_2283/tillsyn/A 40626-2022 tillsynsbegäran.docx", "A 40626-2022")</f>
        <v/>
      </c>
      <c r="Y1081">
        <f>HYPERLINK("https://klasma.github.io/Logging_2283/tillsynsmail/A 40626-2022 tillsynsbegäran mail.docx", "A 40626-2022")</f>
        <v/>
      </c>
      <c r="Z1081">
        <f>HYPERLINK("https://klasma.github.io/Logging_2283/fåglar/A 40626-2022 prioriterade fågelarter.docx", "A 40626-2022")</f>
        <v/>
      </c>
    </row>
    <row r="1082" ht="15" customHeight="1">
      <c r="A1082" t="inlineStr">
        <is>
          <t>A 40636-2022</t>
        </is>
      </c>
      <c r="B1082" s="1" t="n">
        <v>44824</v>
      </c>
      <c r="C1082" s="1" t="n">
        <v>45657</v>
      </c>
      <c r="D1082" t="inlineStr">
        <is>
          <t>VÄSTERNORRLANDS LÄN</t>
        </is>
      </c>
      <c r="E1082" t="inlineStr">
        <is>
          <t>ÖRNSKÖLDSVIK</t>
        </is>
      </c>
      <c r="F1082" t="inlineStr">
        <is>
          <t>Holmen skog AB</t>
        </is>
      </c>
      <c r="G1082" t="n">
        <v>3.2</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40636-2022 artfynd.xlsx", "A 40636-2022")</f>
        <v/>
      </c>
      <c r="T1082">
        <f>HYPERLINK("https://klasma.github.io/Logging_2284/kartor/A 40636-2022 karta.png", "A 40636-2022")</f>
        <v/>
      </c>
      <c r="V1082">
        <f>HYPERLINK("https://klasma.github.io/Logging_2284/klagomål/A 40636-2022 FSC-klagomål.docx", "A 40636-2022")</f>
        <v/>
      </c>
      <c r="W1082">
        <f>HYPERLINK("https://klasma.github.io/Logging_2284/klagomålsmail/A 40636-2022 FSC-klagomål mail.docx", "A 40636-2022")</f>
        <v/>
      </c>
      <c r="X1082">
        <f>HYPERLINK("https://klasma.github.io/Logging_2284/tillsyn/A 40636-2022 tillsynsbegäran.docx", "A 40636-2022")</f>
        <v/>
      </c>
      <c r="Y1082">
        <f>HYPERLINK("https://klasma.github.io/Logging_2284/tillsynsmail/A 40636-2022 tillsynsbegäran mail.docx", "A 40636-2022")</f>
        <v/>
      </c>
    </row>
    <row r="1083" ht="15" customHeight="1">
      <c r="A1083" t="inlineStr">
        <is>
          <t>A 41184-2022</t>
        </is>
      </c>
      <c r="B1083" s="1" t="n">
        <v>44825</v>
      </c>
      <c r="C1083" s="1" t="n">
        <v>45657</v>
      </c>
      <c r="D1083" t="inlineStr">
        <is>
          <t>VÄSTERNORRLANDS LÄN</t>
        </is>
      </c>
      <c r="E1083" t="inlineStr">
        <is>
          <t>ÖRNSKÖLDSVIK</t>
        </is>
      </c>
      <c r="F1083" t="inlineStr">
        <is>
          <t>SCA</t>
        </is>
      </c>
      <c r="G1083" t="n">
        <v>5.5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41184-2022 artfynd.xlsx", "A 41184-2022")</f>
        <v/>
      </c>
      <c r="T1083">
        <f>HYPERLINK("https://klasma.github.io/Logging_2284/kartor/A 41184-2022 karta.png", "A 41184-2022")</f>
        <v/>
      </c>
      <c r="V1083">
        <f>HYPERLINK("https://klasma.github.io/Logging_2284/klagomål/A 41184-2022 FSC-klagomål.docx", "A 41184-2022")</f>
        <v/>
      </c>
      <c r="W1083">
        <f>HYPERLINK("https://klasma.github.io/Logging_2284/klagomålsmail/A 41184-2022 FSC-klagomål mail.docx", "A 41184-2022")</f>
        <v/>
      </c>
      <c r="X1083">
        <f>HYPERLINK("https://klasma.github.io/Logging_2284/tillsyn/A 41184-2022 tillsynsbegäran.docx", "A 41184-2022")</f>
        <v/>
      </c>
      <c r="Y1083">
        <f>HYPERLINK("https://klasma.github.io/Logging_2284/tillsynsmail/A 41184-2022 tillsynsbegäran mail.docx", "A 41184-2022")</f>
        <v/>
      </c>
    </row>
    <row r="1084" ht="15" customHeight="1">
      <c r="A1084" t="inlineStr">
        <is>
          <t>A 44763-2022</t>
        </is>
      </c>
      <c r="B1084" s="1" t="n">
        <v>44840</v>
      </c>
      <c r="C1084" s="1" t="n">
        <v>45657</v>
      </c>
      <c r="D1084" t="inlineStr">
        <is>
          <t>VÄSTERNORRLANDS LÄN</t>
        </is>
      </c>
      <c r="E1084" t="inlineStr">
        <is>
          <t>SOLLEFTEÅ</t>
        </is>
      </c>
      <c r="F1084" t="inlineStr">
        <is>
          <t>SCA</t>
        </is>
      </c>
      <c r="G1084" t="n">
        <v>1.2</v>
      </c>
      <c r="H1084" t="n">
        <v>0</v>
      </c>
      <c r="I1084" t="n">
        <v>0</v>
      </c>
      <c r="J1084" t="n">
        <v>1</v>
      </c>
      <c r="K1084" t="n">
        <v>0</v>
      </c>
      <c r="L1084" t="n">
        <v>0</v>
      </c>
      <c r="M1084" t="n">
        <v>0</v>
      </c>
      <c r="N1084" t="n">
        <v>0</v>
      </c>
      <c r="O1084" t="n">
        <v>1</v>
      </c>
      <c r="P1084" t="n">
        <v>0</v>
      </c>
      <c r="Q1084" t="n">
        <v>1</v>
      </c>
      <c r="R1084" s="2" t="inlineStr">
        <is>
          <t>Rosenticka</t>
        </is>
      </c>
      <c r="S1084">
        <f>HYPERLINK("https://klasma.github.io/Logging_2283/artfynd/A 44763-2022 artfynd.xlsx", "A 44763-2022")</f>
        <v/>
      </c>
      <c r="T1084">
        <f>HYPERLINK("https://klasma.github.io/Logging_2283/kartor/A 44763-2022 karta.png", "A 44763-2022")</f>
        <v/>
      </c>
      <c r="V1084">
        <f>HYPERLINK("https://klasma.github.io/Logging_2283/klagomål/A 44763-2022 FSC-klagomål.docx", "A 44763-2022")</f>
        <v/>
      </c>
      <c r="W1084">
        <f>HYPERLINK("https://klasma.github.io/Logging_2283/klagomålsmail/A 44763-2022 FSC-klagomål mail.docx", "A 44763-2022")</f>
        <v/>
      </c>
      <c r="X1084">
        <f>HYPERLINK("https://klasma.github.io/Logging_2283/tillsyn/A 44763-2022 tillsynsbegäran.docx", "A 44763-2022")</f>
        <v/>
      </c>
      <c r="Y1084">
        <f>HYPERLINK("https://klasma.github.io/Logging_2283/tillsynsmail/A 44763-2022 tillsynsbegäran mail.docx", "A 44763-2022")</f>
        <v/>
      </c>
    </row>
    <row r="1085" ht="15" customHeight="1">
      <c r="A1085" t="inlineStr">
        <is>
          <t>A 46041-2022</t>
        </is>
      </c>
      <c r="B1085" s="1" t="n">
        <v>44846</v>
      </c>
      <c r="C1085" s="1" t="n">
        <v>45657</v>
      </c>
      <c r="D1085" t="inlineStr">
        <is>
          <t>VÄSTERNORRLANDS LÄN</t>
        </is>
      </c>
      <c r="E1085" t="inlineStr">
        <is>
          <t>SOLLEFTEÅ</t>
        </is>
      </c>
      <c r="F1085" t="inlineStr">
        <is>
          <t>SCA</t>
        </is>
      </c>
      <c r="G1085" t="n">
        <v>21.1</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46041-2022 artfynd.xlsx", "A 46041-2022")</f>
        <v/>
      </c>
      <c r="T1085">
        <f>HYPERLINK("https://klasma.github.io/Logging_2283/kartor/A 46041-2022 karta.png", "A 46041-2022")</f>
        <v/>
      </c>
      <c r="V1085">
        <f>HYPERLINK("https://klasma.github.io/Logging_2283/klagomål/A 46041-2022 FSC-klagomål.docx", "A 46041-2022")</f>
        <v/>
      </c>
      <c r="W1085">
        <f>HYPERLINK("https://klasma.github.io/Logging_2283/klagomålsmail/A 46041-2022 FSC-klagomål mail.docx", "A 46041-2022")</f>
        <v/>
      </c>
      <c r="X1085">
        <f>HYPERLINK("https://klasma.github.io/Logging_2283/tillsyn/A 46041-2022 tillsynsbegäran.docx", "A 46041-2022")</f>
        <v/>
      </c>
      <c r="Y1085">
        <f>HYPERLINK("https://klasma.github.io/Logging_2283/tillsynsmail/A 46041-2022 tillsynsbegäran mail.docx", "A 46041-2022")</f>
        <v/>
      </c>
    </row>
    <row r="1086" ht="15" customHeight="1">
      <c r="A1086" t="inlineStr">
        <is>
          <t>A 46376-2022</t>
        </is>
      </c>
      <c r="B1086" s="1" t="n">
        <v>44848</v>
      </c>
      <c r="C1086" s="1" t="n">
        <v>45657</v>
      </c>
      <c r="D1086" t="inlineStr">
        <is>
          <t>VÄSTERNORRLANDS LÄN</t>
        </is>
      </c>
      <c r="E1086" t="inlineStr">
        <is>
          <t>SOLLEFTEÅ</t>
        </is>
      </c>
      <c r="F1086" t="inlineStr">
        <is>
          <t>Holmen skog AB</t>
        </is>
      </c>
      <c r="G1086" t="n">
        <v>23.9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HYPERLINK("https://klasma.github.io/Logging_2283/artfynd/A 46376-2022 artfynd.xlsx", "A 46376-2022")</f>
        <v/>
      </c>
      <c r="T1086">
        <f>HYPERLINK("https://klasma.github.io/Logging_2283/kartor/A 46376-2022 karta.png", "A 46376-2022")</f>
        <v/>
      </c>
      <c r="V1086">
        <f>HYPERLINK("https://klasma.github.io/Logging_2283/klagomål/A 46376-2022 FSC-klagomål.docx", "A 46376-2022")</f>
        <v/>
      </c>
      <c r="W1086">
        <f>HYPERLINK("https://klasma.github.io/Logging_2283/klagomålsmail/A 46376-2022 FSC-klagomål mail.docx", "A 46376-2022")</f>
        <v/>
      </c>
      <c r="X1086">
        <f>HYPERLINK("https://klasma.github.io/Logging_2283/tillsyn/A 46376-2022 tillsynsbegäran.docx", "A 46376-2022")</f>
        <v/>
      </c>
      <c r="Y1086">
        <f>HYPERLINK("https://klasma.github.io/Logging_2283/tillsynsmail/A 46376-2022 tillsynsbegäran mail.docx", "A 46376-2022")</f>
        <v/>
      </c>
    </row>
    <row r="1087" ht="15" customHeight="1">
      <c r="A1087" t="inlineStr">
        <is>
          <t>A 46629-2022</t>
        </is>
      </c>
      <c r="B1087" s="1" t="n">
        <v>44848</v>
      </c>
      <c r="C1087" s="1" t="n">
        <v>45657</v>
      </c>
      <c r="D1087" t="inlineStr">
        <is>
          <t>VÄSTERNORRLANDS LÄN</t>
        </is>
      </c>
      <c r="E1087" t="inlineStr">
        <is>
          <t>SOLLEFTEÅ</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46629-2022 artfynd.xlsx", "A 46629-2022")</f>
        <v/>
      </c>
      <c r="T1087">
        <f>HYPERLINK("https://klasma.github.io/Logging_2283/kartor/A 46629-2022 karta.png", "A 46629-2022")</f>
        <v/>
      </c>
      <c r="U1087">
        <f>HYPERLINK("https://klasma.github.io/Logging_2283/knärot/A 46629-2022 karta knärot.png", "A 46629-2022")</f>
        <v/>
      </c>
      <c r="V1087">
        <f>HYPERLINK("https://klasma.github.io/Logging_2283/klagomål/A 46629-2022 FSC-klagomål.docx", "A 46629-2022")</f>
        <v/>
      </c>
      <c r="W1087">
        <f>HYPERLINK("https://klasma.github.io/Logging_2283/klagomålsmail/A 46629-2022 FSC-klagomål mail.docx", "A 46629-2022")</f>
        <v/>
      </c>
      <c r="X1087">
        <f>HYPERLINK("https://klasma.github.io/Logging_2283/tillsyn/A 46629-2022 tillsynsbegäran.docx", "A 46629-2022")</f>
        <v/>
      </c>
      <c r="Y1087">
        <f>HYPERLINK("https://klasma.github.io/Logging_2283/tillsynsmail/A 46629-2022 tillsynsbegäran mail.docx", "A 46629-2022")</f>
        <v/>
      </c>
    </row>
    <row r="1088" ht="15" customHeight="1">
      <c r="A1088" t="inlineStr">
        <is>
          <t>A 46630-2022</t>
        </is>
      </c>
      <c r="B1088" s="1" t="n">
        <v>44848</v>
      </c>
      <c r="C1088" s="1" t="n">
        <v>45657</v>
      </c>
      <c r="D1088" t="inlineStr">
        <is>
          <t>VÄSTERNORRLANDS LÄN</t>
        </is>
      </c>
      <c r="E1088" t="inlineStr">
        <is>
          <t>SOLLEFTEÅ</t>
        </is>
      </c>
      <c r="F1088" t="inlineStr">
        <is>
          <t>SCA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46630-2022 artfynd.xlsx", "A 46630-2022")</f>
        <v/>
      </c>
      <c r="T1088">
        <f>HYPERLINK("https://klasma.github.io/Logging_2283/kartor/A 46630-2022 karta.png", "A 46630-2022")</f>
        <v/>
      </c>
      <c r="U1088">
        <f>HYPERLINK("https://klasma.github.io/Logging_2283/knärot/A 46630-2022 karta knärot.png", "A 46630-2022")</f>
        <v/>
      </c>
      <c r="V1088">
        <f>HYPERLINK("https://klasma.github.io/Logging_2283/klagomål/A 46630-2022 FSC-klagomål.docx", "A 46630-2022")</f>
        <v/>
      </c>
      <c r="W1088">
        <f>HYPERLINK("https://klasma.github.io/Logging_2283/klagomålsmail/A 46630-2022 FSC-klagomål mail.docx", "A 46630-2022")</f>
        <v/>
      </c>
      <c r="X1088">
        <f>HYPERLINK("https://klasma.github.io/Logging_2283/tillsyn/A 46630-2022 tillsynsbegäran.docx", "A 46630-2022")</f>
        <v/>
      </c>
      <c r="Y1088">
        <f>HYPERLINK("https://klasma.github.io/Logging_2283/tillsynsmail/A 46630-2022 tillsynsbegäran mail.docx", "A 46630-2022")</f>
        <v/>
      </c>
    </row>
    <row r="1089" ht="15" customHeight="1">
      <c r="A1089" t="inlineStr">
        <is>
          <t>A 47067-2022</t>
        </is>
      </c>
      <c r="B1089" s="1" t="n">
        <v>44852</v>
      </c>
      <c r="C1089" s="1" t="n">
        <v>45657</v>
      </c>
      <c r="D1089" t="inlineStr">
        <is>
          <t>VÄSTERNORRLANDS LÄN</t>
        </is>
      </c>
      <c r="E1089" t="inlineStr">
        <is>
          <t>ÖRNSKÖLDSVIK</t>
        </is>
      </c>
      <c r="F1089" t="inlineStr">
        <is>
          <t>Holmen skog AB</t>
        </is>
      </c>
      <c r="G1089" t="n">
        <v>2.6</v>
      </c>
      <c r="H1089" t="n">
        <v>0</v>
      </c>
      <c r="I1089" t="n">
        <v>0</v>
      </c>
      <c r="J1089" t="n">
        <v>1</v>
      </c>
      <c r="K1089" t="n">
        <v>0</v>
      </c>
      <c r="L1089" t="n">
        <v>0</v>
      </c>
      <c r="M1089" t="n">
        <v>0</v>
      </c>
      <c r="N1089" t="n">
        <v>0</v>
      </c>
      <c r="O1089" t="n">
        <v>1</v>
      </c>
      <c r="P1089" t="n">
        <v>0</v>
      </c>
      <c r="Q1089" t="n">
        <v>1</v>
      </c>
      <c r="R1089" s="2" t="inlineStr">
        <is>
          <t>Motaggsvamp</t>
        </is>
      </c>
      <c r="S1089">
        <f>HYPERLINK("https://klasma.github.io/Logging_2284/artfynd/A 47067-2022 artfynd.xlsx", "A 47067-2022")</f>
        <v/>
      </c>
      <c r="T1089">
        <f>HYPERLINK("https://klasma.github.io/Logging_2284/kartor/A 47067-2022 karta.png", "A 47067-2022")</f>
        <v/>
      </c>
      <c r="V1089">
        <f>HYPERLINK("https://klasma.github.io/Logging_2284/klagomål/A 47067-2022 FSC-klagomål.docx", "A 47067-2022")</f>
        <v/>
      </c>
      <c r="W1089">
        <f>HYPERLINK("https://klasma.github.io/Logging_2284/klagomålsmail/A 47067-2022 FSC-klagomål mail.docx", "A 47067-2022")</f>
        <v/>
      </c>
      <c r="X1089">
        <f>HYPERLINK("https://klasma.github.io/Logging_2284/tillsyn/A 47067-2022 tillsynsbegäran.docx", "A 47067-2022")</f>
        <v/>
      </c>
      <c r="Y1089">
        <f>HYPERLINK("https://klasma.github.io/Logging_2284/tillsynsmail/A 47067-2022 tillsynsbegäran mail.docx", "A 47067-2022")</f>
        <v/>
      </c>
    </row>
    <row r="1090" ht="15" customHeight="1">
      <c r="A1090" t="inlineStr">
        <is>
          <t>A 47784-2022</t>
        </is>
      </c>
      <c r="B1090" s="1" t="n">
        <v>44854</v>
      </c>
      <c r="C1090" s="1" t="n">
        <v>45657</v>
      </c>
      <c r="D1090" t="inlineStr">
        <is>
          <t>VÄSTERNORRLANDS LÄN</t>
        </is>
      </c>
      <c r="E1090" t="inlineStr">
        <is>
          <t>ÅNGE</t>
        </is>
      </c>
      <c r="F1090" t="inlineStr">
        <is>
          <t>SCA</t>
        </is>
      </c>
      <c r="G1090" t="n">
        <v>14.8</v>
      </c>
      <c r="H1090" t="n">
        <v>0</v>
      </c>
      <c r="I1090" t="n">
        <v>0</v>
      </c>
      <c r="J1090" t="n">
        <v>1</v>
      </c>
      <c r="K1090" t="n">
        <v>0</v>
      </c>
      <c r="L1090" t="n">
        <v>0</v>
      </c>
      <c r="M1090" t="n">
        <v>0</v>
      </c>
      <c r="N1090" t="n">
        <v>0</v>
      </c>
      <c r="O1090" t="n">
        <v>1</v>
      </c>
      <c r="P1090" t="n">
        <v>0</v>
      </c>
      <c r="Q1090" t="n">
        <v>1</v>
      </c>
      <c r="R1090" s="2" t="inlineStr">
        <is>
          <t>Reliktbock</t>
        </is>
      </c>
      <c r="S1090">
        <f>HYPERLINK("https://klasma.github.io/Logging_2260/artfynd/A 47784-2022 artfynd.xlsx", "A 47784-2022")</f>
        <v/>
      </c>
      <c r="T1090">
        <f>HYPERLINK("https://klasma.github.io/Logging_2260/kartor/A 47784-2022 karta.png", "A 47784-2022")</f>
        <v/>
      </c>
      <c r="V1090">
        <f>HYPERLINK("https://klasma.github.io/Logging_2260/klagomål/A 47784-2022 FSC-klagomål.docx", "A 47784-2022")</f>
        <v/>
      </c>
      <c r="W1090">
        <f>HYPERLINK("https://klasma.github.io/Logging_2260/klagomålsmail/A 47784-2022 FSC-klagomål mail.docx", "A 47784-2022")</f>
        <v/>
      </c>
      <c r="X1090">
        <f>HYPERLINK("https://klasma.github.io/Logging_2260/tillsyn/A 47784-2022 tillsynsbegäran.docx", "A 47784-2022")</f>
        <v/>
      </c>
      <c r="Y1090">
        <f>HYPERLINK("https://klasma.github.io/Logging_2260/tillsynsmail/A 47784-2022 tillsynsbegäran mail.docx", "A 47784-2022")</f>
        <v/>
      </c>
    </row>
    <row r="1091" ht="15" customHeight="1">
      <c r="A1091" t="inlineStr">
        <is>
          <t>A 47807-2022</t>
        </is>
      </c>
      <c r="B1091" s="1" t="n">
        <v>44854</v>
      </c>
      <c r="C1091" s="1" t="n">
        <v>45657</v>
      </c>
      <c r="D1091" t="inlineStr">
        <is>
          <t>VÄSTERNORRLANDS LÄN</t>
        </is>
      </c>
      <c r="E1091" t="inlineStr">
        <is>
          <t>SUNDSVALL</t>
        </is>
      </c>
      <c r="F1091" t="inlineStr">
        <is>
          <t>SCA</t>
        </is>
      </c>
      <c r="G1091" t="n">
        <v>9.9</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47807-2022 artfynd.xlsx", "A 47807-2022")</f>
        <v/>
      </c>
      <c r="T1091">
        <f>HYPERLINK("https://klasma.github.io/Logging_2281/kartor/A 47807-2022 karta.png", "A 47807-2022")</f>
        <v/>
      </c>
      <c r="V1091">
        <f>HYPERLINK("https://klasma.github.io/Logging_2281/klagomål/A 47807-2022 FSC-klagomål.docx", "A 47807-2022")</f>
        <v/>
      </c>
      <c r="W1091">
        <f>HYPERLINK("https://klasma.github.io/Logging_2281/klagomålsmail/A 47807-2022 FSC-klagomål mail.docx", "A 47807-2022")</f>
        <v/>
      </c>
      <c r="X1091">
        <f>HYPERLINK("https://klasma.github.io/Logging_2281/tillsyn/A 47807-2022 tillsynsbegäran.docx", "A 47807-2022")</f>
        <v/>
      </c>
      <c r="Y1091">
        <f>HYPERLINK("https://klasma.github.io/Logging_2281/tillsynsmail/A 47807-2022 tillsynsbegäran mail.docx", "A 47807-2022")</f>
        <v/>
      </c>
    </row>
    <row r="1092" ht="15" customHeight="1">
      <c r="A1092" t="inlineStr">
        <is>
          <t>A 49850-2022</t>
        </is>
      </c>
      <c r="B1092" s="1" t="n">
        <v>44862</v>
      </c>
      <c r="C1092" s="1" t="n">
        <v>45657</v>
      </c>
      <c r="D1092" t="inlineStr">
        <is>
          <t>VÄSTERNORRLANDS LÄN</t>
        </is>
      </c>
      <c r="E1092" t="inlineStr">
        <is>
          <t>SUNDSVALL</t>
        </is>
      </c>
      <c r="F1092" t="inlineStr">
        <is>
          <t>SCA</t>
        </is>
      </c>
      <c r="G1092" t="n">
        <v>5.5</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49850-2022 artfynd.xlsx", "A 49850-2022")</f>
        <v/>
      </c>
      <c r="T1092">
        <f>HYPERLINK("https://klasma.github.io/Logging_2281/kartor/A 49850-2022 karta.png", "A 49850-2022")</f>
        <v/>
      </c>
      <c r="V1092">
        <f>HYPERLINK("https://klasma.github.io/Logging_2281/klagomål/A 49850-2022 FSC-klagomål.docx", "A 49850-2022")</f>
        <v/>
      </c>
      <c r="W1092">
        <f>HYPERLINK("https://klasma.github.io/Logging_2281/klagomålsmail/A 49850-2022 FSC-klagomål mail.docx", "A 49850-2022")</f>
        <v/>
      </c>
      <c r="X1092">
        <f>HYPERLINK("https://klasma.github.io/Logging_2281/tillsyn/A 49850-2022 tillsynsbegäran.docx", "A 49850-2022")</f>
        <v/>
      </c>
      <c r="Y1092">
        <f>HYPERLINK("https://klasma.github.io/Logging_2281/tillsynsmail/A 49850-2022 tillsynsbegäran mail.docx", "A 49850-2022")</f>
        <v/>
      </c>
    </row>
    <row r="1093" ht="15" customHeight="1">
      <c r="A1093" t="inlineStr">
        <is>
          <t>A 51183-2022</t>
        </is>
      </c>
      <c r="B1093" s="1" t="n">
        <v>44868</v>
      </c>
      <c r="C1093" s="1" t="n">
        <v>45657</v>
      </c>
      <c r="D1093" t="inlineStr">
        <is>
          <t>VÄSTERNORRLANDS LÄN</t>
        </is>
      </c>
      <c r="E1093" t="inlineStr">
        <is>
          <t>ÖRNSKÖLDSVIK</t>
        </is>
      </c>
      <c r="F1093" t="inlineStr">
        <is>
          <t>Holmen skog AB</t>
        </is>
      </c>
      <c r="G1093" t="n">
        <v>6.4</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51183-2022 artfynd.xlsx", "A 51183-2022")</f>
        <v/>
      </c>
      <c r="T1093">
        <f>HYPERLINK("https://klasma.github.io/Logging_2284/kartor/A 51183-2022 karta.png", "A 51183-2022")</f>
        <v/>
      </c>
      <c r="V1093">
        <f>HYPERLINK("https://klasma.github.io/Logging_2284/klagomål/A 51183-2022 FSC-klagomål.docx", "A 51183-2022")</f>
        <v/>
      </c>
      <c r="W1093">
        <f>HYPERLINK("https://klasma.github.io/Logging_2284/klagomålsmail/A 51183-2022 FSC-klagomål mail.docx", "A 51183-2022")</f>
        <v/>
      </c>
      <c r="X1093">
        <f>HYPERLINK("https://klasma.github.io/Logging_2284/tillsyn/A 51183-2022 tillsynsbegäran.docx", "A 51183-2022")</f>
        <v/>
      </c>
      <c r="Y1093">
        <f>HYPERLINK("https://klasma.github.io/Logging_2284/tillsynsmail/A 51183-2022 tillsynsbegäran mail.docx", "A 51183-2022")</f>
        <v/>
      </c>
    </row>
    <row r="1094" ht="15" customHeight="1">
      <c r="A1094" t="inlineStr">
        <is>
          <t>A 51565-2022</t>
        </is>
      </c>
      <c r="B1094" s="1" t="n">
        <v>44869</v>
      </c>
      <c r="C1094" s="1" t="n">
        <v>45657</v>
      </c>
      <c r="D1094" t="inlineStr">
        <is>
          <t>VÄSTERNORRLANDS LÄN</t>
        </is>
      </c>
      <c r="E1094" t="inlineStr">
        <is>
          <t>HÄRNÖSAND</t>
        </is>
      </c>
      <c r="F1094" t="inlineStr">
        <is>
          <t>SCA</t>
        </is>
      </c>
      <c r="G1094" t="n">
        <v>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51565-2022 artfynd.xlsx", "A 51565-2022")</f>
        <v/>
      </c>
      <c r="T1094">
        <f>HYPERLINK("https://klasma.github.io/Logging_2280/kartor/A 51565-2022 karta.png", "A 51565-2022")</f>
        <v/>
      </c>
      <c r="U1094">
        <f>HYPERLINK("https://klasma.github.io/Logging_2280/knärot/A 51565-2022 karta knärot.png", "A 51565-2022")</f>
        <v/>
      </c>
      <c r="V1094">
        <f>HYPERLINK("https://klasma.github.io/Logging_2280/klagomål/A 51565-2022 FSC-klagomål.docx", "A 51565-2022")</f>
        <v/>
      </c>
      <c r="W1094">
        <f>HYPERLINK("https://klasma.github.io/Logging_2280/klagomålsmail/A 51565-2022 FSC-klagomål mail.docx", "A 51565-2022")</f>
        <v/>
      </c>
      <c r="X1094">
        <f>HYPERLINK("https://klasma.github.io/Logging_2280/tillsyn/A 51565-2022 tillsynsbegäran.docx", "A 51565-2022")</f>
        <v/>
      </c>
      <c r="Y1094">
        <f>HYPERLINK("https://klasma.github.io/Logging_2280/tillsynsmail/A 51565-2022 tillsynsbegäran mail.docx", "A 51565-2022")</f>
        <v/>
      </c>
    </row>
    <row r="1095" ht="15" customHeight="1">
      <c r="A1095" t="inlineStr">
        <is>
          <t>A 52575-2022</t>
        </is>
      </c>
      <c r="B1095" s="1" t="n">
        <v>44874</v>
      </c>
      <c r="C1095" s="1" t="n">
        <v>45657</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52736-2022</t>
        </is>
      </c>
      <c r="B1096" s="1" t="n">
        <v>44874</v>
      </c>
      <c r="C1096" s="1" t="n">
        <v>45657</v>
      </c>
      <c r="D1096" t="inlineStr">
        <is>
          <t>VÄSTERNORRLANDS LÄN</t>
        </is>
      </c>
      <c r="E1096" t="inlineStr">
        <is>
          <t>SOLLEFTEÅ</t>
        </is>
      </c>
      <c r="F1096" t="inlineStr">
        <is>
          <t>SCA</t>
        </is>
      </c>
      <c r="G1096" t="n">
        <v>15.1</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HYPERLINK("https://klasma.github.io/Logging_2283/artfynd/A 52736-2022 artfynd.xlsx", "A 52736-2022")</f>
        <v/>
      </c>
      <c r="T1096">
        <f>HYPERLINK("https://klasma.github.io/Logging_2283/kartor/A 52736-2022 karta.png", "A 52736-2022")</f>
        <v/>
      </c>
      <c r="V1096">
        <f>HYPERLINK("https://klasma.github.io/Logging_2283/klagomål/A 52736-2022 FSC-klagomål.docx", "A 52736-2022")</f>
        <v/>
      </c>
      <c r="W1096">
        <f>HYPERLINK("https://klasma.github.io/Logging_2283/klagomålsmail/A 52736-2022 FSC-klagomål mail.docx", "A 52736-2022")</f>
        <v/>
      </c>
      <c r="X1096">
        <f>HYPERLINK("https://klasma.github.io/Logging_2283/tillsyn/A 52736-2022 tillsynsbegäran.docx", "A 52736-2022")</f>
        <v/>
      </c>
      <c r="Y1096">
        <f>HYPERLINK("https://klasma.github.io/Logging_2283/tillsynsmail/A 52736-2022 tillsynsbegäran mail.docx", "A 52736-2022")</f>
        <v/>
      </c>
    </row>
    <row r="1097" ht="15" customHeight="1">
      <c r="A1097" t="inlineStr">
        <is>
          <t>A 54558-2022</t>
        </is>
      </c>
      <c r="B1097" s="1" t="n">
        <v>44882</v>
      </c>
      <c r="C1097" s="1" t="n">
        <v>45657</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57242-2022</t>
        </is>
      </c>
      <c r="B1098" s="1" t="n">
        <v>44889</v>
      </c>
      <c r="C1098" s="1" t="n">
        <v>45657</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56932-2022</t>
        </is>
      </c>
      <c r="B1099" s="1" t="n">
        <v>44894</v>
      </c>
      <c r="C1099" s="1" t="n">
        <v>45657</v>
      </c>
      <c r="D1099" t="inlineStr">
        <is>
          <t>VÄSTERNORRLANDS LÄN</t>
        </is>
      </c>
      <c r="E1099" t="inlineStr">
        <is>
          <t>SOLLEFTEÅ</t>
        </is>
      </c>
      <c r="F1099" t="inlineStr">
        <is>
          <t>Holmen skog AB</t>
        </is>
      </c>
      <c r="G1099" t="n">
        <v>1.9</v>
      </c>
      <c r="H1099" t="n">
        <v>0</v>
      </c>
      <c r="I1099" t="n">
        <v>0</v>
      </c>
      <c r="J1099" t="n">
        <v>1</v>
      </c>
      <c r="K1099" t="n">
        <v>0</v>
      </c>
      <c r="L1099" t="n">
        <v>0</v>
      </c>
      <c r="M1099" t="n">
        <v>0</v>
      </c>
      <c r="N1099" t="n">
        <v>0</v>
      </c>
      <c r="O1099" t="n">
        <v>1</v>
      </c>
      <c r="P1099" t="n">
        <v>0</v>
      </c>
      <c r="Q1099" t="n">
        <v>1</v>
      </c>
      <c r="R1099" s="2" t="inlineStr">
        <is>
          <t>Koralltaggsvamp</t>
        </is>
      </c>
      <c r="S1099">
        <f>HYPERLINK("https://klasma.github.io/Logging_2283/artfynd/A 56932-2022 artfynd.xlsx", "A 56932-2022")</f>
        <v/>
      </c>
      <c r="T1099">
        <f>HYPERLINK("https://klasma.github.io/Logging_2283/kartor/A 56932-2022 karta.png", "A 56932-2022")</f>
        <v/>
      </c>
      <c r="V1099">
        <f>HYPERLINK("https://klasma.github.io/Logging_2283/klagomål/A 56932-2022 FSC-klagomål.docx", "A 56932-2022")</f>
        <v/>
      </c>
      <c r="W1099">
        <f>HYPERLINK("https://klasma.github.io/Logging_2283/klagomålsmail/A 56932-2022 FSC-klagomål mail.docx", "A 56932-2022")</f>
        <v/>
      </c>
      <c r="X1099">
        <f>HYPERLINK("https://klasma.github.io/Logging_2283/tillsyn/A 56932-2022 tillsynsbegäran.docx", "A 56932-2022")</f>
        <v/>
      </c>
      <c r="Y1099">
        <f>HYPERLINK("https://klasma.github.io/Logging_2283/tillsynsmail/A 56932-2022 tillsynsbegäran mail.docx", "A 56932-2022")</f>
        <v/>
      </c>
    </row>
    <row r="1100" ht="15" customHeight="1">
      <c r="A1100" t="inlineStr">
        <is>
          <t>A 57281-2022</t>
        </is>
      </c>
      <c r="B1100" s="1" t="n">
        <v>44895</v>
      </c>
      <c r="C1100" s="1" t="n">
        <v>45657</v>
      </c>
      <c r="D1100" t="inlineStr">
        <is>
          <t>VÄSTERNORRLANDS LÄN</t>
        </is>
      </c>
      <c r="E1100" t="inlineStr">
        <is>
          <t>SUNDSVALL</t>
        </is>
      </c>
      <c r="F1100" t="inlineStr">
        <is>
          <t>Naturvårdsverket</t>
        </is>
      </c>
      <c r="G1100" t="n">
        <v>9.300000000000001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57281-2022 artfynd.xlsx", "A 57281-2022")</f>
        <v/>
      </c>
      <c r="T1100">
        <f>HYPERLINK("https://klasma.github.io/Logging_2281/kartor/A 57281-2022 karta.png", "A 57281-2022")</f>
        <v/>
      </c>
      <c r="V1100">
        <f>HYPERLINK("https://klasma.github.io/Logging_2281/klagomål/A 57281-2022 FSC-klagomål.docx", "A 57281-2022")</f>
        <v/>
      </c>
      <c r="W1100">
        <f>HYPERLINK("https://klasma.github.io/Logging_2281/klagomålsmail/A 57281-2022 FSC-klagomål mail.docx", "A 57281-2022")</f>
        <v/>
      </c>
      <c r="X1100">
        <f>HYPERLINK("https://klasma.github.io/Logging_2281/tillsyn/A 57281-2022 tillsynsbegäran.docx", "A 57281-2022")</f>
        <v/>
      </c>
      <c r="Y1100">
        <f>HYPERLINK("https://klasma.github.io/Logging_2281/tillsynsmail/A 57281-2022 tillsynsbegäran mail.docx", "A 57281-2022")</f>
        <v/>
      </c>
      <c r="Z1100">
        <f>HYPERLINK("https://klasma.github.io/Logging_2281/fåglar/A 57281-2022 prioriterade fågelarter.docx", "A 57281-2022")</f>
        <v/>
      </c>
    </row>
    <row r="1101" ht="15" customHeight="1">
      <c r="A1101" t="inlineStr">
        <is>
          <t>A 58186-2022</t>
        </is>
      </c>
      <c r="B1101" s="1" t="n">
        <v>44900</v>
      </c>
      <c r="C1101" s="1" t="n">
        <v>45657</v>
      </c>
      <c r="D1101" t="inlineStr">
        <is>
          <t>VÄSTERNORRLANDS LÄN</t>
        </is>
      </c>
      <c r="E1101" t="inlineStr">
        <is>
          <t>SUNDSVALL</t>
        </is>
      </c>
      <c r="F1101" t="inlineStr">
        <is>
          <t>SCA</t>
        </is>
      </c>
      <c r="G1101" t="n">
        <v>9.300000000000001</v>
      </c>
      <c r="H1101" t="n">
        <v>1</v>
      </c>
      <c r="I1101" t="n">
        <v>1</v>
      </c>
      <c r="J1101" t="n">
        <v>0</v>
      </c>
      <c r="K1101" t="n">
        <v>0</v>
      </c>
      <c r="L1101" t="n">
        <v>0</v>
      </c>
      <c r="M1101" t="n">
        <v>0</v>
      </c>
      <c r="N1101" t="n">
        <v>0</v>
      </c>
      <c r="O1101" t="n">
        <v>0</v>
      </c>
      <c r="P1101" t="n">
        <v>0</v>
      </c>
      <c r="Q1101" t="n">
        <v>1</v>
      </c>
      <c r="R1101" s="2" t="inlineStr">
        <is>
          <t>Plattlummer</t>
        </is>
      </c>
      <c r="S1101">
        <f>HYPERLINK("https://klasma.github.io/Logging_2281/artfynd/A 58186-2022 artfynd.xlsx", "A 58186-2022")</f>
        <v/>
      </c>
      <c r="T1101">
        <f>HYPERLINK("https://klasma.github.io/Logging_2281/kartor/A 58186-2022 karta.png", "A 58186-2022")</f>
        <v/>
      </c>
      <c r="V1101">
        <f>HYPERLINK("https://klasma.github.io/Logging_2281/klagomål/A 58186-2022 FSC-klagomål.docx", "A 58186-2022")</f>
        <v/>
      </c>
      <c r="W1101">
        <f>HYPERLINK("https://klasma.github.io/Logging_2281/klagomålsmail/A 58186-2022 FSC-klagomål mail.docx", "A 58186-2022")</f>
        <v/>
      </c>
      <c r="X1101">
        <f>HYPERLINK("https://klasma.github.io/Logging_2281/tillsyn/A 58186-2022 tillsynsbegäran.docx", "A 58186-2022")</f>
        <v/>
      </c>
      <c r="Y1101">
        <f>HYPERLINK("https://klasma.github.io/Logging_2281/tillsynsmail/A 58186-2022 tillsynsbegäran mail.docx", "A 58186-2022")</f>
        <v/>
      </c>
    </row>
    <row r="1102" ht="15" customHeight="1">
      <c r="A1102" t="inlineStr">
        <is>
          <t>A 58340-2022</t>
        </is>
      </c>
      <c r="B1102" s="1" t="n">
        <v>44901</v>
      </c>
      <c r="C1102" s="1" t="n">
        <v>45657</v>
      </c>
      <c r="D1102" t="inlineStr">
        <is>
          <t>VÄSTERNORRLANDS LÄN</t>
        </is>
      </c>
      <c r="E1102" t="inlineStr">
        <is>
          <t>ÖRNSKÖLDSVIK</t>
        </is>
      </c>
      <c r="F1102" t="inlineStr">
        <is>
          <t>Holmen skog AB</t>
        </is>
      </c>
      <c r="G1102" t="n">
        <v>13.4</v>
      </c>
      <c r="H1102" t="n">
        <v>0</v>
      </c>
      <c r="I1102" t="n">
        <v>0</v>
      </c>
      <c r="J1102" t="n">
        <v>1</v>
      </c>
      <c r="K1102" t="n">
        <v>0</v>
      </c>
      <c r="L1102" t="n">
        <v>0</v>
      </c>
      <c r="M1102" t="n">
        <v>0</v>
      </c>
      <c r="N1102" t="n">
        <v>0</v>
      </c>
      <c r="O1102" t="n">
        <v>1</v>
      </c>
      <c r="P1102" t="n">
        <v>0</v>
      </c>
      <c r="Q1102" t="n">
        <v>1</v>
      </c>
      <c r="R1102" s="2" t="inlineStr">
        <is>
          <t>Tallticka</t>
        </is>
      </c>
      <c r="S1102">
        <f>HYPERLINK("https://klasma.github.io/Logging_2284/artfynd/A 58340-2022 artfynd.xlsx", "A 58340-2022")</f>
        <v/>
      </c>
      <c r="T1102">
        <f>HYPERLINK("https://klasma.github.io/Logging_2284/kartor/A 58340-2022 karta.png", "A 58340-2022")</f>
        <v/>
      </c>
      <c r="V1102">
        <f>HYPERLINK("https://klasma.github.io/Logging_2284/klagomål/A 58340-2022 FSC-klagomål.docx", "A 58340-2022")</f>
        <v/>
      </c>
      <c r="W1102">
        <f>HYPERLINK("https://klasma.github.io/Logging_2284/klagomålsmail/A 58340-2022 FSC-klagomål mail.docx", "A 58340-2022")</f>
        <v/>
      </c>
      <c r="X1102">
        <f>HYPERLINK("https://klasma.github.io/Logging_2284/tillsyn/A 58340-2022 tillsynsbegäran.docx", "A 58340-2022")</f>
        <v/>
      </c>
      <c r="Y1102">
        <f>HYPERLINK("https://klasma.github.io/Logging_2284/tillsynsmail/A 58340-2022 tillsynsbegäran mail.docx", "A 58340-2022")</f>
        <v/>
      </c>
    </row>
    <row r="1103" ht="15" customHeight="1">
      <c r="A1103" t="inlineStr">
        <is>
          <t>A 59042-2022</t>
        </is>
      </c>
      <c r="B1103" s="1" t="n">
        <v>44903</v>
      </c>
      <c r="C1103" s="1" t="n">
        <v>45657</v>
      </c>
      <c r="D1103" t="inlineStr">
        <is>
          <t>VÄSTERNORRLANDS LÄN</t>
        </is>
      </c>
      <c r="E1103" t="inlineStr">
        <is>
          <t>HÄRNÖSAND</t>
        </is>
      </c>
      <c r="F1103" t="inlineStr">
        <is>
          <t>SCA</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59042-2022 artfynd.xlsx", "A 59042-2022")</f>
        <v/>
      </c>
      <c r="T1103">
        <f>HYPERLINK("https://klasma.github.io/Logging_2280/kartor/A 59042-2022 karta.png", "A 59042-2022")</f>
        <v/>
      </c>
      <c r="V1103">
        <f>HYPERLINK("https://klasma.github.io/Logging_2280/klagomål/A 59042-2022 FSC-klagomål.docx", "A 59042-2022")</f>
        <v/>
      </c>
      <c r="W1103">
        <f>HYPERLINK("https://klasma.github.io/Logging_2280/klagomålsmail/A 59042-2022 FSC-klagomål mail.docx", "A 59042-2022")</f>
        <v/>
      </c>
      <c r="X1103">
        <f>HYPERLINK("https://klasma.github.io/Logging_2280/tillsyn/A 59042-2022 tillsynsbegäran.docx", "A 59042-2022")</f>
        <v/>
      </c>
      <c r="Y1103">
        <f>HYPERLINK("https://klasma.github.io/Logging_2280/tillsynsmail/A 59042-2022 tillsynsbegäran mail.docx", "A 59042-2022")</f>
        <v/>
      </c>
    </row>
    <row r="1104" ht="15" customHeight="1">
      <c r="A1104" t="inlineStr">
        <is>
          <t>A 60833-2022</t>
        </is>
      </c>
      <c r="B1104" s="1" t="n">
        <v>44907</v>
      </c>
      <c r="C1104" s="1" t="n">
        <v>45657</v>
      </c>
      <c r="D1104" t="inlineStr">
        <is>
          <t>VÄSTERNORRLANDS LÄN</t>
        </is>
      </c>
      <c r="E1104" t="inlineStr">
        <is>
          <t>SOLLEFTEÅ</t>
        </is>
      </c>
      <c r="G1104" t="n">
        <v>4.4</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60833-2022 artfynd.xlsx", "A 60833-2022")</f>
        <v/>
      </c>
      <c r="T1104">
        <f>HYPERLINK("https://klasma.github.io/Logging_2283/kartor/A 60833-2022 karta.png", "A 60833-2022")</f>
        <v/>
      </c>
      <c r="V1104">
        <f>HYPERLINK("https://klasma.github.io/Logging_2283/klagomål/A 60833-2022 FSC-klagomål.docx", "A 60833-2022")</f>
        <v/>
      </c>
      <c r="W1104">
        <f>HYPERLINK("https://klasma.github.io/Logging_2283/klagomålsmail/A 60833-2022 FSC-klagomål mail.docx", "A 60833-2022")</f>
        <v/>
      </c>
      <c r="X1104">
        <f>HYPERLINK("https://klasma.github.io/Logging_2283/tillsyn/A 60833-2022 tillsynsbegäran.docx", "A 60833-2022")</f>
        <v/>
      </c>
      <c r="Y1104">
        <f>HYPERLINK("https://klasma.github.io/Logging_2283/tillsynsmail/A 60833-2022 tillsynsbegäran mail.docx", "A 60833-2022")</f>
        <v/>
      </c>
    </row>
    <row r="1105" ht="15" customHeight="1">
      <c r="A1105" t="inlineStr">
        <is>
          <t>A 60939-2022</t>
        </is>
      </c>
      <c r="B1105" s="1" t="n">
        <v>44908</v>
      </c>
      <c r="C1105" s="1" t="n">
        <v>45657</v>
      </c>
      <c r="D1105" t="inlineStr">
        <is>
          <t>VÄSTERNORRLANDS LÄN</t>
        </is>
      </c>
      <c r="E1105" t="inlineStr">
        <is>
          <t>SOLLEFTEÅ</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60939-2022 artfynd.xlsx", "A 60939-2022")</f>
        <v/>
      </c>
      <c r="T1105">
        <f>HYPERLINK("https://klasma.github.io/Logging_2283/kartor/A 60939-2022 karta.png", "A 60939-2022")</f>
        <v/>
      </c>
      <c r="V1105">
        <f>HYPERLINK("https://klasma.github.io/Logging_2283/klagomål/A 60939-2022 FSC-klagomål.docx", "A 60939-2022")</f>
        <v/>
      </c>
      <c r="W1105">
        <f>HYPERLINK("https://klasma.github.io/Logging_2283/klagomålsmail/A 60939-2022 FSC-klagomål mail.docx", "A 60939-2022")</f>
        <v/>
      </c>
      <c r="X1105">
        <f>HYPERLINK("https://klasma.github.io/Logging_2283/tillsyn/A 60939-2022 tillsynsbegäran.docx", "A 60939-2022")</f>
        <v/>
      </c>
      <c r="Y1105">
        <f>HYPERLINK("https://klasma.github.io/Logging_2283/tillsynsmail/A 60939-2022 tillsynsbegäran mail.docx", "A 60939-2022")</f>
        <v/>
      </c>
    </row>
    <row r="1106" ht="15" customHeight="1">
      <c r="A1106" t="inlineStr">
        <is>
          <t>A 61234-2022</t>
        </is>
      </c>
      <c r="B1106" s="1" t="n">
        <v>44915</v>
      </c>
      <c r="C1106" s="1" t="n">
        <v>45657</v>
      </c>
      <c r="D1106" t="inlineStr">
        <is>
          <t>VÄSTERNORRLANDS LÄN</t>
        </is>
      </c>
      <c r="E1106" t="inlineStr">
        <is>
          <t>ÖRNSKÖLDSVIK</t>
        </is>
      </c>
      <c r="G1106" t="n">
        <v>1.3</v>
      </c>
      <c r="H1106" t="n">
        <v>1</v>
      </c>
      <c r="I1106" t="n">
        <v>0</v>
      </c>
      <c r="J1106" t="n">
        <v>0</v>
      </c>
      <c r="K1106" t="n">
        <v>0</v>
      </c>
      <c r="L1106" t="n">
        <v>0</v>
      </c>
      <c r="M1106" t="n">
        <v>0</v>
      </c>
      <c r="N1106" t="n">
        <v>0</v>
      </c>
      <c r="O1106" t="n">
        <v>0</v>
      </c>
      <c r="P1106" t="n">
        <v>0</v>
      </c>
      <c r="Q1106" t="n">
        <v>1</v>
      </c>
      <c r="R1106" s="2" t="inlineStr">
        <is>
          <t>Lopplummer</t>
        </is>
      </c>
      <c r="S1106">
        <f>HYPERLINK("https://klasma.github.io/Logging_2284/artfynd/A 61234-2022 artfynd.xlsx", "A 61234-2022")</f>
        <v/>
      </c>
      <c r="T1106">
        <f>HYPERLINK("https://klasma.github.io/Logging_2284/kartor/A 61234-2022 karta.png", "A 61234-2022")</f>
        <v/>
      </c>
      <c r="V1106">
        <f>HYPERLINK("https://klasma.github.io/Logging_2284/klagomål/A 61234-2022 FSC-klagomål.docx", "A 61234-2022")</f>
        <v/>
      </c>
      <c r="W1106">
        <f>HYPERLINK("https://klasma.github.io/Logging_2284/klagomålsmail/A 61234-2022 FSC-klagomål mail.docx", "A 61234-2022")</f>
        <v/>
      </c>
      <c r="X1106">
        <f>HYPERLINK("https://klasma.github.io/Logging_2284/tillsyn/A 61234-2022 tillsynsbegäran.docx", "A 61234-2022")</f>
        <v/>
      </c>
      <c r="Y1106">
        <f>HYPERLINK("https://klasma.github.io/Logging_2284/tillsynsmail/A 61234-2022 tillsynsbegäran mail.docx", "A 61234-2022")</f>
        <v/>
      </c>
    </row>
    <row r="1107" ht="15" customHeight="1">
      <c r="A1107" t="inlineStr">
        <is>
          <t>A 61660-2022</t>
        </is>
      </c>
      <c r="B1107" s="1" t="n">
        <v>44917</v>
      </c>
      <c r="C1107" s="1" t="n">
        <v>45657</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Backruta</t>
        </is>
      </c>
      <c r="S1107">
        <f>HYPERLINK("https://klasma.github.io/Logging_2283/artfynd/A 61660-2022 artfynd.xlsx", "A 61660-2022")</f>
        <v/>
      </c>
      <c r="T1107">
        <f>HYPERLINK("https://klasma.github.io/Logging_2283/kartor/A 61660-2022 karta.png", "A 61660-2022")</f>
        <v/>
      </c>
      <c r="V1107">
        <f>HYPERLINK("https://klasma.github.io/Logging_2283/klagomål/A 61660-2022 FSC-klagomål.docx", "A 61660-2022")</f>
        <v/>
      </c>
      <c r="W1107">
        <f>HYPERLINK("https://klasma.github.io/Logging_2283/klagomålsmail/A 61660-2022 FSC-klagomål mail.docx", "A 61660-2022")</f>
        <v/>
      </c>
      <c r="X1107">
        <f>HYPERLINK("https://klasma.github.io/Logging_2283/tillsyn/A 61660-2022 tillsynsbegäran.docx", "A 61660-2022")</f>
        <v/>
      </c>
      <c r="Y1107">
        <f>HYPERLINK("https://klasma.github.io/Logging_2283/tillsynsmail/A 61660-2022 tillsynsbegäran mail.docx", "A 61660-2022")</f>
        <v/>
      </c>
    </row>
    <row r="1108" ht="15" customHeight="1">
      <c r="A1108" t="inlineStr">
        <is>
          <t>A 62080-2022</t>
        </is>
      </c>
      <c r="B1108" s="1" t="n">
        <v>44918</v>
      </c>
      <c r="C1108" s="1" t="n">
        <v>45657</v>
      </c>
      <c r="D1108" t="inlineStr">
        <is>
          <t>VÄSTERNORRLANDS LÄN</t>
        </is>
      </c>
      <c r="E1108" t="inlineStr">
        <is>
          <t>ÖRNSKÖLDSVIK</t>
        </is>
      </c>
      <c r="F1108" t="inlineStr">
        <is>
          <t>SCA</t>
        </is>
      </c>
      <c r="G1108" t="n">
        <v>4.8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62080-2022 artfynd.xlsx", "A 62080-2022")</f>
        <v/>
      </c>
      <c r="T1108">
        <f>HYPERLINK("https://klasma.github.io/Logging_2284/kartor/A 62080-2022 karta.png", "A 62080-2022")</f>
        <v/>
      </c>
      <c r="V1108">
        <f>HYPERLINK("https://klasma.github.io/Logging_2284/klagomål/A 62080-2022 FSC-klagomål.docx", "A 62080-2022")</f>
        <v/>
      </c>
      <c r="W1108">
        <f>HYPERLINK("https://klasma.github.io/Logging_2284/klagomålsmail/A 62080-2022 FSC-klagomål mail.docx", "A 62080-2022")</f>
        <v/>
      </c>
      <c r="X1108">
        <f>HYPERLINK("https://klasma.github.io/Logging_2284/tillsyn/A 62080-2022 tillsynsbegäran.docx", "A 62080-2022")</f>
        <v/>
      </c>
      <c r="Y1108">
        <f>HYPERLINK("https://klasma.github.io/Logging_2284/tillsynsmail/A 62080-2022 tillsynsbegäran mail.docx", "A 62080-2022")</f>
        <v/>
      </c>
      <c r="Z1108">
        <f>HYPERLINK("https://klasma.github.io/Logging_2284/fåglar/A 62080-2022 prioriterade fågelarter.docx", "A 62080-2022")</f>
        <v/>
      </c>
    </row>
    <row r="1109" ht="15" customHeight="1">
      <c r="A1109" t="inlineStr">
        <is>
          <t>A 311-2023</t>
        </is>
      </c>
      <c r="B1109" s="1" t="n">
        <v>44929</v>
      </c>
      <c r="C1109" s="1" t="n">
        <v>45657</v>
      </c>
      <c r="D1109" t="inlineStr">
        <is>
          <t>VÄSTERNORRLANDS LÄN</t>
        </is>
      </c>
      <c r="E1109" t="inlineStr">
        <is>
          <t>SUNDSVALL</t>
        </is>
      </c>
      <c r="G1109" t="n">
        <v>16.5</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311-2023 artfynd.xlsx", "A 311-2023")</f>
        <v/>
      </c>
      <c r="T1109">
        <f>HYPERLINK("https://klasma.github.io/Logging_2281/kartor/A 311-2023 karta.png", "A 311-2023")</f>
        <v/>
      </c>
      <c r="V1109">
        <f>HYPERLINK("https://klasma.github.io/Logging_2281/klagomål/A 311-2023 FSC-klagomål.docx", "A 311-2023")</f>
        <v/>
      </c>
      <c r="W1109">
        <f>HYPERLINK("https://klasma.github.io/Logging_2281/klagomålsmail/A 311-2023 FSC-klagomål mail.docx", "A 311-2023")</f>
        <v/>
      </c>
      <c r="X1109">
        <f>HYPERLINK("https://klasma.github.io/Logging_2281/tillsyn/A 311-2023 tillsynsbegäran.docx", "A 311-2023")</f>
        <v/>
      </c>
      <c r="Y1109">
        <f>HYPERLINK("https://klasma.github.io/Logging_2281/tillsynsmail/A 311-2023 tillsynsbegäran mail.docx", "A 311-2023")</f>
        <v/>
      </c>
      <c r="Z1109">
        <f>HYPERLINK("https://klasma.github.io/Logging_2281/fåglar/A 311-2023 prioriterade fågelarter.docx", "A 311-2023")</f>
        <v/>
      </c>
    </row>
    <row r="1110" ht="15" customHeight="1">
      <c r="A1110" t="inlineStr">
        <is>
          <t>A 986-2023</t>
        </is>
      </c>
      <c r="B1110" s="1" t="n">
        <v>44935</v>
      </c>
      <c r="C1110" s="1" t="n">
        <v>45657</v>
      </c>
      <c r="D1110" t="inlineStr">
        <is>
          <t>VÄSTERNORRLANDS LÄN</t>
        </is>
      </c>
      <c r="E1110" t="inlineStr">
        <is>
          <t>SOLLEFTEÅ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986-2023 artfynd.xlsx", "A 986-2023")</f>
        <v/>
      </c>
      <c r="T1110">
        <f>HYPERLINK("https://klasma.github.io/Logging_2283/kartor/A 986-2023 karta.png", "A 986-2023")</f>
        <v/>
      </c>
      <c r="V1110">
        <f>HYPERLINK("https://klasma.github.io/Logging_2283/klagomål/A 986-2023 FSC-klagomål.docx", "A 986-2023")</f>
        <v/>
      </c>
      <c r="W1110">
        <f>HYPERLINK("https://klasma.github.io/Logging_2283/klagomålsmail/A 986-2023 FSC-klagomål mail.docx", "A 986-2023")</f>
        <v/>
      </c>
      <c r="X1110">
        <f>HYPERLINK("https://klasma.github.io/Logging_2283/tillsyn/A 986-2023 tillsynsbegäran.docx", "A 986-2023")</f>
        <v/>
      </c>
      <c r="Y1110">
        <f>HYPERLINK("https://klasma.github.io/Logging_2283/tillsynsmail/A 986-2023 tillsynsbegäran mail.docx", "A 986-2023")</f>
        <v/>
      </c>
    </row>
    <row r="1111" ht="15" customHeight="1">
      <c r="A1111" t="inlineStr">
        <is>
          <t>A 1220-2023</t>
        </is>
      </c>
      <c r="B1111" s="1" t="n">
        <v>44935</v>
      </c>
      <c r="C1111" s="1" t="n">
        <v>45657</v>
      </c>
      <c r="D1111" t="inlineStr">
        <is>
          <t>VÄSTERNORRLANDS LÄN</t>
        </is>
      </c>
      <c r="E1111" t="inlineStr">
        <is>
          <t>SUNDSVALL</t>
        </is>
      </c>
      <c r="G1111" t="n">
        <v>2.7</v>
      </c>
      <c r="H1111" t="n">
        <v>1</v>
      </c>
      <c r="I1111" t="n">
        <v>0</v>
      </c>
      <c r="J1111" t="n">
        <v>1</v>
      </c>
      <c r="K1111" t="n">
        <v>0</v>
      </c>
      <c r="L1111" t="n">
        <v>0</v>
      </c>
      <c r="M1111" t="n">
        <v>0</v>
      </c>
      <c r="N1111" t="n">
        <v>0</v>
      </c>
      <c r="O1111" t="n">
        <v>1</v>
      </c>
      <c r="P1111" t="n">
        <v>0</v>
      </c>
      <c r="Q1111" t="n">
        <v>1</v>
      </c>
      <c r="R1111" s="2" t="inlineStr">
        <is>
          <t>Spillkråka</t>
        </is>
      </c>
      <c r="S1111">
        <f>HYPERLINK("https://klasma.github.io/Logging_2281/artfynd/A 1220-2023 artfynd.xlsx", "A 1220-2023")</f>
        <v/>
      </c>
      <c r="T1111">
        <f>HYPERLINK("https://klasma.github.io/Logging_2281/kartor/A 1220-2023 karta.png", "A 1220-2023")</f>
        <v/>
      </c>
      <c r="V1111">
        <f>HYPERLINK("https://klasma.github.io/Logging_2281/klagomål/A 1220-2023 FSC-klagomål.docx", "A 1220-2023")</f>
        <v/>
      </c>
      <c r="W1111">
        <f>HYPERLINK("https://klasma.github.io/Logging_2281/klagomålsmail/A 1220-2023 FSC-klagomål mail.docx", "A 1220-2023")</f>
        <v/>
      </c>
      <c r="X1111">
        <f>HYPERLINK("https://klasma.github.io/Logging_2281/tillsyn/A 1220-2023 tillsynsbegäran.docx", "A 1220-2023")</f>
        <v/>
      </c>
      <c r="Y1111">
        <f>HYPERLINK("https://klasma.github.io/Logging_2281/tillsynsmail/A 1220-2023 tillsynsbegäran mail.docx", "A 1220-2023")</f>
        <v/>
      </c>
      <c r="Z1111">
        <f>HYPERLINK("https://klasma.github.io/Logging_2281/fåglar/A 1220-2023 prioriterade fågelarter.docx", "A 1220-2023")</f>
        <v/>
      </c>
    </row>
    <row r="1112" ht="15" customHeight="1">
      <c r="A1112" t="inlineStr">
        <is>
          <t>A 7485-2023</t>
        </is>
      </c>
      <c r="B1112" s="1" t="n">
        <v>44964</v>
      </c>
      <c r="C1112" s="1" t="n">
        <v>45657</v>
      </c>
      <c r="D1112" t="inlineStr">
        <is>
          <t>VÄSTERNORRLANDS LÄN</t>
        </is>
      </c>
      <c r="E1112" t="inlineStr">
        <is>
          <t>ÅNGE</t>
        </is>
      </c>
      <c r="G1112" t="n">
        <v>2.9</v>
      </c>
      <c r="H1112" t="n">
        <v>0</v>
      </c>
      <c r="I1112" t="n">
        <v>0</v>
      </c>
      <c r="J1112" t="n">
        <v>1</v>
      </c>
      <c r="K1112" t="n">
        <v>0</v>
      </c>
      <c r="L1112" t="n">
        <v>0</v>
      </c>
      <c r="M1112" t="n">
        <v>0</v>
      </c>
      <c r="N1112" t="n">
        <v>0</v>
      </c>
      <c r="O1112" t="n">
        <v>1</v>
      </c>
      <c r="P1112" t="n">
        <v>0</v>
      </c>
      <c r="Q1112" t="n">
        <v>1</v>
      </c>
      <c r="R1112" s="2" t="inlineStr">
        <is>
          <t>Rosenticka</t>
        </is>
      </c>
      <c r="S1112">
        <f>HYPERLINK("https://klasma.github.io/Logging_2260/artfynd/A 7485-2023 artfynd.xlsx", "A 7485-2023")</f>
        <v/>
      </c>
      <c r="T1112">
        <f>HYPERLINK("https://klasma.github.io/Logging_2260/kartor/A 7485-2023 karta.png", "A 7485-2023")</f>
        <v/>
      </c>
      <c r="V1112">
        <f>HYPERLINK("https://klasma.github.io/Logging_2260/klagomål/A 7485-2023 FSC-klagomål.docx", "A 7485-2023")</f>
        <v/>
      </c>
      <c r="W1112">
        <f>HYPERLINK("https://klasma.github.io/Logging_2260/klagomålsmail/A 7485-2023 FSC-klagomål mail.docx", "A 7485-2023")</f>
        <v/>
      </c>
      <c r="X1112">
        <f>HYPERLINK("https://klasma.github.io/Logging_2260/tillsyn/A 7485-2023 tillsynsbegäran.docx", "A 7485-2023")</f>
        <v/>
      </c>
      <c r="Y1112">
        <f>HYPERLINK("https://klasma.github.io/Logging_2260/tillsynsmail/A 7485-2023 tillsynsbegäran mail.docx", "A 7485-2023")</f>
        <v/>
      </c>
    </row>
    <row r="1113" ht="15" customHeight="1">
      <c r="A1113" t="inlineStr">
        <is>
          <t>A 7323-2023</t>
        </is>
      </c>
      <c r="B1113" s="1" t="n">
        <v>44970</v>
      </c>
      <c r="C1113" s="1" t="n">
        <v>45657</v>
      </c>
      <c r="D1113" t="inlineStr">
        <is>
          <t>VÄSTERNORRLANDS LÄN</t>
        </is>
      </c>
      <c r="E1113" t="inlineStr">
        <is>
          <t>ÖRNSKÖLDSVIK</t>
        </is>
      </c>
      <c r="F1113" t="inlineStr">
        <is>
          <t>SCA</t>
        </is>
      </c>
      <c r="G1113" t="n">
        <v>18.6</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7323-2023 artfynd.xlsx", "A 7323-2023")</f>
        <v/>
      </c>
      <c r="T1113">
        <f>HYPERLINK("https://klasma.github.io/Logging_2284/kartor/A 7323-2023 karta.png", "A 7323-2023")</f>
        <v/>
      </c>
      <c r="V1113">
        <f>HYPERLINK("https://klasma.github.io/Logging_2284/klagomål/A 7323-2023 FSC-klagomål.docx", "A 7323-2023")</f>
        <v/>
      </c>
      <c r="W1113">
        <f>HYPERLINK("https://klasma.github.io/Logging_2284/klagomålsmail/A 7323-2023 FSC-klagomål mail.docx", "A 7323-2023")</f>
        <v/>
      </c>
      <c r="X1113">
        <f>HYPERLINK("https://klasma.github.io/Logging_2284/tillsyn/A 7323-2023 tillsynsbegäran.docx", "A 7323-2023")</f>
        <v/>
      </c>
      <c r="Y1113">
        <f>HYPERLINK("https://klasma.github.io/Logging_2284/tillsynsmail/A 7323-2023 tillsynsbegäran mail.docx", "A 7323-2023")</f>
        <v/>
      </c>
    </row>
    <row r="1114" ht="15" customHeight="1">
      <c r="A1114" t="inlineStr">
        <is>
          <t>A 7524-2023</t>
        </is>
      </c>
      <c r="B1114" s="1" t="n">
        <v>44971</v>
      </c>
      <c r="C1114" s="1" t="n">
        <v>45657</v>
      </c>
      <c r="D1114" t="inlineStr">
        <is>
          <t>VÄSTERNORRLANDS LÄN</t>
        </is>
      </c>
      <c r="E1114" t="inlineStr">
        <is>
          <t>SUNDSVALL</t>
        </is>
      </c>
      <c r="F1114" t="inlineStr">
        <is>
          <t>Naturvårdsverket</t>
        </is>
      </c>
      <c r="G1114" t="n">
        <v>5.2</v>
      </c>
      <c r="H1114" t="n">
        <v>0</v>
      </c>
      <c r="I1114" t="n">
        <v>0</v>
      </c>
      <c r="J1114" t="n">
        <v>0</v>
      </c>
      <c r="K1114" t="n">
        <v>1</v>
      </c>
      <c r="L1114" t="n">
        <v>0</v>
      </c>
      <c r="M1114" t="n">
        <v>0</v>
      </c>
      <c r="N1114" t="n">
        <v>0</v>
      </c>
      <c r="O1114" t="n">
        <v>1</v>
      </c>
      <c r="P1114" t="n">
        <v>1</v>
      </c>
      <c r="Q1114" t="n">
        <v>1</v>
      </c>
      <c r="R1114" s="2" t="inlineStr">
        <is>
          <t>Rynkskinn</t>
        </is>
      </c>
      <c r="S1114">
        <f>HYPERLINK("https://klasma.github.io/Logging_2281/artfynd/A 7524-2023 artfynd.xlsx", "A 7524-2023")</f>
        <v/>
      </c>
      <c r="T1114">
        <f>HYPERLINK("https://klasma.github.io/Logging_2281/kartor/A 7524-2023 karta.png", "A 7524-2023")</f>
        <v/>
      </c>
      <c r="V1114">
        <f>HYPERLINK("https://klasma.github.io/Logging_2281/klagomål/A 7524-2023 FSC-klagomål.docx", "A 7524-2023")</f>
        <v/>
      </c>
      <c r="W1114">
        <f>HYPERLINK("https://klasma.github.io/Logging_2281/klagomålsmail/A 7524-2023 FSC-klagomål mail.docx", "A 7524-2023")</f>
        <v/>
      </c>
      <c r="X1114">
        <f>HYPERLINK("https://klasma.github.io/Logging_2281/tillsyn/A 7524-2023 tillsynsbegäran.docx", "A 7524-2023")</f>
        <v/>
      </c>
      <c r="Y1114">
        <f>HYPERLINK("https://klasma.github.io/Logging_2281/tillsynsmail/A 7524-2023 tillsynsbegäran mail.docx", "A 7524-2023")</f>
        <v/>
      </c>
    </row>
    <row r="1115" ht="15" customHeight="1">
      <c r="A1115" t="inlineStr">
        <is>
          <t>A 8032-2023</t>
        </is>
      </c>
      <c r="B1115" s="1" t="n">
        <v>44973</v>
      </c>
      <c r="C1115" s="1" t="n">
        <v>45657</v>
      </c>
      <c r="D1115" t="inlineStr">
        <is>
          <t>VÄSTERNORRLANDS LÄN</t>
        </is>
      </c>
      <c r="E1115" t="inlineStr">
        <is>
          <t>SUNDSVALL</t>
        </is>
      </c>
      <c r="F1115" t="inlineStr">
        <is>
          <t>SCA</t>
        </is>
      </c>
      <c r="G1115" t="n">
        <v>8.6</v>
      </c>
      <c r="H1115" t="n">
        <v>1</v>
      </c>
      <c r="I1115" t="n">
        <v>0</v>
      </c>
      <c r="J1115" t="n">
        <v>0</v>
      </c>
      <c r="K1115" t="n">
        <v>0</v>
      </c>
      <c r="L1115" t="n">
        <v>0</v>
      </c>
      <c r="M1115" t="n">
        <v>0</v>
      </c>
      <c r="N1115" t="n">
        <v>0</v>
      </c>
      <c r="O1115" t="n">
        <v>0</v>
      </c>
      <c r="P1115" t="n">
        <v>0</v>
      </c>
      <c r="Q1115" t="n">
        <v>1</v>
      </c>
      <c r="R1115" s="2" t="inlineStr">
        <is>
          <t>Vanlig padda</t>
        </is>
      </c>
      <c r="S1115">
        <f>HYPERLINK("https://klasma.github.io/Logging_2281/artfynd/A 8032-2023 artfynd.xlsx", "A 8032-2023")</f>
        <v/>
      </c>
      <c r="T1115">
        <f>HYPERLINK("https://klasma.github.io/Logging_2281/kartor/A 8032-2023 karta.png", "A 8032-2023")</f>
        <v/>
      </c>
      <c r="V1115">
        <f>HYPERLINK("https://klasma.github.io/Logging_2281/klagomål/A 8032-2023 FSC-klagomål.docx", "A 8032-2023")</f>
        <v/>
      </c>
      <c r="W1115">
        <f>HYPERLINK("https://klasma.github.io/Logging_2281/klagomålsmail/A 8032-2023 FSC-klagomål mail.docx", "A 8032-2023")</f>
        <v/>
      </c>
      <c r="X1115">
        <f>HYPERLINK("https://klasma.github.io/Logging_2281/tillsyn/A 8032-2023 tillsynsbegäran.docx", "A 8032-2023")</f>
        <v/>
      </c>
      <c r="Y1115">
        <f>HYPERLINK("https://klasma.github.io/Logging_2281/tillsynsmail/A 8032-2023 tillsynsbegäran mail.docx", "A 8032-2023")</f>
        <v/>
      </c>
    </row>
    <row r="1116" ht="15" customHeight="1">
      <c r="A1116" t="inlineStr">
        <is>
          <t>A 8677-2023</t>
        </is>
      </c>
      <c r="B1116" s="1" t="n">
        <v>44977</v>
      </c>
      <c r="C1116" s="1" t="n">
        <v>45657</v>
      </c>
      <c r="D1116" t="inlineStr">
        <is>
          <t>VÄSTERNORRLANDS LÄN</t>
        </is>
      </c>
      <c r="E1116" t="inlineStr">
        <is>
          <t>ÖRNSKÖLDSVIK</t>
        </is>
      </c>
      <c r="F1116" t="inlineStr">
        <is>
          <t>SCA</t>
        </is>
      </c>
      <c r="G1116" t="n">
        <v>18.6</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8677-2023 artfynd.xlsx", "A 8677-2023")</f>
        <v/>
      </c>
      <c r="T1116">
        <f>HYPERLINK("https://klasma.github.io/Logging_2284/kartor/A 8677-2023 karta.png", "A 8677-2023")</f>
        <v/>
      </c>
      <c r="V1116">
        <f>HYPERLINK("https://klasma.github.io/Logging_2284/klagomål/A 8677-2023 FSC-klagomål.docx", "A 8677-2023")</f>
        <v/>
      </c>
      <c r="W1116">
        <f>HYPERLINK("https://klasma.github.io/Logging_2284/klagomålsmail/A 8677-2023 FSC-klagomål mail.docx", "A 8677-2023")</f>
        <v/>
      </c>
      <c r="X1116">
        <f>HYPERLINK("https://klasma.github.io/Logging_2284/tillsyn/A 8677-2023 tillsynsbegäran.docx", "A 8677-2023")</f>
        <v/>
      </c>
      <c r="Y1116">
        <f>HYPERLINK("https://klasma.github.io/Logging_2284/tillsynsmail/A 8677-2023 tillsynsbegäran mail.docx", "A 8677-2023")</f>
        <v/>
      </c>
    </row>
    <row r="1117" ht="15" customHeight="1">
      <c r="A1117" t="inlineStr">
        <is>
          <t>A 10313-2023</t>
        </is>
      </c>
      <c r="B1117" s="1" t="n">
        <v>44986</v>
      </c>
      <c r="C1117" s="1" t="n">
        <v>45657</v>
      </c>
      <c r="D1117" t="inlineStr">
        <is>
          <t>VÄSTERNORRLANDS LÄN</t>
        </is>
      </c>
      <c r="E1117" t="inlineStr">
        <is>
          <t>TIMRÅ</t>
        </is>
      </c>
      <c r="F1117" t="inlineStr">
        <is>
          <t>SCA</t>
        </is>
      </c>
      <c r="G1117" t="n">
        <v>39.3</v>
      </c>
      <c r="H1117" t="n">
        <v>1</v>
      </c>
      <c r="I1117" t="n">
        <v>0</v>
      </c>
      <c r="J1117" t="n">
        <v>1</v>
      </c>
      <c r="K1117" t="n">
        <v>0</v>
      </c>
      <c r="L1117" t="n">
        <v>0</v>
      </c>
      <c r="M1117" t="n">
        <v>0</v>
      </c>
      <c r="N1117" t="n">
        <v>0</v>
      </c>
      <c r="O1117" t="n">
        <v>1</v>
      </c>
      <c r="P1117" t="n">
        <v>0</v>
      </c>
      <c r="Q1117" t="n">
        <v>1</v>
      </c>
      <c r="R1117" s="2" t="inlineStr">
        <is>
          <t>Slaguggla</t>
        </is>
      </c>
      <c r="S1117">
        <f>HYPERLINK("https://klasma.github.io/Logging_2262/artfynd/A 10313-2023 artfynd.xlsx", "A 10313-2023")</f>
        <v/>
      </c>
      <c r="T1117">
        <f>HYPERLINK("https://klasma.github.io/Logging_2262/kartor/A 10313-2023 karta.png", "A 10313-2023")</f>
        <v/>
      </c>
      <c r="V1117">
        <f>HYPERLINK("https://klasma.github.io/Logging_2262/klagomål/A 10313-2023 FSC-klagomål.docx", "A 10313-2023")</f>
        <v/>
      </c>
      <c r="W1117">
        <f>HYPERLINK("https://klasma.github.io/Logging_2262/klagomålsmail/A 10313-2023 FSC-klagomål mail.docx", "A 10313-2023")</f>
        <v/>
      </c>
      <c r="X1117">
        <f>HYPERLINK("https://klasma.github.io/Logging_2262/tillsyn/A 10313-2023 tillsynsbegäran.docx", "A 10313-2023")</f>
        <v/>
      </c>
      <c r="Y1117">
        <f>HYPERLINK("https://klasma.github.io/Logging_2262/tillsynsmail/A 10313-2023 tillsynsbegäran mail.docx", "A 10313-2023")</f>
        <v/>
      </c>
      <c r="Z1117">
        <f>HYPERLINK("https://klasma.github.io/Logging_2262/fåglar/A 10313-2023 prioriterade fågelarter.docx", "A 10313-2023")</f>
        <v/>
      </c>
    </row>
    <row r="1118" ht="15" customHeight="1">
      <c r="A1118" t="inlineStr">
        <is>
          <t>A 10774-2023</t>
        </is>
      </c>
      <c r="B1118" s="1" t="n">
        <v>44988</v>
      </c>
      <c r="C1118" s="1" t="n">
        <v>45657</v>
      </c>
      <c r="D1118" t="inlineStr">
        <is>
          <t>VÄSTERNORRLANDS LÄN</t>
        </is>
      </c>
      <c r="E1118" t="inlineStr">
        <is>
          <t>SUNDSVALL</t>
        </is>
      </c>
      <c r="F1118" t="inlineStr">
        <is>
          <t>SCA</t>
        </is>
      </c>
      <c r="G1118" t="n">
        <v>2</v>
      </c>
      <c r="H1118" t="n">
        <v>1</v>
      </c>
      <c r="I1118" t="n">
        <v>0</v>
      </c>
      <c r="J1118" t="n">
        <v>1</v>
      </c>
      <c r="K1118" t="n">
        <v>0</v>
      </c>
      <c r="L1118" t="n">
        <v>0</v>
      </c>
      <c r="M1118" t="n">
        <v>0</v>
      </c>
      <c r="N1118" t="n">
        <v>0</v>
      </c>
      <c r="O1118" t="n">
        <v>1</v>
      </c>
      <c r="P1118" t="n">
        <v>0</v>
      </c>
      <c r="Q1118" t="n">
        <v>1</v>
      </c>
      <c r="R1118" s="2" t="inlineStr">
        <is>
          <t>Järpe</t>
        </is>
      </c>
      <c r="S1118">
        <f>HYPERLINK("https://klasma.github.io/Logging_2281/artfynd/A 10774-2023 artfynd.xlsx", "A 10774-2023")</f>
        <v/>
      </c>
      <c r="T1118">
        <f>HYPERLINK("https://klasma.github.io/Logging_2281/kartor/A 10774-2023 karta.png", "A 10774-2023")</f>
        <v/>
      </c>
      <c r="V1118">
        <f>HYPERLINK("https://klasma.github.io/Logging_2281/klagomål/A 10774-2023 FSC-klagomål.docx", "A 10774-2023")</f>
        <v/>
      </c>
      <c r="W1118">
        <f>HYPERLINK("https://klasma.github.io/Logging_2281/klagomålsmail/A 10774-2023 FSC-klagomål mail.docx", "A 10774-2023")</f>
        <v/>
      </c>
      <c r="X1118">
        <f>HYPERLINK("https://klasma.github.io/Logging_2281/tillsyn/A 10774-2023 tillsynsbegäran.docx", "A 10774-2023")</f>
        <v/>
      </c>
      <c r="Y1118">
        <f>HYPERLINK("https://klasma.github.io/Logging_2281/tillsynsmail/A 10774-2023 tillsynsbegäran mail.docx", "A 10774-2023")</f>
        <v/>
      </c>
      <c r="Z1118">
        <f>HYPERLINK("https://klasma.github.io/Logging_2281/fåglar/A 10774-2023 prioriterade fågelarter.docx", "A 10774-2023")</f>
        <v/>
      </c>
    </row>
    <row r="1119" ht="15" customHeight="1">
      <c r="A1119" t="inlineStr">
        <is>
          <t>A 12049-2023</t>
        </is>
      </c>
      <c r="B1119" s="1" t="n">
        <v>44996</v>
      </c>
      <c r="C1119" s="1" t="n">
        <v>45657</v>
      </c>
      <c r="D1119" t="inlineStr">
        <is>
          <t>VÄSTERNORRLANDS LÄN</t>
        </is>
      </c>
      <c r="E1119" t="inlineStr">
        <is>
          <t>SUNDSVALL</t>
        </is>
      </c>
      <c r="F1119" t="inlineStr">
        <is>
          <t>SCA</t>
        </is>
      </c>
      <c r="G1119" t="n">
        <v>13</v>
      </c>
      <c r="H1119" t="n">
        <v>1</v>
      </c>
      <c r="I1119" t="n">
        <v>0</v>
      </c>
      <c r="J1119" t="n">
        <v>0</v>
      </c>
      <c r="K1119" t="n">
        <v>1</v>
      </c>
      <c r="L1119" t="n">
        <v>0</v>
      </c>
      <c r="M1119" t="n">
        <v>0</v>
      </c>
      <c r="N1119" t="n">
        <v>0</v>
      </c>
      <c r="O1119" t="n">
        <v>1</v>
      </c>
      <c r="P1119" t="n">
        <v>1</v>
      </c>
      <c r="Q1119" t="n">
        <v>1</v>
      </c>
      <c r="R1119" s="2" t="inlineStr">
        <is>
          <t>Lappuggla</t>
        </is>
      </c>
      <c r="S1119">
        <f>HYPERLINK("https://klasma.github.io/Logging_2281/artfynd/A 12049-2023 artfynd.xlsx", "A 12049-2023")</f>
        <v/>
      </c>
      <c r="T1119">
        <f>HYPERLINK("https://klasma.github.io/Logging_2281/kartor/A 12049-2023 karta.png", "A 12049-2023")</f>
        <v/>
      </c>
      <c r="V1119">
        <f>HYPERLINK("https://klasma.github.io/Logging_2281/klagomål/A 12049-2023 FSC-klagomål.docx", "A 12049-2023")</f>
        <v/>
      </c>
      <c r="W1119">
        <f>HYPERLINK("https://klasma.github.io/Logging_2281/klagomålsmail/A 12049-2023 FSC-klagomål mail.docx", "A 12049-2023")</f>
        <v/>
      </c>
      <c r="X1119">
        <f>HYPERLINK("https://klasma.github.io/Logging_2281/tillsyn/A 12049-2023 tillsynsbegäran.docx", "A 12049-2023")</f>
        <v/>
      </c>
      <c r="Y1119">
        <f>HYPERLINK("https://klasma.github.io/Logging_2281/tillsynsmail/A 12049-2023 tillsynsbegäran mail.docx", "A 12049-2023")</f>
        <v/>
      </c>
      <c r="Z1119">
        <f>HYPERLINK("https://klasma.github.io/Logging_2281/fåglar/A 12049-2023 prioriterade fågelarter.docx", "A 12049-2023")</f>
        <v/>
      </c>
    </row>
    <row r="1120" ht="15" customHeight="1">
      <c r="A1120" t="inlineStr">
        <is>
          <t>A 12058-2023</t>
        </is>
      </c>
      <c r="B1120" s="1" t="n">
        <v>44995</v>
      </c>
      <c r="C1120" s="1" t="n">
        <v>45657</v>
      </c>
      <c r="D1120" t="inlineStr">
        <is>
          <t>VÄSTERNORRLANDS LÄN</t>
        </is>
      </c>
      <c r="E1120" t="inlineStr">
        <is>
          <t>SUNDSVALL</t>
        </is>
      </c>
      <c r="F1120" t="inlineStr">
        <is>
          <t>SCA</t>
        </is>
      </c>
      <c r="G1120" t="n">
        <v>4</v>
      </c>
      <c r="H1120" t="n">
        <v>1</v>
      </c>
      <c r="I1120" t="n">
        <v>0</v>
      </c>
      <c r="J1120" t="n">
        <v>1</v>
      </c>
      <c r="K1120" t="n">
        <v>0</v>
      </c>
      <c r="L1120" t="n">
        <v>0</v>
      </c>
      <c r="M1120" t="n">
        <v>0</v>
      </c>
      <c r="N1120" t="n">
        <v>0</v>
      </c>
      <c r="O1120" t="n">
        <v>1</v>
      </c>
      <c r="P1120" t="n">
        <v>0</v>
      </c>
      <c r="Q1120" t="n">
        <v>1</v>
      </c>
      <c r="R1120" s="2" t="inlineStr">
        <is>
          <t>Fiskmås</t>
        </is>
      </c>
      <c r="S1120">
        <f>HYPERLINK("https://klasma.github.io/Logging_2281/artfynd/A 12058-2023 artfynd.xlsx", "A 12058-2023")</f>
        <v/>
      </c>
      <c r="T1120">
        <f>HYPERLINK("https://klasma.github.io/Logging_2281/kartor/A 12058-2023 karta.png", "A 12058-2023")</f>
        <v/>
      </c>
      <c r="V1120">
        <f>HYPERLINK("https://klasma.github.io/Logging_2281/klagomål/A 12058-2023 FSC-klagomål.docx", "A 12058-2023")</f>
        <v/>
      </c>
      <c r="W1120">
        <f>HYPERLINK("https://klasma.github.io/Logging_2281/klagomålsmail/A 12058-2023 FSC-klagomål mail.docx", "A 12058-2023")</f>
        <v/>
      </c>
      <c r="X1120">
        <f>HYPERLINK("https://klasma.github.io/Logging_2281/tillsyn/A 12058-2023 tillsynsbegäran.docx", "A 12058-2023")</f>
        <v/>
      </c>
      <c r="Y1120">
        <f>HYPERLINK("https://klasma.github.io/Logging_2281/tillsynsmail/A 12058-2023 tillsynsbegäran mail.docx", "A 12058-2023")</f>
        <v/>
      </c>
    </row>
    <row r="1121" ht="15" customHeight="1">
      <c r="A1121" t="inlineStr">
        <is>
          <t>A 12352-2023</t>
        </is>
      </c>
      <c r="B1121" s="1" t="n">
        <v>44998</v>
      </c>
      <c r="C1121" s="1" t="n">
        <v>45657</v>
      </c>
      <c r="D1121" t="inlineStr">
        <is>
          <t>VÄSTERNORRLANDS LÄN</t>
        </is>
      </c>
      <c r="E1121" t="inlineStr">
        <is>
          <t>ÖRNSKÖLDSVIK</t>
        </is>
      </c>
      <c r="G1121" t="n">
        <v>1.8</v>
      </c>
      <c r="H1121" t="n">
        <v>1</v>
      </c>
      <c r="I1121" t="n">
        <v>0</v>
      </c>
      <c r="J1121" t="n">
        <v>0</v>
      </c>
      <c r="K1121" t="n">
        <v>0</v>
      </c>
      <c r="L1121" t="n">
        <v>0</v>
      </c>
      <c r="M1121" t="n">
        <v>0</v>
      </c>
      <c r="N1121" t="n">
        <v>0</v>
      </c>
      <c r="O1121" t="n">
        <v>0</v>
      </c>
      <c r="P1121" t="n">
        <v>0</v>
      </c>
      <c r="Q1121" t="n">
        <v>1</v>
      </c>
      <c r="R1121" s="2" t="inlineStr">
        <is>
          <t>Lopplummer</t>
        </is>
      </c>
      <c r="S1121">
        <f>HYPERLINK("https://klasma.github.io/Logging_2284/artfynd/A 12352-2023 artfynd.xlsx", "A 12352-2023")</f>
        <v/>
      </c>
      <c r="T1121">
        <f>HYPERLINK("https://klasma.github.io/Logging_2284/kartor/A 12352-2023 karta.png", "A 12352-2023")</f>
        <v/>
      </c>
      <c r="V1121">
        <f>HYPERLINK("https://klasma.github.io/Logging_2284/klagomål/A 12352-2023 FSC-klagomål.docx", "A 12352-2023")</f>
        <v/>
      </c>
      <c r="W1121">
        <f>HYPERLINK("https://klasma.github.io/Logging_2284/klagomålsmail/A 12352-2023 FSC-klagomål mail.docx", "A 12352-2023")</f>
        <v/>
      </c>
      <c r="X1121">
        <f>HYPERLINK("https://klasma.github.io/Logging_2284/tillsyn/A 12352-2023 tillsynsbegäran.docx", "A 12352-2023")</f>
        <v/>
      </c>
      <c r="Y1121">
        <f>HYPERLINK("https://klasma.github.io/Logging_2284/tillsynsmail/A 12352-2023 tillsynsbegäran mail.docx", "A 12352-2023")</f>
        <v/>
      </c>
    </row>
    <row r="1122" ht="15" customHeight="1">
      <c r="A1122" t="inlineStr">
        <is>
          <t>A 12862-2023</t>
        </is>
      </c>
      <c r="B1122" s="1" t="n">
        <v>45001</v>
      </c>
      <c r="C1122" s="1" t="n">
        <v>45657</v>
      </c>
      <c r="D1122" t="inlineStr">
        <is>
          <t>VÄSTERNORRLANDS LÄN</t>
        </is>
      </c>
      <c r="E1122" t="inlineStr">
        <is>
          <t>SOLLEFTEÅ</t>
        </is>
      </c>
      <c r="F1122" t="inlineStr">
        <is>
          <t>Övriga Aktiebolag</t>
        </is>
      </c>
      <c r="G1122" t="n">
        <v>10.4</v>
      </c>
      <c r="H1122" t="n">
        <v>0</v>
      </c>
      <c r="I1122" t="n">
        <v>1</v>
      </c>
      <c r="J1122" t="n">
        <v>0</v>
      </c>
      <c r="K1122" t="n">
        <v>0</v>
      </c>
      <c r="L1122" t="n">
        <v>0</v>
      </c>
      <c r="M1122" t="n">
        <v>0</v>
      </c>
      <c r="N1122" t="n">
        <v>0</v>
      </c>
      <c r="O1122" t="n">
        <v>0</v>
      </c>
      <c r="P1122" t="n">
        <v>0</v>
      </c>
      <c r="Q1122" t="n">
        <v>1</v>
      </c>
      <c r="R1122" s="2" t="inlineStr">
        <is>
          <t>Korallblylav</t>
        </is>
      </c>
      <c r="S1122">
        <f>HYPERLINK("https://klasma.github.io/Logging_2283/artfynd/A 12862-2023 artfynd.xlsx", "A 12862-2023")</f>
        <v/>
      </c>
      <c r="T1122">
        <f>HYPERLINK("https://klasma.github.io/Logging_2283/kartor/A 12862-2023 karta.png", "A 12862-2023")</f>
        <v/>
      </c>
      <c r="V1122">
        <f>HYPERLINK("https://klasma.github.io/Logging_2283/klagomål/A 12862-2023 FSC-klagomål.docx", "A 12862-2023")</f>
        <v/>
      </c>
      <c r="W1122">
        <f>HYPERLINK("https://klasma.github.io/Logging_2283/klagomålsmail/A 12862-2023 FSC-klagomål mail.docx", "A 12862-2023")</f>
        <v/>
      </c>
      <c r="X1122">
        <f>HYPERLINK("https://klasma.github.io/Logging_2283/tillsyn/A 12862-2023 tillsynsbegäran.docx", "A 12862-2023")</f>
        <v/>
      </c>
      <c r="Y1122">
        <f>HYPERLINK("https://klasma.github.io/Logging_2283/tillsynsmail/A 12862-2023 tillsynsbegäran mail.docx", "A 12862-2023")</f>
        <v/>
      </c>
    </row>
    <row r="1123" ht="15" customHeight="1">
      <c r="A1123" t="inlineStr">
        <is>
          <t>A 12979-2023</t>
        </is>
      </c>
      <c r="B1123" s="1" t="n">
        <v>45002</v>
      </c>
      <c r="C1123" s="1" t="n">
        <v>45657</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13220-2023</t>
        </is>
      </c>
      <c r="B1124" s="1" t="n">
        <v>45002</v>
      </c>
      <c r="C1124" s="1" t="n">
        <v>45657</v>
      </c>
      <c r="D1124" t="inlineStr">
        <is>
          <t>VÄSTERNORRLANDS LÄN</t>
        </is>
      </c>
      <c r="E1124" t="inlineStr">
        <is>
          <t>ÖRNSKÖLDSVIK</t>
        </is>
      </c>
      <c r="G1124" t="n">
        <v>7.8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13220-2023 artfynd.xlsx", "A 13220-2023")</f>
        <v/>
      </c>
      <c r="T1124">
        <f>HYPERLINK("https://klasma.github.io/Logging_2284/kartor/A 13220-2023 karta.png", "A 13220-2023")</f>
        <v/>
      </c>
      <c r="V1124">
        <f>HYPERLINK("https://klasma.github.io/Logging_2284/klagomål/A 13220-2023 FSC-klagomål.docx", "A 13220-2023")</f>
        <v/>
      </c>
      <c r="W1124">
        <f>HYPERLINK("https://klasma.github.io/Logging_2284/klagomålsmail/A 13220-2023 FSC-klagomål mail.docx", "A 13220-2023")</f>
        <v/>
      </c>
      <c r="X1124">
        <f>HYPERLINK("https://klasma.github.io/Logging_2284/tillsyn/A 13220-2023 tillsynsbegäran.docx", "A 13220-2023")</f>
        <v/>
      </c>
      <c r="Y1124">
        <f>HYPERLINK("https://klasma.github.io/Logging_2284/tillsynsmail/A 13220-2023 tillsynsbegäran mail.docx", "A 13220-2023")</f>
        <v/>
      </c>
      <c r="Z1124">
        <f>HYPERLINK("https://klasma.github.io/Logging_2284/fåglar/A 13220-2023 prioriterade fågelarter.docx", "A 13220-2023")</f>
        <v/>
      </c>
    </row>
    <row r="1125" ht="15" customHeight="1">
      <c r="A1125" t="inlineStr">
        <is>
          <t>A 13984-2023</t>
        </is>
      </c>
      <c r="B1125" s="1" t="n">
        <v>45008</v>
      </c>
      <c r="C1125" s="1" t="n">
        <v>45657</v>
      </c>
      <c r="D1125" t="inlineStr">
        <is>
          <t>VÄSTERNORRLANDS LÄN</t>
        </is>
      </c>
      <c r="E1125" t="inlineStr">
        <is>
          <t>HÄRNÖSAND</t>
        </is>
      </c>
      <c r="G1125" t="n">
        <v>2.3</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HYPERLINK("https://klasma.github.io/Logging_2280/artfynd/A 13984-2023 artfynd.xlsx", "A 13984-2023")</f>
        <v/>
      </c>
      <c r="T1125">
        <f>HYPERLINK("https://klasma.github.io/Logging_2280/kartor/A 13984-2023 karta.png", "A 13984-2023")</f>
        <v/>
      </c>
      <c r="V1125">
        <f>HYPERLINK("https://klasma.github.io/Logging_2280/klagomål/A 13984-2023 FSC-klagomål.docx", "A 13984-2023")</f>
        <v/>
      </c>
      <c r="W1125">
        <f>HYPERLINK("https://klasma.github.io/Logging_2280/klagomålsmail/A 13984-2023 FSC-klagomål mail.docx", "A 13984-2023")</f>
        <v/>
      </c>
      <c r="X1125">
        <f>HYPERLINK("https://klasma.github.io/Logging_2280/tillsyn/A 13984-2023 tillsynsbegäran.docx", "A 13984-2023")</f>
        <v/>
      </c>
      <c r="Y1125">
        <f>HYPERLINK("https://klasma.github.io/Logging_2280/tillsynsmail/A 13984-2023 tillsynsbegäran mail.docx", "A 13984-2023")</f>
        <v/>
      </c>
    </row>
    <row r="1126" ht="15" customHeight="1">
      <c r="A1126" t="inlineStr">
        <is>
          <t>A 14665-2023</t>
        </is>
      </c>
      <c r="B1126" s="1" t="n">
        <v>45014</v>
      </c>
      <c r="C1126" s="1" t="n">
        <v>45657</v>
      </c>
      <c r="D1126" t="inlineStr">
        <is>
          <t>VÄSTERNORRLANDS LÄN</t>
        </is>
      </c>
      <c r="E1126" t="inlineStr">
        <is>
          <t>SUNDSVALL</t>
        </is>
      </c>
      <c r="G1126" t="n">
        <v>1.8</v>
      </c>
      <c r="H1126" t="n">
        <v>1</v>
      </c>
      <c r="I1126" t="n">
        <v>0</v>
      </c>
      <c r="J1126" t="n">
        <v>0</v>
      </c>
      <c r="K1126" t="n">
        <v>0</v>
      </c>
      <c r="L1126" t="n">
        <v>0</v>
      </c>
      <c r="M1126" t="n">
        <v>0</v>
      </c>
      <c r="N1126" t="n">
        <v>0</v>
      </c>
      <c r="O1126" t="n">
        <v>0</v>
      </c>
      <c r="P1126" t="n">
        <v>0</v>
      </c>
      <c r="Q1126" t="n">
        <v>1</v>
      </c>
      <c r="R1126" s="2" t="inlineStr">
        <is>
          <t>Trana</t>
        </is>
      </c>
      <c r="S1126">
        <f>HYPERLINK("https://klasma.github.io/Logging_2281/artfynd/A 14665-2023 artfynd.xlsx", "A 14665-2023")</f>
        <v/>
      </c>
      <c r="T1126">
        <f>HYPERLINK("https://klasma.github.io/Logging_2281/kartor/A 14665-2023 karta.png", "A 14665-2023")</f>
        <v/>
      </c>
      <c r="V1126">
        <f>HYPERLINK("https://klasma.github.io/Logging_2281/klagomål/A 14665-2023 FSC-klagomål.docx", "A 14665-2023")</f>
        <v/>
      </c>
      <c r="W1126">
        <f>HYPERLINK("https://klasma.github.io/Logging_2281/klagomålsmail/A 14665-2023 FSC-klagomål mail.docx", "A 14665-2023")</f>
        <v/>
      </c>
      <c r="X1126">
        <f>HYPERLINK("https://klasma.github.io/Logging_2281/tillsyn/A 14665-2023 tillsynsbegäran.docx", "A 14665-2023")</f>
        <v/>
      </c>
      <c r="Y1126">
        <f>HYPERLINK("https://klasma.github.io/Logging_2281/tillsynsmail/A 14665-2023 tillsynsbegäran mail.docx", "A 14665-2023")</f>
        <v/>
      </c>
      <c r="Z1126">
        <f>HYPERLINK("https://klasma.github.io/Logging_2281/fåglar/A 14665-2023 prioriterade fågelarter.docx", "A 14665-2023")</f>
        <v/>
      </c>
    </row>
    <row r="1127" ht="15" customHeight="1">
      <c r="A1127" t="inlineStr">
        <is>
          <t>A 14674-2023</t>
        </is>
      </c>
      <c r="B1127" s="1" t="n">
        <v>45013</v>
      </c>
      <c r="C1127" s="1" t="n">
        <v>45657</v>
      </c>
      <c r="D1127" t="inlineStr">
        <is>
          <t>VÄSTERNORRLANDS LÄN</t>
        </is>
      </c>
      <c r="E1127" t="inlineStr">
        <is>
          <t>SOLLEFTEÅ</t>
        </is>
      </c>
      <c r="F1127" t="inlineStr">
        <is>
          <t>Övriga statliga verk och myndigheter</t>
        </is>
      </c>
      <c r="G1127" t="n">
        <v>11.7</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14674-2023 artfynd.xlsx", "A 14674-2023")</f>
        <v/>
      </c>
      <c r="T1127">
        <f>HYPERLINK("https://klasma.github.io/Logging_2283/kartor/A 14674-2023 karta.png", "A 14674-2023")</f>
        <v/>
      </c>
      <c r="V1127">
        <f>HYPERLINK("https://klasma.github.io/Logging_2283/klagomål/A 14674-2023 FSC-klagomål.docx", "A 14674-2023")</f>
        <v/>
      </c>
      <c r="W1127">
        <f>HYPERLINK("https://klasma.github.io/Logging_2283/klagomålsmail/A 14674-2023 FSC-klagomål mail.docx", "A 14674-2023")</f>
        <v/>
      </c>
      <c r="X1127">
        <f>HYPERLINK("https://klasma.github.io/Logging_2283/tillsyn/A 14674-2023 tillsynsbegäran.docx", "A 14674-2023")</f>
        <v/>
      </c>
      <c r="Y1127">
        <f>HYPERLINK("https://klasma.github.io/Logging_2283/tillsynsmail/A 14674-2023 tillsynsbegäran mail.docx", "A 14674-2023")</f>
        <v/>
      </c>
    </row>
    <row r="1128" ht="15" customHeight="1">
      <c r="A1128" t="inlineStr">
        <is>
          <t>A 15346-2023</t>
        </is>
      </c>
      <c r="B1128" s="1" t="n">
        <v>45016</v>
      </c>
      <c r="C1128" s="1" t="n">
        <v>45657</v>
      </c>
      <c r="D1128" t="inlineStr">
        <is>
          <t>VÄSTERNORRLANDS LÄN</t>
        </is>
      </c>
      <c r="E1128" t="inlineStr">
        <is>
          <t>SUNDSVALL</t>
        </is>
      </c>
      <c r="G1128" t="n">
        <v>3.8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15346-2023 artfynd.xlsx", "A 15346-2023")</f>
        <v/>
      </c>
      <c r="T1128">
        <f>HYPERLINK("https://klasma.github.io/Logging_2281/kartor/A 15346-2023 karta.png", "A 15346-2023")</f>
        <v/>
      </c>
      <c r="V1128">
        <f>HYPERLINK("https://klasma.github.io/Logging_2281/klagomål/A 15346-2023 FSC-klagomål.docx", "A 15346-2023")</f>
        <v/>
      </c>
      <c r="W1128">
        <f>HYPERLINK("https://klasma.github.io/Logging_2281/klagomålsmail/A 15346-2023 FSC-klagomål mail.docx", "A 15346-2023")</f>
        <v/>
      </c>
      <c r="X1128">
        <f>HYPERLINK("https://klasma.github.io/Logging_2281/tillsyn/A 15346-2023 tillsynsbegäran.docx", "A 15346-2023")</f>
        <v/>
      </c>
      <c r="Y1128">
        <f>HYPERLINK("https://klasma.github.io/Logging_2281/tillsynsmail/A 15346-2023 tillsynsbegäran mail.docx", "A 15346-2023")</f>
        <v/>
      </c>
      <c r="Z1128">
        <f>HYPERLINK("https://klasma.github.io/Logging_2281/fåglar/A 15346-2023 prioriterade fågelarter.docx", "A 15346-2023")</f>
        <v/>
      </c>
    </row>
    <row r="1129" ht="15" customHeight="1">
      <c r="A1129" t="inlineStr">
        <is>
          <t>A 17772-2023</t>
        </is>
      </c>
      <c r="B1129" s="1" t="n">
        <v>45036</v>
      </c>
      <c r="C1129" s="1" t="n">
        <v>45657</v>
      </c>
      <c r="D1129" t="inlineStr">
        <is>
          <t>VÄSTERNORRLANDS LÄN</t>
        </is>
      </c>
      <c r="E1129" t="inlineStr">
        <is>
          <t>SUNDSVALL</t>
        </is>
      </c>
      <c r="G1129" t="n">
        <v>4.2</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17772-2023 artfynd.xlsx", "A 17772-2023")</f>
        <v/>
      </c>
      <c r="T1129">
        <f>HYPERLINK("https://klasma.github.io/Logging_2281/kartor/A 17772-2023 karta.png", "A 17772-2023")</f>
        <v/>
      </c>
      <c r="V1129">
        <f>HYPERLINK("https://klasma.github.io/Logging_2281/klagomål/A 17772-2023 FSC-klagomål.docx", "A 17772-2023")</f>
        <v/>
      </c>
      <c r="W1129">
        <f>HYPERLINK("https://klasma.github.io/Logging_2281/klagomålsmail/A 17772-2023 FSC-klagomål mail.docx", "A 17772-2023")</f>
        <v/>
      </c>
      <c r="X1129">
        <f>HYPERLINK("https://klasma.github.io/Logging_2281/tillsyn/A 17772-2023 tillsynsbegäran.docx", "A 17772-2023")</f>
        <v/>
      </c>
      <c r="Y1129">
        <f>HYPERLINK("https://klasma.github.io/Logging_2281/tillsynsmail/A 17772-2023 tillsynsbegäran mail.docx", "A 17772-2023")</f>
        <v/>
      </c>
    </row>
    <row r="1130" ht="15" customHeight="1">
      <c r="A1130" t="inlineStr">
        <is>
          <t>A 17876-2023</t>
        </is>
      </c>
      <c r="B1130" s="1" t="n">
        <v>45038</v>
      </c>
      <c r="C1130" s="1" t="n">
        <v>45657</v>
      </c>
      <c r="D1130" t="inlineStr">
        <is>
          <t>VÄSTERNORRLANDS LÄN</t>
        </is>
      </c>
      <c r="E1130" t="inlineStr">
        <is>
          <t>HÄRNÖSAND</t>
        </is>
      </c>
      <c r="F1130" t="inlineStr">
        <is>
          <t>Kyrkan</t>
        </is>
      </c>
      <c r="G1130" t="n">
        <v>8.5</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HYPERLINK("https://klasma.github.io/Logging_2280/artfynd/A 17876-2023 artfynd.xlsx", "A 17876-2023")</f>
        <v/>
      </c>
      <c r="T1130">
        <f>HYPERLINK("https://klasma.github.io/Logging_2280/kartor/A 17876-2023 karta.png", "A 17876-2023")</f>
        <v/>
      </c>
      <c r="V1130">
        <f>HYPERLINK("https://klasma.github.io/Logging_2280/klagomål/A 17876-2023 FSC-klagomål.docx", "A 17876-2023")</f>
        <v/>
      </c>
      <c r="W1130">
        <f>HYPERLINK("https://klasma.github.io/Logging_2280/klagomålsmail/A 17876-2023 FSC-klagomål mail.docx", "A 17876-2023")</f>
        <v/>
      </c>
      <c r="X1130">
        <f>HYPERLINK("https://klasma.github.io/Logging_2280/tillsyn/A 17876-2023 tillsynsbegäran.docx", "A 17876-2023")</f>
        <v/>
      </c>
      <c r="Y1130">
        <f>HYPERLINK("https://klasma.github.io/Logging_2280/tillsynsmail/A 17876-2023 tillsynsbegäran mail.docx", "A 17876-2023")</f>
        <v/>
      </c>
    </row>
    <row r="1131" ht="15" customHeight="1">
      <c r="A1131" t="inlineStr">
        <is>
          <t>A 19441-2023</t>
        </is>
      </c>
      <c r="B1131" s="1" t="n">
        <v>45049</v>
      </c>
      <c r="C1131" s="1" t="n">
        <v>45657</v>
      </c>
      <c r="D1131" t="inlineStr">
        <is>
          <t>VÄSTERNORRLANDS LÄN</t>
        </is>
      </c>
      <c r="E1131" t="inlineStr">
        <is>
          <t>SUNDSVALL</t>
        </is>
      </c>
      <c r="F1131" t="inlineStr">
        <is>
          <t>SCA</t>
        </is>
      </c>
      <c r="G1131" t="n">
        <v>3.5</v>
      </c>
      <c r="H1131" t="n">
        <v>0</v>
      </c>
      <c r="I1131" t="n">
        <v>0</v>
      </c>
      <c r="J1131" t="n">
        <v>1</v>
      </c>
      <c r="K1131" t="n">
        <v>0</v>
      </c>
      <c r="L1131" t="n">
        <v>0</v>
      </c>
      <c r="M1131" t="n">
        <v>0</v>
      </c>
      <c r="N1131" t="n">
        <v>0</v>
      </c>
      <c r="O1131" t="n">
        <v>1</v>
      </c>
      <c r="P1131" t="n">
        <v>0</v>
      </c>
      <c r="Q1131" t="n">
        <v>1</v>
      </c>
      <c r="R1131" s="2" t="inlineStr">
        <is>
          <t>Lunglav</t>
        </is>
      </c>
      <c r="S1131">
        <f>HYPERLINK("https://klasma.github.io/Logging_2281/artfynd/A 19441-2023 artfynd.xlsx", "A 19441-2023")</f>
        <v/>
      </c>
      <c r="T1131">
        <f>HYPERLINK("https://klasma.github.io/Logging_2281/kartor/A 19441-2023 karta.png", "A 19441-2023")</f>
        <v/>
      </c>
      <c r="V1131">
        <f>HYPERLINK("https://klasma.github.io/Logging_2281/klagomål/A 19441-2023 FSC-klagomål.docx", "A 19441-2023")</f>
        <v/>
      </c>
      <c r="W1131">
        <f>HYPERLINK("https://klasma.github.io/Logging_2281/klagomålsmail/A 19441-2023 FSC-klagomål mail.docx", "A 19441-2023")</f>
        <v/>
      </c>
      <c r="X1131">
        <f>HYPERLINK("https://klasma.github.io/Logging_2281/tillsyn/A 19441-2023 tillsynsbegäran.docx", "A 19441-2023")</f>
        <v/>
      </c>
      <c r="Y1131">
        <f>HYPERLINK("https://klasma.github.io/Logging_2281/tillsynsmail/A 19441-2023 tillsynsbegäran mail.docx", "A 19441-2023")</f>
        <v/>
      </c>
    </row>
    <row r="1132" ht="15" customHeight="1">
      <c r="A1132" t="inlineStr">
        <is>
          <t>A 21205-2023</t>
        </is>
      </c>
      <c r="B1132" s="1" t="n">
        <v>45062</v>
      </c>
      <c r="C1132" s="1" t="n">
        <v>45657</v>
      </c>
      <c r="D1132" t="inlineStr">
        <is>
          <t>VÄSTERNORRLANDS LÄN</t>
        </is>
      </c>
      <c r="E1132" t="inlineStr">
        <is>
          <t>ÖRNSKÖLDSVIK</t>
        </is>
      </c>
      <c r="F1132" t="inlineStr">
        <is>
          <t>Holmen skog AB</t>
        </is>
      </c>
      <c r="G1132" t="n">
        <v>18.4</v>
      </c>
      <c r="H1132" t="n">
        <v>1</v>
      </c>
      <c r="I1132" t="n">
        <v>0</v>
      </c>
      <c r="J1132" t="n">
        <v>0</v>
      </c>
      <c r="K1132" t="n">
        <v>0</v>
      </c>
      <c r="L1132" t="n">
        <v>0</v>
      </c>
      <c r="M1132" t="n">
        <v>0</v>
      </c>
      <c r="N1132" t="n">
        <v>0</v>
      </c>
      <c r="O1132" t="n">
        <v>0</v>
      </c>
      <c r="P1132" t="n">
        <v>0</v>
      </c>
      <c r="Q1132" t="n">
        <v>1</v>
      </c>
      <c r="R1132" s="2" t="inlineStr">
        <is>
          <t>Orre</t>
        </is>
      </c>
      <c r="S1132">
        <f>HYPERLINK("https://klasma.github.io/Logging_2284/artfynd/A 21205-2023 artfynd.xlsx", "A 21205-2023")</f>
        <v/>
      </c>
      <c r="T1132">
        <f>HYPERLINK("https://klasma.github.io/Logging_2284/kartor/A 21205-2023 karta.png", "A 21205-2023")</f>
        <v/>
      </c>
      <c r="V1132">
        <f>HYPERLINK("https://klasma.github.io/Logging_2284/klagomål/A 21205-2023 FSC-klagomål.docx", "A 21205-2023")</f>
        <v/>
      </c>
      <c r="W1132">
        <f>HYPERLINK("https://klasma.github.io/Logging_2284/klagomålsmail/A 21205-2023 FSC-klagomål mail.docx", "A 21205-2023")</f>
        <v/>
      </c>
      <c r="X1132">
        <f>HYPERLINK("https://klasma.github.io/Logging_2284/tillsyn/A 21205-2023 tillsynsbegäran.docx", "A 21205-2023")</f>
        <v/>
      </c>
      <c r="Y1132">
        <f>HYPERLINK("https://klasma.github.io/Logging_2284/tillsynsmail/A 21205-2023 tillsynsbegäran mail.docx", "A 21205-2023")</f>
        <v/>
      </c>
      <c r="Z1132">
        <f>HYPERLINK("https://klasma.github.io/Logging_2284/fåglar/A 21205-2023 prioriterade fågelarter.docx", "A 21205-2023")</f>
        <v/>
      </c>
    </row>
    <row r="1133" ht="15" customHeight="1">
      <c r="A1133" t="inlineStr">
        <is>
          <t>A 21885-2023</t>
        </is>
      </c>
      <c r="B1133" s="1" t="n">
        <v>45065</v>
      </c>
      <c r="C1133" s="1" t="n">
        <v>45657</v>
      </c>
      <c r="D1133" t="inlineStr">
        <is>
          <t>VÄSTERNORRLANDS LÄN</t>
        </is>
      </c>
      <c r="E1133" t="inlineStr">
        <is>
          <t>KRAMFORS</t>
        </is>
      </c>
      <c r="G1133" t="n">
        <v>1.9</v>
      </c>
      <c r="H1133" t="n">
        <v>0</v>
      </c>
      <c r="I1133" t="n">
        <v>1</v>
      </c>
      <c r="J1133" t="n">
        <v>0</v>
      </c>
      <c r="K1133" t="n">
        <v>0</v>
      </c>
      <c r="L1133" t="n">
        <v>0</v>
      </c>
      <c r="M1133" t="n">
        <v>0</v>
      </c>
      <c r="N1133" t="n">
        <v>0</v>
      </c>
      <c r="O1133" t="n">
        <v>0</v>
      </c>
      <c r="P1133" t="n">
        <v>0</v>
      </c>
      <c r="Q1133" t="n">
        <v>1</v>
      </c>
      <c r="R1133" s="2" t="inlineStr">
        <is>
          <t>Svart trolldruva</t>
        </is>
      </c>
      <c r="S1133">
        <f>HYPERLINK("https://klasma.github.io/Logging_2282/artfynd/A 21885-2023 artfynd.xlsx", "A 21885-2023")</f>
        <v/>
      </c>
      <c r="T1133">
        <f>HYPERLINK("https://klasma.github.io/Logging_2282/kartor/A 21885-2023 karta.png", "A 21885-2023")</f>
        <v/>
      </c>
      <c r="V1133">
        <f>HYPERLINK("https://klasma.github.io/Logging_2282/klagomål/A 21885-2023 FSC-klagomål.docx", "A 21885-2023")</f>
        <v/>
      </c>
      <c r="W1133">
        <f>HYPERLINK("https://klasma.github.io/Logging_2282/klagomålsmail/A 21885-2023 FSC-klagomål mail.docx", "A 21885-2023")</f>
        <v/>
      </c>
      <c r="X1133">
        <f>HYPERLINK("https://klasma.github.io/Logging_2282/tillsyn/A 21885-2023 tillsynsbegäran.docx", "A 21885-2023")</f>
        <v/>
      </c>
      <c r="Y1133">
        <f>HYPERLINK("https://klasma.github.io/Logging_2282/tillsynsmail/A 21885-2023 tillsynsbegäran mail.docx", "A 21885-2023")</f>
        <v/>
      </c>
    </row>
    <row r="1134" ht="15" customHeight="1">
      <c r="A1134" t="inlineStr">
        <is>
          <t>A 22227-2023</t>
        </is>
      </c>
      <c r="B1134" s="1" t="n">
        <v>45069</v>
      </c>
      <c r="C1134" s="1" t="n">
        <v>45657</v>
      </c>
      <c r="D1134" t="inlineStr">
        <is>
          <t>VÄSTERNORRLANDS LÄN</t>
        </is>
      </c>
      <c r="E1134" t="inlineStr">
        <is>
          <t>SUNDSVALL</t>
        </is>
      </c>
      <c r="F1134" t="inlineStr">
        <is>
          <t>Naturvårdsverket</t>
        </is>
      </c>
      <c r="G1134" t="n">
        <v>6.7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HYPERLINK("https://klasma.github.io/Logging_2281/artfynd/A 22227-2023 artfynd.xlsx", "A 22227-2023")</f>
        <v/>
      </c>
      <c r="T1134">
        <f>HYPERLINK("https://klasma.github.io/Logging_2281/kartor/A 22227-2023 karta.png", "A 22227-2023")</f>
        <v/>
      </c>
      <c r="V1134">
        <f>HYPERLINK("https://klasma.github.io/Logging_2281/klagomål/A 22227-2023 FSC-klagomål.docx", "A 22227-2023")</f>
        <v/>
      </c>
      <c r="W1134">
        <f>HYPERLINK("https://klasma.github.io/Logging_2281/klagomålsmail/A 22227-2023 FSC-klagomål mail.docx", "A 22227-2023")</f>
        <v/>
      </c>
      <c r="X1134">
        <f>HYPERLINK("https://klasma.github.io/Logging_2281/tillsyn/A 22227-2023 tillsynsbegäran.docx", "A 22227-2023")</f>
        <v/>
      </c>
      <c r="Y1134">
        <f>HYPERLINK("https://klasma.github.io/Logging_2281/tillsynsmail/A 22227-2023 tillsynsbegäran mail.docx", "A 22227-2023")</f>
        <v/>
      </c>
      <c r="Z1134">
        <f>HYPERLINK("https://klasma.github.io/Logging_2281/fåglar/A 22227-2023 prioriterade fågelarter.docx", "A 22227-2023")</f>
        <v/>
      </c>
    </row>
    <row r="1135" ht="15" customHeight="1">
      <c r="A1135" t="inlineStr">
        <is>
          <t>A 22998-2023</t>
        </is>
      </c>
      <c r="B1135" s="1" t="n">
        <v>45072</v>
      </c>
      <c r="C1135" s="1" t="n">
        <v>45657</v>
      </c>
      <c r="D1135" t="inlineStr">
        <is>
          <t>VÄSTERNORRLANDS LÄN</t>
        </is>
      </c>
      <c r="E1135" t="inlineStr">
        <is>
          <t>ÅNGE</t>
        </is>
      </c>
      <c r="F1135" t="inlineStr">
        <is>
          <t>SCA</t>
        </is>
      </c>
      <c r="G1135" t="n">
        <v>3.8</v>
      </c>
      <c r="H1135" t="n">
        <v>0</v>
      </c>
      <c r="I1135" t="n">
        <v>0</v>
      </c>
      <c r="J1135" t="n">
        <v>1</v>
      </c>
      <c r="K1135" t="n">
        <v>0</v>
      </c>
      <c r="L1135" t="n">
        <v>0</v>
      </c>
      <c r="M1135" t="n">
        <v>0</v>
      </c>
      <c r="N1135" t="n">
        <v>0</v>
      </c>
      <c r="O1135" t="n">
        <v>1</v>
      </c>
      <c r="P1135" t="n">
        <v>0</v>
      </c>
      <c r="Q1135" t="n">
        <v>1</v>
      </c>
      <c r="R1135" s="2" t="inlineStr">
        <is>
          <t>Blågrå svartspik</t>
        </is>
      </c>
      <c r="S1135">
        <f>HYPERLINK("https://klasma.github.io/Logging_2260/artfynd/A 22998-2023 artfynd.xlsx", "A 22998-2023")</f>
        <v/>
      </c>
      <c r="T1135">
        <f>HYPERLINK("https://klasma.github.io/Logging_2260/kartor/A 22998-2023 karta.png", "A 22998-2023")</f>
        <v/>
      </c>
      <c r="V1135">
        <f>HYPERLINK("https://klasma.github.io/Logging_2260/klagomål/A 22998-2023 FSC-klagomål.docx", "A 22998-2023")</f>
        <v/>
      </c>
      <c r="W1135">
        <f>HYPERLINK("https://klasma.github.io/Logging_2260/klagomålsmail/A 22998-2023 FSC-klagomål mail.docx", "A 22998-2023")</f>
        <v/>
      </c>
      <c r="X1135">
        <f>HYPERLINK("https://klasma.github.io/Logging_2260/tillsyn/A 22998-2023 tillsynsbegäran.docx", "A 22998-2023")</f>
        <v/>
      </c>
      <c r="Y1135">
        <f>HYPERLINK("https://klasma.github.io/Logging_2260/tillsynsmail/A 22998-2023 tillsynsbegäran mail.docx", "A 22998-2023")</f>
        <v/>
      </c>
    </row>
    <row r="1136" ht="15" customHeight="1">
      <c r="A1136" t="inlineStr">
        <is>
          <t>A 24548-2023</t>
        </is>
      </c>
      <c r="B1136" s="1" t="n">
        <v>45082</v>
      </c>
      <c r="C1136" s="1" t="n">
        <v>45657</v>
      </c>
      <c r="D1136" t="inlineStr">
        <is>
          <t>VÄSTERNORRLANDS LÄN</t>
        </is>
      </c>
      <c r="E1136" t="inlineStr">
        <is>
          <t>SOLLEFTEÅ</t>
        </is>
      </c>
      <c r="F1136" t="inlineStr">
        <is>
          <t>SCA</t>
        </is>
      </c>
      <c r="G1136" t="n">
        <v>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HYPERLINK("https://klasma.github.io/Logging_2283/artfynd/A 24548-2023 artfynd.xlsx", "A 24548-2023")</f>
        <v/>
      </c>
      <c r="T1136">
        <f>HYPERLINK("https://klasma.github.io/Logging_2283/kartor/A 24548-2023 karta.png", "A 24548-2023")</f>
        <v/>
      </c>
      <c r="U1136">
        <f>HYPERLINK("https://klasma.github.io/Logging_2283/knärot/A 24548-2023 karta knärot.png", "A 24548-2023")</f>
        <v/>
      </c>
      <c r="V1136">
        <f>HYPERLINK("https://klasma.github.io/Logging_2283/klagomål/A 24548-2023 FSC-klagomål.docx", "A 24548-2023")</f>
        <v/>
      </c>
      <c r="W1136">
        <f>HYPERLINK("https://klasma.github.io/Logging_2283/klagomålsmail/A 24548-2023 FSC-klagomål mail.docx", "A 24548-2023")</f>
        <v/>
      </c>
      <c r="X1136">
        <f>HYPERLINK("https://klasma.github.io/Logging_2283/tillsyn/A 24548-2023 tillsynsbegäran.docx", "A 24548-2023")</f>
        <v/>
      </c>
      <c r="Y1136">
        <f>HYPERLINK("https://klasma.github.io/Logging_2283/tillsynsmail/A 24548-2023 tillsynsbegäran mail.docx", "A 24548-2023")</f>
        <v/>
      </c>
      <c r="Z1136">
        <f>HYPERLINK("https://klasma.github.io/Logging_2283/fåglar/A 24548-2023 prioriterade fågelarter.docx", "A 24548-2023")</f>
        <v/>
      </c>
    </row>
    <row r="1137" ht="15" customHeight="1">
      <c r="A1137" t="inlineStr">
        <is>
          <t>A 25153-2023</t>
        </is>
      </c>
      <c r="B1137" s="1" t="n">
        <v>45086</v>
      </c>
      <c r="C1137" s="1" t="n">
        <v>45657</v>
      </c>
      <c r="D1137" t="inlineStr">
        <is>
          <t>VÄSTERNORRLANDS LÄN</t>
        </is>
      </c>
      <c r="E1137" t="inlineStr">
        <is>
          <t>ÖRNSKÖLDSVIK</t>
        </is>
      </c>
      <c r="F1137" t="inlineStr">
        <is>
          <t>Holmen skog AB</t>
        </is>
      </c>
      <c r="G1137" t="n">
        <v>36.1</v>
      </c>
      <c r="H1137" t="n">
        <v>0</v>
      </c>
      <c r="I1137" t="n">
        <v>1</v>
      </c>
      <c r="J1137" t="n">
        <v>0</v>
      </c>
      <c r="K1137" t="n">
        <v>0</v>
      </c>
      <c r="L1137" t="n">
        <v>0</v>
      </c>
      <c r="M1137" t="n">
        <v>0</v>
      </c>
      <c r="N1137" t="n">
        <v>0</v>
      </c>
      <c r="O1137" t="n">
        <v>0</v>
      </c>
      <c r="P1137" t="n">
        <v>0</v>
      </c>
      <c r="Q1137" t="n">
        <v>1</v>
      </c>
      <c r="R1137" s="2" t="inlineStr">
        <is>
          <t>Jättesvampmal</t>
        </is>
      </c>
      <c r="S1137">
        <f>HYPERLINK("https://klasma.github.io/Logging_2284/artfynd/A 25153-2023 artfynd.xlsx", "A 25153-2023")</f>
        <v/>
      </c>
      <c r="T1137">
        <f>HYPERLINK("https://klasma.github.io/Logging_2284/kartor/A 25153-2023 karta.png", "A 25153-2023")</f>
        <v/>
      </c>
      <c r="V1137">
        <f>HYPERLINK("https://klasma.github.io/Logging_2284/klagomål/A 25153-2023 FSC-klagomål.docx", "A 25153-2023")</f>
        <v/>
      </c>
      <c r="W1137">
        <f>HYPERLINK("https://klasma.github.io/Logging_2284/klagomålsmail/A 25153-2023 FSC-klagomål mail.docx", "A 25153-2023")</f>
        <v/>
      </c>
      <c r="X1137">
        <f>HYPERLINK("https://klasma.github.io/Logging_2284/tillsyn/A 25153-2023 tillsynsbegäran.docx", "A 25153-2023")</f>
        <v/>
      </c>
      <c r="Y1137">
        <f>HYPERLINK("https://klasma.github.io/Logging_2284/tillsynsmail/A 25153-2023 tillsynsbegäran mail.docx", "A 25153-2023")</f>
        <v/>
      </c>
    </row>
    <row r="1138" ht="15" customHeight="1">
      <c r="A1138" t="inlineStr">
        <is>
          <t>A 25310-2023</t>
        </is>
      </c>
      <c r="B1138" s="1" t="n">
        <v>45087</v>
      </c>
      <c r="C1138" s="1" t="n">
        <v>45657</v>
      </c>
      <c r="D1138" t="inlineStr">
        <is>
          <t>VÄSTERNORRLANDS LÄN</t>
        </is>
      </c>
      <c r="E1138" t="inlineStr">
        <is>
          <t>SOLLEFTEÅ</t>
        </is>
      </c>
      <c r="F1138" t="inlineStr">
        <is>
          <t>SCA</t>
        </is>
      </c>
      <c r="G1138" t="n">
        <v>1.1</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25310-2023 artfynd.xlsx", "A 25310-2023")</f>
        <v/>
      </c>
      <c r="T1138">
        <f>HYPERLINK("https://klasma.github.io/Logging_2283/kartor/A 25310-2023 karta.png", "A 25310-2023")</f>
        <v/>
      </c>
      <c r="V1138">
        <f>HYPERLINK("https://klasma.github.io/Logging_2283/klagomål/A 25310-2023 FSC-klagomål.docx", "A 25310-2023")</f>
        <v/>
      </c>
      <c r="W1138">
        <f>HYPERLINK("https://klasma.github.io/Logging_2283/klagomålsmail/A 25310-2023 FSC-klagomål mail.docx", "A 25310-2023")</f>
        <v/>
      </c>
      <c r="X1138">
        <f>HYPERLINK("https://klasma.github.io/Logging_2283/tillsyn/A 25310-2023 tillsynsbegäran.docx", "A 25310-2023")</f>
        <v/>
      </c>
      <c r="Y1138">
        <f>HYPERLINK("https://klasma.github.io/Logging_2283/tillsynsmail/A 25310-2023 tillsynsbegäran mail.docx", "A 25310-2023")</f>
        <v/>
      </c>
      <c r="Z1138">
        <f>HYPERLINK("https://klasma.github.io/Logging_2283/fåglar/A 25310-2023 prioriterade fågelarter.docx", "A 25310-2023")</f>
        <v/>
      </c>
    </row>
    <row r="1139" ht="15" customHeight="1">
      <c r="A1139" t="inlineStr">
        <is>
          <t>A 25322-2023</t>
        </is>
      </c>
      <c r="B1139" s="1" t="n">
        <v>45086</v>
      </c>
      <c r="C1139" s="1" t="n">
        <v>45657</v>
      </c>
      <c r="D1139" t="inlineStr">
        <is>
          <t>VÄSTERNORRLANDS LÄN</t>
        </is>
      </c>
      <c r="E1139" t="inlineStr">
        <is>
          <t>ÅNGE</t>
        </is>
      </c>
      <c r="F1139" t="inlineStr">
        <is>
          <t>SCA</t>
        </is>
      </c>
      <c r="G1139" t="n">
        <v>6.9</v>
      </c>
      <c r="H1139" t="n">
        <v>0</v>
      </c>
      <c r="I1139" t="n">
        <v>0</v>
      </c>
      <c r="J1139" t="n">
        <v>1</v>
      </c>
      <c r="K1139" t="n">
        <v>0</v>
      </c>
      <c r="L1139" t="n">
        <v>0</v>
      </c>
      <c r="M1139" t="n">
        <v>0</v>
      </c>
      <c r="N1139" t="n">
        <v>0</v>
      </c>
      <c r="O1139" t="n">
        <v>1</v>
      </c>
      <c r="P1139" t="n">
        <v>0</v>
      </c>
      <c r="Q1139" t="n">
        <v>1</v>
      </c>
      <c r="R1139" s="2" t="inlineStr">
        <is>
          <t>Lunglav</t>
        </is>
      </c>
      <c r="S1139">
        <f>HYPERLINK("https://klasma.github.io/Logging_2260/artfynd/A 25322-2023 artfynd.xlsx", "A 25322-2023")</f>
        <v/>
      </c>
      <c r="T1139">
        <f>HYPERLINK("https://klasma.github.io/Logging_2260/kartor/A 25322-2023 karta.png", "A 25322-2023")</f>
        <v/>
      </c>
      <c r="V1139">
        <f>HYPERLINK("https://klasma.github.io/Logging_2260/klagomål/A 25322-2023 FSC-klagomål.docx", "A 25322-2023")</f>
        <v/>
      </c>
      <c r="W1139">
        <f>HYPERLINK("https://klasma.github.io/Logging_2260/klagomålsmail/A 25322-2023 FSC-klagomål mail.docx", "A 25322-2023")</f>
        <v/>
      </c>
      <c r="X1139">
        <f>HYPERLINK("https://klasma.github.io/Logging_2260/tillsyn/A 25322-2023 tillsynsbegäran.docx", "A 25322-2023")</f>
        <v/>
      </c>
      <c r="Y1139">
        <f>HYPERLINK("https://klasma.github.io/Logging_2260/tillsynsmail/A 25322-2023 tillsynsbegäran mail.docx", "A 25322-2023")</f>
        <v/>
      </c>
    </row>
    <row r="1140" ht="15" customHeight="1">
      <c r="A1140" t="inlineStr">
        <is>
          <t>A 25587-2023</t>
        </is>
      </c>
      <c r="B1140" s="1" t="n">
        <v>45089</v>
      </c>
      <c r="C1140" s="1" t="n">
        <v>45657</v>
      </c>
      <c r="D1140" t="inlineStr">
        <is>
          <t>VÄSTERNORRLANDS LÄN</t>
        </is>
      </c>
      <c r="E1140" t="inlineStr">
        <is>
          <t>ÖRNSKÖLDSVIK</t>
        </is>
      </c>
      <c r="F1140" t="inlineStr">
        <is>
          <t>Holmen skog AB</t>
        </is>
      </c>
      <c r="G1140" t="n">
        <v>6.4</v>
      </c>
      <c r="H1140" t="n">
        <v>1</v>
      </c>
      <c r="I1140" t="n">
        <v>0</v>
      </c>
      <c r="J1140" t="n">
        <v>1</v>
      </c>
      <c r="K1140" t="n">
        <v>0</v>
      </c>
      <c r="L1140" t="n">
        <v>0</v>
      </c>
      <c r="M1140" t="n">
        <v>0</v>
      </c>
      <c r="N1140" t="n">
        <v>0</v>
      </c>
      <c r="O1140" t="n">
        <v>1</v>
      </c>
      <c r="P1140" t="n">
        <v>0</v>
      </c>
      <c r="Q1140" t="n">
        <v>1</v>
      </c>
      <c r="R1140" s="2" t="inlineStr">
        <is>
          <t>Järpe</t>
        </is>
      </c>
      <c r="S1140">
        <f>HYPERLINK("https://klasma.github.io/Logging_2284/artfynd/A 25587-2023 artfynd.xlsx", "A 25587-2023")</f>
        <v/>
      </c>
      <c r="T1140">
        <f>HYPERLINK("https://klasma.github.io/Logging_2284/kartor/A 25587-2023 karta.png", "A 25587-2023")</f>
        <v/>
      </c>
      <c r="V1140">
        <f>HYPERLINK("https://klasma.github.io/Logging_2284/klagomål/A 25587-2023 FSC-klagomål.docx", "A 25587-2023")</f>
        <v/>
      </c>
      <c r="W1140">
        <f>HYPERLINK("https://klasma.github.io/Logging_2284/klagomålsmail/A 25587-2023 FSC-klagomål mail.docx", "A 25587-2023")</f>
        <v/>
      </c>
      <c r="X1140">
        <f>HYPERLINK("https://klasma.github.io/Logging_2284/tillsyn/A 25587-2023 tillsynsbegäran.docx", "A 25587-2023")</f>
        <v/>
      </c>
      <c r="Y1140">
        <f>HYPERLINK("https://klasma.github.io/Logging_2284/tillsynsmail/A 25587-2023 tillsynsbegäran mail.docx", "A 25587-2023")</f>
        <v/>
      </c>
      <c r="Z1140">
        <f>HYPERLINK("https://klasma.github.io/Logging_2284/fåglar/A 25587-2023 prioriterade fågelarter.docx", "A 25587-2023")</f>
        <v/>
      </c>
    </row>
    <row r="1141" ht="15" customHeight="1">
      <c r="A1141" t="inlineStr">
        <is>
          <t>A 26514-2023</t>
        </is>
      </c>
      <c r="B1141" s="1" t="n">
        <v>45092</v>
      </c>
      <c r="C1141" s="1" t="n">
        <v>45657</v>
      </c>
      <c r="D1141" t="inlineStr">
        <is>
          <t>VÄSTERNORRLANDS LÄN</t>
        </is>
      </c>
      <c r="E1141" t="inlineStr">
        <is>
          <t>ÅNGE</t>
        </is>
      </c>
      <c r="F1141" t="inlineStr">
        <is>
          <t>Sveaskog</t>
        </is>
      </c>
      <c r="G1141" t="n">
        <v>3.3</v>
      </c>
      <c r="H1141" t="n">
        <v>0</v>
      </c>
      <c r="I1141" t="n">
        <v>0</v>
      </c>
      <c r="J1141" t="n">
        <v>1</v>
      </c>
      <c r="K1141" t="n">
        <v>0</v>
      </c>
      <c r="L1141" t="n">
        <v>0</v>
      </c>
      <c r="M1141" t="n">
        <v>0</v>
      </c>
      <c r="N1141" t="n">
        <v>0</v>
      </c>
      <c r="O1141" t="n">
        <v>1</v>
      </c>
      <c r="P1141" t="n">
        <v>0</v>
      </c>
      <c r="Q1141" t="n">
        <v>1</v>
      </c>
      <c r="R1141" s="2" t="inlineStr">
        <is>
          <t>Garnlav</t>
        </is>
      </c>
      <c r="S1141">
        <f>HYPERLINK("https://klasma.github.io/Logging_2260/artfynd/A 26514-2023 artfynd.xlsx", "A 26514-2023")</f>
        <v/>
      </c>
      <c r="T1141">
        <f>HYPERLINK("https://klasma.github.io/Logging_2260/kartor/A 26514-2023 karta.png", "A 26514-2023")</f>
        <v/>
      </c>
      <c r="V1141">
        <f>HYPERLINK("https://klasma.github.io/Logging_2260/klagomål/A 26514-2023 FSC-klagomål.docx", "A 26514-2023")</f>
        <v/>
      </c>
      <c r="W1141">
        <f>HYPERLINK("https://klasma.github.io/Logging_2260/klagomålsmail/A 26514-2023 FSC-klagomål mail.docx", "A 26514-2023")</f>
        <v/>
      </c>
      <c r="X1141">
        <f>HYPERLINK("https://klasma.github.io/Logging_2260/tillsyn/A 26514-2023 tillsynsbegäran.docx", "A 26514-2023")</f>
        <v/>
      </c>
      <c r="Y1141">
        <f>HYPERLINK("https://klasma.github.io/Logging_2260/tillsynsmail/A 26514-2023 tillsynsbegäran mail.docx", "A 26514-2023")</f>
        <v/>
      </c>
    </row>
    <row r="1142" ht="15" customHeight="1">
      <c r="A1142" t="inlineStr">
        <is>
          <t>A 28008-2023</t>
        </is>
      </c>
      <c r="B1142" s="1" t="n">
        <v>45098</v>
      </c>
      <c r="C1142" s="1" t="n">
        <v>45657</v>
      </c>
      <c r="D1142" t="inlineStr">
        <is>
          <t>VÄSTERNORRLANDS LÄN</t>
        </is>
      </c>
      <c r="E1142" t="inlineStr">
        <is>
          <t>SUNDSVALL</t>
        </is>
      </c>
      <c r="F1142" t="inlineStr">
        <is>
          <t>SCA</t>
        </is>
      </c>
      <c r="G1142" t="n">
        <v>6.4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28008-2023 artfynd.xlsx", "A 28008-2023")</f>
        <v/>
      </c>
      <c r="T1142">
        <f>HYPERLINK("https://klasma.github.io/Logging_2281/kartor/A 28008-2023 karta.png", "A 28008-2023")</f>
        <v/>
      </c>
      <c r="V1142">
        <f>HYPERLINK("https://klasma.github.io/Logging_2281/klagomål/A 28008-2023 FSC-klagomål.docx", "A 28008-2023")</f>
        <v/>
      </c>
      <c r="W1142">
        <f>HYPERLINK("https://klasma.github.io/Logging_2281/klagomålsmail/A 28008-2023 FSC-klagomål mail.docx", "A 28008-2023")</f>
        <v/>
      </c>
      <c r="X1142">
        <f>HYPERLINK("https://klasma.github.io/Logging_2281/tillsyn/A 28008-2023 tillsynsbegäran.docx", "A 28008-2023")</f>
        <v/>
      </c>
      <c r="Y1142">
        <f>HYPERLINK("https://klasma.github.io/Logging_2281/tillsynsmail/A 28008-2023 tillsynsbegäran mail.docx", "A 28008-2023")</f>
        <v/>
      </c>
      <c r="Z1142">
        <f>HYPERLINK("https://klasma.github.io/Logging_2281/fåglar/A 28008-2023 prioriterade fågelarter.docx", "A 28008-2023")</f>
        <v/>
      </c>
    </row>
    <row r="1143" ht="15" customHeight="1">
      <c r="A1143" t="inlineStr">
        <is>
          <t>A 28643-2023</t>
        </is>
      </c>
      <c r="B1143" s="1" t="n">
        <v>45103</v>
      </c>
      <c r="C1143" s="1" t="n">
        <v>45657</v>
      </c>
      <c r="D1143" t="inlineStr">
        <is>
          <t>VÄSTERNORRLANDS LÄN</t>
        </is>
      </c>
      <c r="E1143" t="inlineStr">
        <is>
          <t>ÖRNSKÖLDSVIK</t>
        </is>
      </c>
      <c r="F1143" t="inlineStr">
        <is>
          <t>Holmen skog AB</t>
        </is>
      </c>
      <c r="G1143" t="n">
        <v>2.8</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28643-2023 artfynd.xlsx", "A 28643-2023")</f>
        <v/>
      </c>
      <c r="T1143">
        <f>HYPERLINK("https://klasma.github.io/Logging_2284/kartor/A 28643-2023 karta.png", "A 28643-2023")</f>
        <v/>
      </c>
      <c r="V1143">
        <f>HYPERLINK("https://klasma.github.io/Logging_2284/klagomål/A 28643-2023 FSC-klagomål.docx", "A 28643-2023")</f>
        <v/>
      </c>
      <c r="W1143">
        <f>HYPERLINK("https://klasma.github.io/Logging_2284/klagomålsmail/A 28643-2023 FSC-klagomål mail.docx", "A 28643-2023")</f>
        <v/>
      </c>
      <c r="X1143">
        <f>HYPERLINK("https://klasma.github.io/Logging_2284/tillsyn/A 28643-2023 tillsynsbegäran.docx", "A 28643-2023")</f>
        <v/>
      </c>
      <c r="Y1143">
        <f>HYPERLINK("https://klasma.github.io/Logging_2284/tillsynsmail/A 28643-2023 tillsynsbegäran mail.docx", "A 28643-2023")</f>
        <v/>
      </c>
    </row>
    <row r="1144" ht="15" customHeight="1">
      <c r="A1144" t="inlineStr">
        <is>
          <t>A 29073-2023</t>
        </is>
      </c>
      <c r="B1144" s="1" t="n">
        <v>45105</v>
      </c>
      <c r="C1144" s="1" t="n">
        <v>45657</v>
      </c>
      <c r="D1144" t="inlineStr">
        <is>
          <t>VÄSTERNORRLANDS LÄN</t>
        </is>
      </c>
      <c r="E1144" t="inlineStr">
        <is>
          <t>KRAMFORS</t>
        </is>
      </c>
      <c r="F1144" t="inlineStr">
        <is>
          <t>SCA</t>
        </is>
      </c>
      <c r="G1144" t="n">
        <v>5.5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HYPERLINK("https://klasma.github.io/Logging_2282/artfynd/A 29073-2023 artfynd.xlsx", "A 29073-2023")</f>
        <v/>
      </c>
      <c r="T1144">
        <f>HYPERLINK("https://klasma.github.io/Logging_2282/kartor/A 29073-2023 karta.png", "A 29073-2023")</f>
        <v/>
      </c>
      <c r="U1144">
        <f>HYPERLINK("https://klasma.github.io/Logging_2282/knärot/A 29073-2023 karta knärot.png", "A 29073-2023")</f>
        <v/>
      </c>
      <c r="V1144">
        <f>HYPERLINK("https://klasma.github.io/Logging_2282/klagomål/A 29073-2023 FSC-klagomål.docx", "A 29073-2023")</f>
        <v/>
      </c>
      <c r="W1144">
        <f>HYPERLINK("https://klasma.github.io/Logging_2282/klagomålsmail/A 29073-2023 FSC-klagomål mail.docx", "A 29073-2023")</f>
        <v/>
      </c>
      <c r="X1144">
        <f>HYPERLINK("https://klasma.github.io/Logging_2282/tillsyn/A 29073-2023 tillsynsbegäran.docx", "A 29073-2023")</f>
        <v/>
      </c>
      <c r="Y1144">
        <f>HYPERLINK("https://klasma.github.io/Logging_2282/tillsynsmail/A 29073-2023 tillsynsbegäran mail.docx", "A 29073-2023")</f>
        <v/>
      </c>
      <c r="Z1144">
        <f>HYPERLINK("https://klasma.github.io/Logging_2282/fåglar/A 29073-2023 prioriterade fågelarter.docx", "A 29073-2023")</f>
        <v/>
      </c>
    </row>
    <row r="1145" ht="15" customHeight="1">
      <c r="A1145" t="inlineStr">
        <is>
          <t>A 31647-2023</t>
        </is>
      </c>
      <c r="B1145" s="1" t="n">
        <v>45105</v>
      </c>
      <c r="C1145" s="1" t="n">
        <v>45657</v>
      </c>
      <c r="D1145" t="inlineStr">
        <is>
          <t>VÄSTERNORRLANDS LÄN</t>
        </is>
      </c>
      <c r="E1145" t="inlineStr">
        <is>
          <t>ÖRNSKÖLDSVIK</t>
        </is>
      </c>
      <c r="G1145" t="n">
        <v>2.7</v>
      </c>
      <c r="H1145" t="n">
        <v>1</v>
      </c>
      <c r="I1145" t="n">
        <v>0</v>
      </c>
      <c r="J1145" t="n">
        <v>1</v>
      </c>
      <c r="K1145" t="n">
        <v>0</v>
      </c>
      <c r="L1145" t="n">
        <v>0</v>
      </c>
      <c r="M1145" t="n">
        <v>0</v>
      </c>
      <c r="N1145" t="n">
        <v>0</v>
      </c>
      <c r="O1145" t="n">
        <v>1</v>
      </c>
      <c r="P1145" t="n">
        <v>0</v>
      </c>
      <c r="Q1145" t="n">
        <v>1</v>
      </c>
      <c r="R1145" s="2" t="inlineStr">
        <is>
          <t>Kungsörn</t>
        </is>
      </c>
      <c r="S1145">
        <f>HYPERLINK("https://klasma.github.io/Logging_2284/artfynd/A 31647-2023 artfynd.xlsx", "A 31647-2023")</f>
        <v/>
      </c>
      <c r="T1145">
        <f>HYPERLINK("https://klasma.github.io/Logging_2284/kartor/A 31647-2023 karta.png", "A 31647-2023")</f>
        <v/>
      </c>
      <c r="V1145">
        <f>HYPERLINK("https://klasma.github.io/Logging_2284/klagomål/A 31647-2023 FSC-klagomål.docx", "A 31647-2023")</f>
        <v/>
      </c>
      <c r="W1145">
        <f>HYPERLINK("https://klasma.github.io/Logging_2284/klagomålsmail/A 31647-2023 FSC-klagomål mail.docx", "A 31647-2023")</f>
        <v/>
      </c>
      <c r="X1145">
        <f>HYPERLINK("https://klasma.github.io/Logging_2284/tillsyn/A 31647-2023 tillsynsbegäran.docx", "A 31647-2023")</f>
        <v/>
      </c>
      <c r="Y1145">
        <f>HYPERLINK("https://klasma.github.io/Logging_2284/tillsynsmail/A 31647-2023 tillsynsbegäran mail.docx", "A 31647-2023")</f>
        <v/>
      </c>
      <c r="Z1145">
        <f>HYPERLINK("https://klasma.github.io/Logging_2284/fåglar/A 31647-2023 prioriterade fågelarter.docx", "A 31647-2023")</f>
        <v/>
      </c>
    </row>
    <row r="1146" ht="15" customHeight="1">
      <c r="A1146" t="inlineStr">
        <is>
          <t>A 29327-2023</t>
        </is>
      </c>
      <c r="B1146" s="1" t="n">
        <v>45106</v>
      </c>
      <c r="C1146" s="1" t="n">
        <v>45657</v>
      </c>
      <c r="D1146" t="inlineStr">
        <is>
          <t>VÄSTERNORRLANDS LÄN</t>
        </is>
      </c>
      <c r="E1146" t="inlineStr">
        <is>
          <t>ÅNGE</t>
        </is>
      </c>
      <c r="G1146" t="n">
        <v>7.8</v>
      </c>
      <c r="H1146" t="n">
        <v>0</v>
      </c>
      <c r="I1146" t="n">
        <v>0</v>
      </c>
      <c r="J1146" t="n">
        <v>1</v>
      </c>
      <c r="K1146" t="n">
        <v>0</v>
      </c>
      <c r="L1146" t="n">
        <v>0</v>
      </c>
      <c r="M1146" t="n">
        <v>0</v>
      </c>
      <c r="N1146" t="n">
        <v>0</v>
      </c>
      <c r="O1146" t="n">
        <v>1</v>
      </c>
      <c r="P1146" t="n">
        <v>0</v>
      </c>
      <c r="Q1146" t="n">
        <v>1</v>
      </c>
      <c r="R1146" s="2" t="inlineStr">
        <is>
          <t>Mörk kolflarnlav</t>
        </is>
      </c>
      <c r="S1146">
        <f>HYPERLINK("https://klasma.github.io/Logging_2260/artfynd/A 29327-2023 artfynd.xlsx", "A 29327-2023")</f>
        <v/>
      </c>
      <c r="T1146">
        <f>HYPERLINK("https://klasma.github.io/Logging_2260/kartor/A 29327-2023 karta.png", "A 29327-2023")</f>
        <v/>
      </c>
      <c r="V1146">
        <f>HYPERLINK("https://klasma.github.io/Logging_2260/klagomål/A 29327-2023 FSC-klagomål.docx", "A 29327-2023")</f>
        <v/>
      </c>
      <c r="W1146">
        <f>HYPERLINK("https://klasma.github.io/Logging_2260/klagomålsmail/A 29327-2023 FSC-klagomål mail.docx", "A 29327-2023")</f>
        <v/>
      </c>
      <c r="X1146">
        <f>HYPERLINK("https://klasma.github.io/Logging_2260/tillsyn/A 29327-2023 tillsynsbegäran.docx", "A 29327-2023")</f>
        <v/>
      </c>
      <c r="Y1146">
        <f>HYPERLINK("https://klasma.github.io/Logging_2260/tillsynsmail/A 29327-2023 tillsynsbegäran mail.docx", "A 29327-2023")</f>
        <v/>
      </c>
    </row>
    <row r="1147" ht="15" customHeight="1">
      <c r="A1147" t="inlineStr">
        <is>
          <t>A 29958-2023</t>
        </is>
      </c>
      <c r="B1147" s="1" t="n">
        <v>45107</v>
      </c>
      <c r="C1147" s="1" t="n">
        <v>45657</v>
      </c>
      <c r="D1147" t="inlineStr">
        <is>
          <t>VÄSTERNORRLANDS LÄN</t>
        </is>
      </c>
      <c r="E1147" t="inlineStr">
        <is>
          <t>SOLLEFTEÅ</t>
        </is>
      </c>
      <c r="F1147" t="inlineStr">
        <is>
          <t>SCA</t>
        </is>
      </c>
      <c r="G1147" t="n">
        <v>7.5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29958-2023 artfynd.xlsx", "A 29958-2023")</f>
        <v/>
      </c>
      <c r="T1147">
        <f>HYPERLINK("https://klasma.github.io/Logging_2283/kartor/A 29958-2023 karta.png", "A 29958-2023")</f>
        <v/>
      </c>
      <c r="V1147">
        <f>HYPERLINK("https://klasma.github.io/Logging_2283/klagomål/A 29958-2023 FSC-klagomål.docx", "A 29958-2023")</f>
        <v/>
      </c>
      <c r="W1147">
        <f>HYPERLINK("https://klasma.github.io/Logging_2283/klagomålsmail/A 29958-2023 FSC-klagomål mail.docx", "A 29958-2023")</f>
        <v/>
      </c>
      <c r="X1147">
        <f>HYPERLINK("https://klasma.github.io/Logging_2283/tillsyn/A 29958-2023 tillsynsbegäran.docx", "A 29958-2023")</f>
        <v/>
      </c>
      <c r="Y1147">
        <f>HYPERLINK("https://klasma.github.io/Logging_2283/tillsynsmail/A 29958-2023 tillsynsbegäran mail.docx", "A 29958-2023")</f>
        <v/>
      </c>
      <c r="Z1147">
        <f>HYPERLINK("https://klasma.github.io/Logging_2283/fåglar/A 29958-2023 prioriterade fågelarter.docx", "A 29958-2023")</f>
        <v/>
      </c>
    </row>
    <row r="1148" ht="15" customHeight="1">
      <c r="A1148" t="inlineStr">
        <is>
          <t>A 32077-2023</t>
        </is>
      </c>
      <c r="B1148" s="1" t="n">
        <v>45107</v>
      </c>
      <c r="C1148" s="1" t="n">
        <v>45657</v>
      </c>
      <c r="D1148" t="inlineStr">
        <is>
          <t>VÄSTERNORRLANDS LÄN</t>
        </is>
      </c>
      <c r="E1148" t="inlineStr">
        <is>
          <t>SUNDSVALL</t>
        </is>
      </c>
      <c r="G1148" t="n">
        <v>5.3</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32077-2023 artfynd.xlsx", "A 32077-2023")</f>
        <v/>
      </c>
      <c r="T1148">
        <f>HYPERLINK("https://klasma.github.io/Logging_2281/kartor/A 32077-2023 karta.png", "A 32077-2023")</f>
        <v/>
      </c>
      <c r="V1148">
        <f>HYPERLINK("https://klasma.github.io/Logging_2281/klagomål/A 32077-2023 FSC-klagomål.docx", "A 32077-2023")</f>
        <v/>
      </c>
      <c r="W1148">
        <f>HYPERLINK("https://klasma.github.io/Logging_2281/klagomålsmail/A 32077-2023 FSC-klagomål mail.docx", "A 32077-2023")</f>
        <v/>
      </c>
      <c r="X1148">
        <f>HYPERLINK("https://klasma.github.io/Logging_2281/tillsyn/A 32077-2023 tillsynsbegäran.docx", "A 32077-2023")</f>
        <v/>
      </c>
      <c r="Y1148">
        <f>HYPERLINK("https://klasma.github.io/Logging_2281/tillsynsmail/A 32077-2023 tillsynsbegäran mail.docx", "A 32077-2023")</f>
        <v/>
      </c>
    </row>
    <row r="1149" ht="15" customHeight="1">
      <c r="A1149" t="inlineStr">
        <is>
          <t>A 30838-2023</t>
        </is>
      </c>
      <c r="B1149" s="1" t="n">
        <v>45112</v>
      </c>
      <c r="C1149" s="1" t="n">
        <v>45657</v>
      </c>
      <c r="D1149" t="inlineStr">
        <is>
          <t>VÄSTERNORRLANDS LÄN</t>
        </is>
      </c>
      <c r="E1149" t="inlineStr">
        <is>
          <t>ÅNGE</t>
        </is>
      </c>
      <c r="F1149" t="inlineStr">
        <is>
          <t>SCA</t>
        </is>
      </c>
      <c r="G1149" t="n">
        <v>5.6</v>
      </c>
      <c r="H1149" t="n">
        <v>0</v>
      </c>
      <c r="I1149" t="n">
        <v>0</v>
      </c>
      <c r="J1149" t="n">
        <v>1</v>
      </c>
      <c r="K1149" t="n">
        <v>0</v>
      </c>
      <c r="L1149" t="n">
        <v>0</v>
      </c>
      <c r="M1149" t="n">
        <v>0</v>
      </c>
      <c r="N1149" t="n">
        <v>0</v>
      </c>
      <c r="O1149" t="n">
        <v>1</v>
      </c>
      <c r="P1149" t="n">
        <v>0</v>
      </c>
      <c r="Q1149" t="n">
        <v>1</v>
      </c>
      <c r="R1149" s="2" t="inlineStr">
        <is>
          <t>Kortskaftad ärgspik</t>
        </is>
      </c>
      <c r="S1149">
        <f>HYPERLINK("https://klasma.github.io/Logging_2260/artfynd/A 30838-2023 artfynd.xlsx", "A 30838-2023")</f>
        <v/>
      </c>
      <c r="T1149">
        <f>HYPERLINK("https://klasma.github.io/Logging_2260/kartor/A 30838-2023 karta.png", "A 30838-2023")</f>
        <v/>
      </c>
      <c r="U1149">
        <f>HYPERLINK("https://klasma.github.io/Logging_2260/knärot/A 30838-2023 karta knärot.png", "A 30838-2023")</f>
        <v/>
      </c>
      <c r="V1149">
        <f>HYPERLINK("https://klasma.github.io/Logging_2260/klagomål/A 30838-2023 FSC-klagomål.docx", "A 30838-2023")</f>
        <v/>
      </c>
      <c r="W1149">
        <f>HYPERLINK("https://klasma.github.io/Logging_2260/klagomålsmail/A 30838-2023 FSC-klagomål mail.docx", "A 30838-2023")</f>
        <v/>
      </c>
      <c r="X1149">
        <f>HYPERLINK("https://klasma.github.io/Logging_2260/tillsyn/A 30838-2023 tillsynsbegäran.docx", "A 30838-2023")</f>
        <v/>
      </c>
      <c r="Y1149">
        <f>HYPERLINK("https://klasma.github.io/Logging_2260/tillsynsmail/A 30838-2023 tillsynsbegäran mail.docx", "A 30838-2023")</f>
        <v/>
      </c>
    </row>
    <row r="1150" ht="15" customHeight="1">
      <c r="A1150" t="inlineStr">
        <is>
          <t>A 30837-2023</t>
        </is>
      </c>
      <c r="B1150" s="1" t="n">
        <v>45112</v>
      </c>
      <c r="C1150" s="1" t="n">
        <v>45657</v>
      </c>
      <c r="D1150" t="inlineStr">
        <is>
          <t>VÄSTERNORRLANDS LÄN</t>
        </is>
      </c>
      <c r="E1150" t="inlineStr">
        <is>
          <t>SUNDSVALL</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30837-2023 artfynd.xlsx", "A 30837-2023")</f>
        <v/>
      </c>
      <c r="T1150">
        <f>HYPERLINK("https://klasma.github.io/Logging_2281/kartor/A 30837-2023 karta.png", "A 30837-2023")</f>
        <v/>
      </c>
      <c r="V1150">
        <f>HYPERLINK("https://klasma.github.io/Logging_2281/klagomål/A 30837-2023 FSC-klagomål.docx", "A 30837-2023")</f>
        <v/>
      </c>
      <c r="W1150">
        <f>HYPERLINK("https://klasma.github.io/Logging_2281/klagomålsmail/A 30837-2023 FSC-klagomål mail.docx", "A 30837-2023")</f>
        <v/>
      </c>
      <c r="X1150">
        <f>HYPERLINK("https://klasma.github.io/Logging_2281/tillsyn/A 30837-2023 tillsynsbegäran.docx", "A 30837-2023")</f>
        <v/>
      </c>
      <c r="Y1150">
        <f>HYPERLINK("https://klasma.github.io/Logging_2281/tillsynsmail/A 30837-2023 tillsynsbegäran mail.docx", "A 30837-2023")</f>
        <v/>
      </c>
    </row>
    <row r="1151" ht="15" customHeight="1">
      <c r="A1151" t="inlineStr">
        <is>
          <t>A 30827-2023</t>
        </is>
      </c>
      <c r="B1151" s="1" t="n">
        <v>45112</v>
      </c>
      <c r="C1151" s="1" t="n">
        <v>45657</v>
      </c>
      <c r="D1151" t="inlineStr">
        <is>
          <t>VÄSTERNORRLANDS LÄN</t>
        </is>
      </c>
      <c r="E1151" t="inlineStr">
        <is>
          <t>SUNDSVALL</t>
        </is>
      </c>
      <c r="F1151" t="inlineStr">
        <is>
          <t>SCA</t>
        </is>
      </c>
      <c r="G1151" t="n">
        <v>21.9</v>
      </c>
      <c r="H1151" t="n">
        <v>0</v>
      </c>
      <c r="I1151" t="n">
        <v>1</v>
      </c>
      <c r="J1151" t="n">
        <v>0</v>
      </c>
      <c r="K1151" t="n">
        <v>0</v>
      </c>
      <c r="L1151" t="n">
        <v>0</v>
      </c>
      <c r="M1151" t="n">
        <v>0</v>
      </c>
      <c r="N1151" t="n">
        <v>0</v>
      </c>
      <c r="O1151" t="n">
        <v>0</v>
      </c>
      <c r="P1151" t="n">
        <v>0</v>
      </c>
      <c r="Q1151" t="n">
        <v>1</v>
      </c>
      <c r="R1151" s="2" t="inlineStr">
        <is>
          <t>Dropptaggsvamp</t>
        </is>
      </c>
      <c r="S1151">
        <f>HYPERLINK("https://klasma.github.io/Logging_2281/artfynd/A 30827-2023 artfynd.xlsx", "A 30827-2023")</f>
        <v/>
      </c>
      <c r="T1151">
        <f>HYPERLINK("https://klasma.github.io/Logging_2281/kartor/A 30827-2023 karta.png", "A 30827-2023")</f>
        <v/>
      </c>
      <c r="V1151">
        <f>HYPERLINK("https://klasma.github.io/Logging_2281/klagomål/A 30827-2023 FSC-klagomål.docx", "A 30827-2023")</f>
        <v/>
      </c>
      <c r="W1151">
        <f>HYPERLINK("https://klasma.github.io/Logging_2281/klagomålsmail/A 30827-2023 FSC-klagomål mail.docx", "A 30827-2023")</f>
        <v/>
      </c>
      <c r="X1151">
        <f>HYPERLINK("https://klasma.github.io/Logging_2281/tillsyn/A 30827-2023 tillsynsbegäran.docx", "A 30827-2023")</f>
        <v/>
      </c>
      <c r="Y1151">
        <f>HYPERLINK("https://klasma.github.io/Logging_2281/tillsynsmail/A 30827-2023 tillsynsbegäran mail.docx", "A 30827-2023")</f>
        <v/>
      </c>
    </row>
    <row r="1152" ht="15" customHeight="1">
      <c r="A1152" t="inlineStr">
        <is>
          <t>A 33003-2023</t>
        </is>
      </c>
      <c r="B1152" s="1" t="n">
        <v>45113</v>
      </c>
      <c r="C1152" s="1" t="n">
        <v>45657</v>
      </c>
      <c r="D1152" t="inlineStr">
        <is>
          <t>VÄSTERNORRLANDS LÄN</t>
        </is>
      </c>
      <c r="E1152" t="inlineStr">
        <is>
          <t>ÖRNSKÖLDSVIK</t>
        </is>
      </c>
      <c r="G1152" t="n">
        <v>4.6</v>
      </c>
      <c r="H1152" t="n">
        <v>1</v>
      </c>
      <c r="I1152" t="n">
        <v>0</v>
      </c>
      <c r="J1152" t="n">
        <v>1</v>
      </c>
      <c r="K1152" t="n">
        <v>0</v>
      </c>
      <c r="L1152" t="n">
        <v>0</v>
      </c>
      <c r="M1152" t="n">
        <v>0</v>
      </c>
      <c r="N1152" t="n">
        <v>0</v>
      </c>
      <c r="O1152" t="n">
        <v>1</v>
      </c>
      <c r="P1152" t="n">
        <v>0</v>
      </c>
      <c r="Q1152" t="n">
        <v>1</v>
      </c>
      <c r="R1152" s="2" t="inlineStr">
        <is>
          <t>Kungsörn</t>
        </is>
      </c>
      <c r="S1152">
        <f>HYPERLINK("https://klasma.github.io/Logging_2284/artfynd/A 33003-2023 artfynd.xlsx", "A 33003-2023")</f>
        <v/>
      </c>
      <c r="T1152">
        <f>HYPERLINK("https://klasma.github.io/Logging_2284/kartor/A 33003-2023 karta.png", "A 33003-2023")</f>
        <v/>
      </c>
      <c r="V1152">
        <f>HYPERLINK("https://klasma.github.io/Logging_2284/klagomål/A 33003-2023 FSC-klagomål.docx", "A 33003-2023")</f>
        <v/>
      </c>
      <c r="W1152">
        <f>HYPERLINK("https://klasma.github.io/Logging_2284/klagomålsmail/A 33003-2023 FSC-klagomål mail.docx", "A 33003-2023")</f>
        <v/>
      </c>
      <c r="X1152">
        <f>HYPERLINK("https://klasma.github.io/Logging_2284/tillsyn/A 33003-2023 tillsynsbegäran.docx", "A 33003-2023")</f>
        <v/>
      </c>
      <c r="Y1152">
        <f>HYPERLINK("https://klasma.github.io/Logging_2284/tillsynsmail/A 33003-2023 tillsynsbegäran mail.docx", "A 33003-2023")</f>
        <v/>
      </c>
      <c r="Z1152">
        <f>HYPERLINK("https://klasma.github.io/Logging_2284/fåglar/A 33003-2023 prioriterade fågelarter.docx", "A 33003-2023")</f>
        <v/>
      </c>
    </row>
    <row r="1153" ht="15" customHeight="1">
      <c r="A1153" t="inlineStr">
        <is>
          <t>A 31912-2023</t>
        </is>
      </c>
      <c r="B1153" s="1" t="n">
        <v>45118</v>
      </c>
      <c r="C1153" s="1" t="n">
        <v>45657</v>
      </c>
      <c r="D1153" t="inlineStr">
        <is>
          <t>VÄSTERNORRLANDS LÄN</t>
        </is>
      </c>
      <c r="E1153" t="inlineStr">
        <is>
          <t>SOLLEFTEÅ</t>
        </is>
      </c>
      <c r="G1153" t="n">
        <v>5.4</v>
      </c>
      <c r="H1153" t="n">
        <v>0</v>
      </c>
      <c r="I1153" t="n">
        <v>0</v>
      </c>
      <c r="J1153" t="n">
        <v>1</v>
      </c>
      <c r="K1153" t="n">
        <v>0</v>
      </c>
      <c r="L1153" t="n">
        <v>0</v>
      </c>
      <c r="M1153" t="n">
        <v>0</v>
      </c>
      <c r="N1153" t="n">
        <v>0</v>
      </c>
      <c r="O1153" t="n">
        <v>1</v>
      </c>
      <c r="P1153" t="n">
        <v>0</v>
      </c>
      <c r="Q1153" t="n">
        <v>1</v>
      </c>
      <c r="R1153" s="2" t="inlineStr">
        <is>
          <t>Granticka</t>
        </is>
      </c>
      <c r="S1153">
        <f>HYPERLINK("https://klasma.github.io/Logging_2283/artfynd/A 31912-2023 artfynd.xlsx", "A 31912-2023")</f>
        <v/>
      </c>
      <c r="T1153">
        <f>HYPERLINK("https://klasma.github.io/Logging_2283/kartor/A 31912-2023 karta.png", "A 31912-2023")</f>
        <v/>
      </c>
      <c r="V1153">
        <f>HYPERLINK("https://klasma.github.io/Logging_2283/klagomål/A 31912-2023 FSC-klagomål.docx", "A 31912-2023")</f>
        <v/>
      </c>
      <c r="W1153">
        <f>HYPERLINK("https://klasma.github.io/Logging_2283/klagomålsmail/A 31912-2023 FSC-klagomål mail.docx", "A 31912-2023")</f>
        <v/>
      </c>
      <c r="X1153">
        <f>HYPERLINK("https://klasma.github.io/Logging_2283/tillsyn/A 31912-2023 tillsynsbegäran.docx", "A 31912-2023")</f>
        <v/>
      </c>
      <c r="Y1153">
        <f>HYPERLINK("https://klasma.github.io/Logging_2283/tillsynsmail/A 31912-2023 tillsynsbegäran mail.docx", "A 31912-2023")</f>
        <v/>
      </c>
    </row>
    <row r="1154" ht="15" customHeight="1">
      <c r="A1154" t="inlineStr">
        <is>
          <t>A 31920-2023</t>
        </is>
      </c>
      <c r="B1154" s="1" t="n">
        <v>45118</v>
      </c>
      <c r="C1154" s="1" t="n">
        <v>45657</v>
      </c>
      <c r="D1154" t="inlineStr">
        <is>
          <t>VÄSTERNORRLANDS LÄN</t>
        </is>
      </c>
      <c r="E1154" t="inlineStr">
        <is>
          <t>SOLLEFTEÅ</t>
        </is>
      </c>
      <c r="F1154" t="inlineStr">
        <is>
          <t>SCA</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HYPERLINK("https://klasma.github.io/Logging_2283/artfynd/A 31920-2023 artfynd.xlsx", "A 31920-2023")</f>
        <v/>
      </c>
      <c r="T1154">
        <f>HYPERLINK("https://klasma.github.io/Logging_2283/kartor/A 31920-2023 karta.png", "A 31920-2023")</f>
        <v/>
      </c>
      <c r="V1154">
        <f>HYPERLINK("https://klasma.github.io/Logging_2283/klagomål/A 31920-2023 FSC-klagomål.docx", "A 31920-2023")</f>
        <v/>
      </c>
      <c r="W1154">
        <f>HYPERLINK("https://klasma.github.io/Logging_2283/klagomålsmail/A 31920-2023 FSC-klagomål mail.docx", "A 31920-2023")</f>
        <v/>
      </c>
      <c r="X1154">
        <f>HYPERLINK("https://klasma.github.io/Logging_2283/tillsyn/A 31920-2023 tillsynsbegäran.docx", "A 31920-2023")</f>
        <v/>
      </c>
      <c r="Y1154">
        <f>HYPERLINK("https://klasma.github.io/Logging_2283/tillsynsmail/A 31920-2023 tillsynsbegäran mail.docx", "A 31920-2023")</f>
        <v/>
      </c>
    </row>
    <row r="1155" ht="15" customHeight="1">
      <c r="A1155" t="inlineStr">
        <is>
          <t>A 32734-2023</t>
        </is>
      </c>
      <c r="B1155" s="1" t="n">
        <v>45121</v>
      </c>
      <c r="C1155" s="1" t="n">
        <v>45657</v>
      </c>
      <c r="D1155" t="inlineStr">
        <is>
          <t>VÄSTERNORRLANDS LÄN</t>
        </is>
      </c>
      <c r="E1155" t="inlineStr">
        <is>
          <t>SOLLEFTEÅ</t>
        </is>
      </c>
      <c r="G1155" t="n">
        <v>1.8</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32734-2023 artfynd.xlsx", "A 32734-2023")</f>
        <v/>
      </c>
      <c r="T1155">
        <f>HYPERLINK("https://klasma.github.io/Logging_2283/kartor/A 32734-2023 karta.png", "A 32734-2023")</f>
        <v/>
      </c>
      <c r="V1155">
        <f>HYPERLINK("https://klasma.github.io/Logging_2283/klagomål/A 32734-2023 FSC-klagomål.docx", "A 32734-2023")</f>
        <v/>
      </c>
      <c r="W1155">
        <f>HYPERLINK("https://klasma.github.io/Logging_2283/klagomålsmail/A 32734-2023 FSC-klagomål mail.docx", "A 32734-2023")</f>
        <v/>
      </c>
      <c r="X1155">
        <f>HYPERLINK("https://klasma.github.io/Logging_2283/tillsyn/A 32734-2023 tillsynsbegäran.docx", "A 32734-2023")</f>
        <v/>
      </c>
      <c r="Y1155">
        <f>HYPERLINK("https://klasma.github.io/Logging_2283/tillsynsmail/A 32734-2023 tillsynsbegäran mail.docx", "A 32734-2023")</f>
        <v/>
      </c>
    </row>
    <row r="1156" ht="15" customHeight="1">
      <c r="A1156" t="inlineStr">
        <is>
          <t>A 33330-2023</t>
        </is>
      </c>
      <c r="B1156" s="1" t="n">
        <v>45127</v>
      </c>
      <c r="C1156" s="1" t="n">
        <v>45657</v>
      </c>
      <c r="D1156" t="inlineStr">
        <is>
          <t>VÄSTERNORRLANDS LÄN</t>
        </is>
      </c>
      <c r="E1156" t="inlineStr">
        <is>
          <t>TIMRÅ</t>
        </is>
      </c>
      <c r="F1156" t="inlineStr">
        <is>
          <t>SCA</t>
        </is>
      </c>
      <c r="G1156" t="n">
        <v>4</v>
      </c>
      <c r="H1156" t="n">
        <v>0</v>
      </c>
      <c r="I1156" t="n">
        <v>0</v>
      </c>
      <c r="J1156" t="n">
        <v>1</v>
      </c>
      <c r="K1156" t="n">
        <v>0</v>
      </c>
      <c r="L1156" t="n">
        <v>0</v>
      </c>
      <c r="M1156" t="n">
        <v>0</v>
      </c>
      <c r="N1156" t="n">
        <v>0</v>
      </c>
      <c r="O1156" t="n">
        <v>1</v>
      </c>
      <c r="P1156" t="n">
        <v>0</v>
      </c>
      <c r="Q1156" t="n">
        <v>1</v>
      </c>
      <c r="R1156" s="2" t="inlineStr">
        <is>
          <t>Lunglav</t>
        </is>
      </c>
      <c r="S1156">
        <f>HYPERLINK("https://klasma.github.io/Logging_2262/artfynd/A 33330-2023 artfynd.xlsx", "A 33330-2023")</f>
        <v/>
      </c>
      <c r="T1156">
        <f>HYPERLINK("https://klasma.github.io/Logging_2262/kartor/A 33330-2023 karta.png", "A 33330-2023")</f>
        <v/>
      </c>
      <c r="V1156">
        <f>HYPERLINK("https://klasma.github.io/Logging_2262/klagomål/A 33330-2023 FSC-klagomål.docx", "A 33330-2023")</f>
        <v/>
      </c>
      <c r="W1156">
        <f>HYPERLINK("https://klasma.github.io/Logging_2262/klagomålsmail/A 33330-2023 FSC-klagomål mail.docx", "A 33330-2023")</f>
        <v/>
      </c>
      <c r="X1156">
        <f>HYPERLINK("https://klasma.github.io/Logging_2262/tillsyn/A 33330-2023 tillsynsbegäran.docx", "A 33330-2023")</f>
        <v/>
      </c>
      <c r="Y1156">
        <f>HYPERLINK("https://klasma.github.io/Logging_2262/tillsynsmail/A 33330-2023 tillsynsbegäran mail.docx", "A 33330-2023")</f>
        <v/>
      </c>
    </row>
    <row r="1157" ht="15" customHeight="1">
      <c r="A1157" t="inlineStr">
        <is>
          <t>A 33503-2023</t>
        </is>
      </c>
      <c r="B1157" s="1" t="n">
        <v>45131</v>
      </c>
      <c r="C1157" s="1" t="n">
        <v>45657</v>
      </c>
      <c r="D1157" t="inlineStr">
        <is>
          <t>VÄSTERNORRLANDS LÄN</t>
        </is>
      </c>
      <c r="E1157" t="inlineStr">
        <is>
          <t>TIMRÅ</t>
        </is>
      </c>
      <c r="G1157" t="n">
        <v>28.3</v>
      </c>
      <c r="H1157" t="n">
        <v>1</v>
      </c>
      <c r="I1157" t="n">
        <v>0</v>
      </c>
      <c r="J1157" t="n">
        <v>1</v>
      </c>
      <c r="K1157" t="n">
        <v>0</v>
      </c>
      <c r="L1157" t="n">
        <v>0</v>
      </c>
      <c r="M1157" t="n">
        <v>0</v>
      </c>
      <c r="N1157" t="n">
        <v>0</v>
      </c>
      <c r="O1157" t="n">
        <v>1</v>
      </c>
      <c r="P1157" t="n">
        <v>0</v>
      </c>
      <c r="Q1157" t="n">
        <v>1</v>
      </c>
      <c r="R1157" s="2" t="inlineStr">
        <is>
          <t>Utter</t>
        </is>
      </c>
      <c r="S1157">
        <f>HYPERLINK("https://klasma.github.io/Logging_2262/artfynd/A 33503-2023 artfynd.xlsx", "A 33503-2023")</f>
        <v/>
      </c>
      <c r="T1157">
        <f>HYPERLINK("https://klasma.github.io/Logging_2262/kartor/A 33503-2023 karta.png", "A 33503-2023")</f>
        <v/>
      </c>
      <c r="V1157">
        <f>HYPERLINK("https://klasma.github.io/Logging_2262/klagomål/A 33503-2023 FSC-klagomål.docx", "A 33503-2023")</f>
        <v/>
      </c>
      <c r="W1157">
        <f>HYPERLINK("https://klasma.github.io/Logging_2262/klagomålsmail/A 33503-2023 FSC-klagomål mail.docx", "A 33503-2023")</f>
        <v/>
      </c>
      <c r="X1157">
        <f>HYPERLINK("https://klasma.github.io/Logging_2262/tillsyn/A 33503-2023 tillsynsbegäran.docx", "A 33503-2023")</f>
        <v/>
      </c>
      <c r="Y1157">
        <f>HYPERLINK("https://klasma.github.io/Logging_2262/tillsynsmail/A 33503-2023 tillsynsbegäran mail.docx", "A 33503-2023")</f>
        <v/>
      </c>
    </row>
    <row r="1158" ht="15" customHeight="1">
      <c r="A1158" t="inlineStr">
        <is>
          <t>A 34489-2023</t>
        </is>
      </c>
      <c r="B1158" s="1" t="n">
        <v>45139</v>
      </c>
      <c r="C1158" s="1" t="n">
        <v>45657</v>
      </c>
      <c r="D1158" t="inlineStr">
        <is>
          <t>VÄSTERNORRLANDS LÄN</t>
        </is>
      </c>
      <c r="E1158" t="inlineStr">
        <is>
          <t>ÅNGE</t>
        </is>
      </c>
      <c r="F1158" t="inlineStr">
        <is>
          <t>SCA</t>
        </is>
      </c>
      <c r="G1158" t="n">
        <v>11.1</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34489-2023 artfynd.xlsx", "A 34489-2023")</f>
        <v/>
      </c>
      <c r="T1158">
        <f>HYPERLINK("https://klasma.github.io/Logging_2260/kartor/A 34489-2023 karta.png", "A 34489-2023")</f>
        <v/>
      </c>
      <c r="U1158">
        <f>HYPERLINK("https://klasma.github.io/Logging_2260/knärot/A 34489-2023 karta knärot.png", "A 34489-2023")</f>
        <v/>
      </c>
      <c r="V1158">
        <f>HYPERLINK("https://klasma.github.io/Logging_2260/klagomål/A 34489-2023 FSC-klagomål.docx", "A 34489-2023")</f>
        <v/>
      </c>
      <c r="W1158">
        <f>HYPERLINK("https://klasma.github.io/Logging_2260/klagomålsmail/A 34489-2023 FSC-klagomål mail.docx", "A 34489-2023")</f>
        <v/>
      </c>
      <c r="X1158">
        <f>HYPERLINK("https://klasma.github.io/Logging_2260/tillsyn/A 34489-2023 tillsynsbegäran.docx", "A 34489-2023")</f>
        <v/>
      </c>
      <c r="Y1158">
        <f>HYPERLINK("https://klasma.github.io/Logging_2260/tillsynsmail/A 34489-2023 tillsynsbegäran mail.docx", "A 34489-2023")</f>
        <v/>
      </c>
    </row>
    <row r="1159" ht="15" customHeight="1">
      <c r="A1159" t="inlineStr">
        <is>
          <t>A 34699-2023</t>
        </is>
      </c>
      <c r="B1159" s="1" t="n">
        <v>45141</v>
      </c>
      <c r="C1159" s="1" t="n">
        <v>45657</v>
      </c>
      <c r="D1159" t="inlineStr">
        <is>
          <t>VÄSTERNORRLANDS LÄN</t>
        </is>
      </c>
      <c r="E1159" t="inlineStr">
        <is>
          <t>SOLLEFTEÅ</t>
        </is>
      </c>
      <c r="F1159" t="inlineStr">
        <is>
          <t>SCA</t>
        </is>
      </c>
      <c r="G1159" t="n">
        <v>3</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34699-2023 artfynd.xlsx", "A 34699-2023")</f>
        <v/>
      </c>
      <c r="T1159">
        <f>HYPERLINK("https://klasma.github.io/Logging_2283/kartor/A 34699-2023 karta.png", "A 34699-2023")</f>
        <v/>
      </c>
      <c r="U1159">
        <f>HYPERLINK("https://klasma.github.io/Logging_2283/knärot/A 34699-2023 karta knärot.png", "A 34699-2023")</f>
        <v/>
      </c>
      <c r="V1159">
        <f>HYPERLINK("https://klasma.github.io/Logging_2283/klagomål/A 34699-2023 FSC-klagomål.docx", "A 34699-2023")</f>
        <v/>
      </c>
      <c r="W1159">
        <f>HYPERLINK("https://klasma.github.io/Logging_2283/klagomålsmail/A 34699-2023 FSC-klagomål mail.docx", "A 34699-2023")</f>
        <v/>
      </c>
      <c r="X1159">
        <f>HYPERLINK("https://klasma.github.io/Logging_2283/tillsyn/A 34699-2023 tillsynsbegäran.docx", "A 34699-2023")</f>
        <v/>
      </c>
      <c r="Y1159">
        <f>HYPERLINK("https://klasma.github.io/Logging_2283/tillsynsmail/A 34699-2023 tillsynsbegäran mail.docx", "A 34699-2023")</f>
        <v/>
      </c>
    </row>
    <row r="1160" ht="15" customHeight="1">
      <c r="A1160" t="inlineStr">
        <is>
          <t>A 35295-2023</t>
        </is>
      </c>
      <c r="B1160" s="1" t="n">
        <v>45145</v>
      </c>
      <c r="C1160" s="1" t="n">
        <v>45657</v>
      </c>
      <c r="D1160" t="inlineStr">
        <is>
          <t>VÄSTERNORRLANDS LÄN</t>
        </is>
      </c>
      <c r="E1160" t="inlineStr">
        <is>
          <t>SOLLEFTEÅ</t>
        </is>
      </c>
      <c r="F1160" t="inlineStr">
        <is>
          <t>SCA</t>
        </is>
      </c>
      <c r="G1160" t="n">
        <v>8.9</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35295-2023 artfynd.xlsx", "A 35295-2023")</f>
        <v/>
      </c>
      <c r="T1160">
        <f>HYPERLINK("https://klasma.github.io/Logging_2283/kartor/A 35295-2023 karta.png", "A 35295-2023")</f>
        <v/>
      </c>
      <c r="V1160">
        <f>HYPERLINK("https://klasma.github.io/Logging_2283/klagomål/A 35295-2023 FSC-klagomål.docx", "A 35295-2023")</f>
        <v/>
      </c>
      <c r="W1160">
        <f>HYPERLINK("https://klasma.github.io/Logging_2283/klagomålsmail/A 35295-2023 FSC-klagomål mail.docx", "A 35295-2023")</f>
        <v/>
      </c>
      <c r="X1160">
        <f>HYPERLINK("https://klasma.github.io/Logging_2283/tillsyn/A 35295-2023 tillsynsbegäran.docx", "A 35295-2023")</f>
        <v/>
      </c>
      <c r="Y1160">
        <f>HYPERLINK("https://klasma.github.io/Logging_2283/tillsynsmail/A 35295-2023 tillsynsbegäran mail.docx", "A 35295-2023")</f>
        <v/>
      </c>
      <c r="Z1160">
        <f>HYPERLINK("https://klasma.github.io/Logging_2283/fåglar/A 35295-2023 prioriterade fågelarter.docx", "A 35295-2023")</f>
        <v/>
      </c>
    </row>
    <row r="1161" ht="15" customHeight="1">
      <c r="A1161" t="inlineStr">
        <is>
          <t>A 35510-2023</t>
        </is>
      </c>
      <c r="B1161" s="1" t="n">
        <v>45147</v>
      </c>
      <c r="C1161" s="1" t="n">
        <v>45657</v>
      </c>
      <c r="D1161" t="inlineStr">
        <is>
          <t>VÄSTERNORRLANDS LÄN</t>
        </is>
      </c>
      <c r="E1161" t="inlineStr">
        <is>
          <t>TIMRÅ</t>
        </is>
      </c>
      <c r="F1161" t="inlineStr">
        <is>
          <t>SCA</t>
        </is>
      </c>
      <c r="G1161" t="n">
        <v>3.5</v>
      </c>
      <c r="H1161" t="n">
        <v>1</v>
      </c>
      <c r="I1161" t="n">
        <v>0</v>
      </c>
      <c r="J1161" t="n">
        <v>0</v>
      </c>
      <c r="K1161" t="n">
        <v>0</v>
      </c>
      <c r="L1161" t="n">
        <v>0</v>
      </c>
      <c r="M1161" t="n">
        <v>0</v>
      </c>
      <c r="N1161" t="n">
        <v>0</v>
      </c>
      <c r="O1161" t="n">
        <v>0</v>
      </c>
      <c r="P1161" t="n">
        <v>0</v>
      </c>
      <c r="Q1161" t="n">
        <v>1</v>
      </c>
      <c r="R1161" s="2" t="inlineStr">
        <is>
          <t>Revlummer</t>
        </is>
      </c>
      <c r="S1161">
        <f>HYPERLINK("https://klasma.github.io/Logging_2262/artfynd/A 35510-2023 artfynd.xlsx", "A 35510-2023")</f>
        <v/>
      </c>
      <c r="T1161">
        <f>HYPERLINK("https://klasma.github.io/Logging_2262/kartor/A 35510-2023 karta.png", "A 35510-2023")</f>
        <v/>
      </c>
      <c r="V1161">
        <f>HYPERLINK("https://klasma.github.io/Logging_2262/klagomål/A 35510-2023 FSC-klagomål.docx", "A 35510-2023")</f>
        <v/>
      </c>
      <c r="W1161">
        <f>HYPERLINK("https://klasma.github.io/Logging_2262/klagomålsmail/A 35510-2023 FSC-klagomål mail.docx", "A 35510-2023")</f>
        <v/>
      </c>
      <c r="X1161">
        <f>HYPERLINK("https://klasma.github.io/Logging_2262/tillsyn/A 35510-2023 tillsynsbegäran.docx", "A 35510-2023")</f>
        <v/>
      </c>
      <c r="Y1161">
        <f>HYPERLINK("https://klasma.github.io/Logging_2262/tillsynsmail/A 35510-2023 tillsynsbegäran mail.docx", "A 35510-2023")</f>
        <v/>
      </c>
    </row>
    <row r="1162" ht="15" customHeight="1">
      <c r="A1162" t="inlineStr">
        <is>
          <t>A 35751-2023</t>
        </is>
      </c>
      <c r="B1162" s="1" t="n">
        <v>45147</v>
      </c>
      <c r="C1162" s="1" t="n">
        <v>45657</v>
      </c>
      <c r="D1162" t="inlineStr">
        <is>
          <t>VÄSTERNORRLANDS LÄN</t>
        </is>
      </c>
      <c r="E1162" t="inlineStr">
        <is>
          <t>SUNDSVALL</t>
        </is>
      </c>
      <c r="F1162" t="inlineStr">
        <is>
          <t>SCA</t>
        </is>
      </c>
      <c r="G1162" t="n">
        <v>5</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HYPERLINK("https://klasma.github.io/Logging_2281/artfynd/A 35751-2023 artfynd.xlsx", "A 35751-2023")</f>
        <v/>
      </c>
      <c r="T1162">
        <f>HYPERLINK("https://klasma.github.io/Logging_2281/kartor/A 35751-2023 karta.png", "A 35751-2023")</f>
        <v/>
      </c>
      <c r="V1162">
        <f>HYPERLINK("https://klasma.github.io/Logging_2281/klagomål/A 35751-2023 FSC-klagomål.docx", "A 35751-2023")</f>
        <v/>
      </c>
      <c r="W1162">
        <f>HYPERLINK("https://klasma.github.io/Logging_2281/klagomålsmail/A 35751-2023 FSC-klagomål mail.docx", "A 35751-2023")</f>
        <v/>
      </c>
      <c r="X1162">
        <f>HYPERLINK("https://klasma.github.io/Logging_2281/tillsyn/A 35751-2023 tillsynsbegäran.docx", "A 35751-2023")</f>
        <v/>
      </c>
      <c r="Y1162">
        <f>HYPERLINK("https://klasma.github.io/Logging_2281/tillsynsmail/A 35751-2023 tillsynsbegäran mail.docx", "A 35751-2023")</f>
        <v/>
      </c>
    </row>
    <row r="1163" ht="15" customHeight="1">
      <c r="A1163" t="inlineStr">
        <is>
          <t>A 35973-2023</t>
        </is>
      </c>
      <c r="B1163" s="1" t="n">
        <v>45148</v>
      </c>
      <c r="C1163" s="1" t="n">
        <v>45657</v>
      </c>
      <c r="D1163" t="inlineStr">
        <is>
          <t>VÄSTERNORRLANDS LÄN</t>
        </is>
      </c>
      <c r="E1163" t="inlineStr">
        <is>
          <t>ÅNGE</t>
        </is>
      </c>
      <c r="F1163" t="inlineStr">
        <is>
          <t>SCA</t>
        </is>
      </c>
      <c r="G1163" t="n">
        <v>1.3</v>
      </c>
      <c r="H1163" t="n">
        <v>1</v>
      </c>
      <c r="I1163" t="n">
        <v>1</v>
      </c>
      <c r="J1163" t="n">
        <v>0</v>
      </c>
      <c r="K1163" t="n">
        <v>0</v>
      </c>
      <c r="L1163" t="n">
        <v>0</v>
      </c>
      <c r="M1163" t="n">
        <v>0</v>
      </c>
      <c r="N1163" t="n">
        <v>0</v>
      </c>
      <c r="O1163" t="n">
        <v>0</v>
      </c>
      <c r="P1163" t="n">
        <v>0</v>
      </c>
      <c r="Q1163" t="n">
        <v>1</v>
      </c>
      <c r="R1163" s="2" t="inlineStr">
        <is>
          <t>Korallrot</t>
        </is>
      </c>
      <c r="S1163">
        <f>HYPERLINK("https://klasma.github.io/Logging_2260/artfynd/A 35973-2023 artfynd.xlsx", "A 35973-2023")</f>
        <v/>
      </c>
      <c r="T1163">
        <f>HYPERLINK("https://klasma.github.io/Logging_2260/kartor/A 35973-2023 karta.png", "A 35973-2023")</f>
        <v/>
      </c>
      <c r="V1163">
        <f>HYPERLINK("https://klasma.github.io/Logging_2260/klagomål/A 35973-2023 FSC-klagomål.docx", "A 35973-2023")</f>
        <v/>
      </c>
      <c r="W1163">
        <f>HYPERLINK("https://klasma.github.io/Logging_2260/klagomålsmail/A 35973-2023 FSC-klagomål mail.docx", "A 35973-2023")</f>
        <v/>
      </c>
      <c r="X1163">
        <f>HYPERLINK("https://klasma.github.io/Logging_2260/tillsyn/A 35973-2023 tillsynsbegäran.docx", "A 35973-2023")</f>
        <v/>
      </c>
      <c r="Y1163">
        <f>HYPERLINK("https://klasma.github.io/Logging_2260/tillsynsmail/A 35973-2023 tillsynsbegäran mail.docx", "A 35973-2023")</f>
        <v/>
      </c>
    </row>
    <row r="1164" ht="15" customHeight="1">
      <c r="A1164" t="inlineStr">
        <is>
          <t>A 36230-2023</t>
        </is>
      </c>
      <c r="B1164" s="1" t="n">
        <v>45150</v>
      </c>
      <c r="C1164" s="1" t="n">
        <v>45657</v>
      </c>
      <c r="D1164" t="inlineStr">
        <is>
          <t>VÄSTERNORRLANDS LÄN</t>
        </is>
      </c>
      <c r="E1164" t="inlineStr">
        <is>
          <t>ÅNGE</t>
        </is>
      </c>
      <c r="F1164" t="inlineStr">
        <is>
          <t>SCA</t>
        </is>
      </c>
      <c r="G1164" t="n">
        <v>6.3</v>
      </c>
      <c r="H1164" t="n">
        <v>1</v>
      </c>
      <c r="I1164" t="n">
        <v>0</v>
      </c>
      <c r="J1164" t="n">
        <v>0</v>
      </c>
      <c r="K1164" t="n">
        <v>1</v>
      </c>
      <c r="L1164" t="n">
        <v>0</v>
      </c>
      <c r="M1164" t="n">
        <v>0</v>
      </c>
      <c r="N1164" t="n">
        <v>0</v>
      </c>
      <c r="O1164" t="n">
        <v>1</v>
      </c>
      <c r="P1164" t="n">
        <v>1</v>
      </c>
      <c r="Q1164" t="n">
        <v>1</v>
      </c>
      <c r="R1164" s="2" t="inlineStr">
        <is>
          <t>Lappuggla</t>
        </is>
      </c>
      <c r="S1164">
        <f>HYPERLINK("https://klasma.github.io/Logging_2260/artfynd/A 36230-2023 artfynd.xlsx", "A 36230-2023")</f>
        <v/>
      </c>
      <c r="T1164">
        <f>HYPERLINK("https://klasma.github.io/Logging_2260/kartor/A 36230-2023 karta.png", "A 36230-2023")</f>
        <v/>
      </c>
      <c r="V1164">
        <f>HYPERLINK("https://klasma.github.io/Logging_2260/klagomål/A 36230-2023 FSC-klagomål.docx", "A 36230-2023")</f>
        <v/>
      </c>
      <c r="W1164">
        <f>HYPERLINK("https://klasma.github.io/Logging_2260/klagomålsmail/A 36230-2023 FSC-klagomål mail.docx", "A 36230-2023")</f>
        <v/>
      </c>
      <c r="X1164">
        <f>HYPERLINK("https://klasma.github.io/Logging_2260/tillsyn/A 36230-2023 tillsynsbegäran.docx", "A 36230-2023")</f>
        <v/>
      </c>
      <c r="Y1164">
        <f>HYPERLINK("https://klasma.github.io/Logging_2260/tillsynsmail/A 36230-2023 tillsynsbegäran mail.docx", "A 36230-2023")</f>
        <v/>
      </c>
      <c r="Z1164">
        <f>HYPERLINK("https://klasma.github.io/Logging_2260/fåglar/A 36230-2023 prioriterade fågelarter.docx", "A 36230-2023")</f>
        <v/>
      </c>
    </row>
    <row r="1165" ht="15" customHeight="1">
      <c r="A1165" t="inlineStr">
        <is>
          <t>A 37502-2023</t>
        </is>
      </c>
      <c r="B1165" s="1" t="n">
        <v>45157</v>
      </c>
      <c r="C1165" s="1" t="n">
        <v>45657</v>
      </c>
      <c r="D1165" t="inlineStr">
        <is>
          <t>VÄSTERNORRLANDS LÄN</t>
        </is>
      </c>
      <c r="E1165" t="inlineStr">
        <is>
          <t>ÅNGE</t>
        </is>
      </c>
      <c r="F1165" t="inlineStr">
        <is>
          <t>Sveaskog</t>
        </is>
      </c>
      <c r="G1165" t="n">
        <v>0.7</v>
      </c>
      <c r="H1165" t="n">
        <v>0</v>
      </c>
      <c r="I1165" t="n">
        <v>0</v>
      </c>
      <c r="J1165" t="n">
        <v>1</v>
      </c>
      <c r="K1165" t="n">
        <v>0</v>
      </c>
      <c r="L1165" t="n">
        <v>0</v>
      </c>
      <c r="M1165" t="n">
        <v>0</v>
      </c>
      <c r="N1165" t="n">
        <v>0</v>
      </c>
      <c r="O1165" t="n">
        <v>1</v>
      </c>
      <c r="P1165" t="n">
        <v>0</v>
      </c>
      <c r="Q1165" t="n">
        <v>1</v>
      </c>
      <c r="R1165" s="2" t="inlineStr">
        <is>
          <t>Mörk kolflarnlav</t>
        </is>
      </c>
      <c r="S1165">
        <f>HYPERLINK("https://klasma.github.io/Logging_2260/artfynd/A 37502-2023 artfynd.xlsx", "A 37502-2023")</f>
        <v/>
      </c>
      <c r="T1165">
        <f>HYPERLINK("https://klasma.github.io/Logging_2260/kartor/A 37502-2023 karta.png", "A 37502-2023")</f>
        <v/>
      </c>
      <c r="V1165">
        <f>HYPERLINK("https://klasma.github.io/Logging_2260/klagomål/A 37502-2023 FSC-klagomål.docx", "A 37502-2023")</f>
        <v/>
      </c>
      <c r="W1165">
        <f>HYPERLINK("https://klasma.github.io/Logging_2260/klagomålsmail/A 37502-2023 FSC-klagomål mail.docx", "A 37502-2023")</f>
        <v/>
      </c>
      <c r="X1165">
        <f>HYPERLINK("https://klasma.github.io/Logging_2260/tillsyn/A 37502-2023 tillsynsbegäran.docx", "A 37502-2023")</f>
        <v/>
      </c>
      <c r="Y1165">
        <f>HYPERLINK("https://klasma.github.io/Logging_2260/tillsynsmail/A 37502-2023 tillsynsbegäran mail.docx", "A 37502-2023")</f>
        <v/>
      </c>
    </row>
    <row r="1166" ht="15" customHeight="1">
      <c r="A1166" t="inlineStr">
        <is>
          <t>A 38089-2023</t>
        </is>
      </c>
      <c r="B1166" s="1" t="n">
        <v>45160</v>
      </c>
      <c r="C1166" s="1" t="n">
        <v>45657</v>
      </c>
      <c r="D1166" t="inlineStr">
        <is>
          <t>VÄSTERNORRLANDS LÄN</t>
        </is>
      </c>
      <c r="E1166" t="inlineStr">
        <is>
          <t>SOLLEFTEÅ</t>
        </is>
      </c>
      <c r="F1166" t="inlineStr">
        <is>
          <t>SCA</t>
        </is>
      </c>
      <c r="G1166" t="n">
        <v>4.3</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38089-2023 artfynd.xlsx", "A 38089-2023")</f>
        <v/>
      </c>
      <c r="T1166">
        <f>HYPERLINK("https://klasma.github.io/Logging_2283/kartor/A 38089-2023 karta.png", "A 38089-2023")</f>
        <v/>
      </c>
      <c r="V1166">
        <f>HYPERLINK("https://klasma.github.io/Logging_2283/klagomål/A 38089-2023 FSC-klagomål.docx", "A 38089-2023")</f>
        <v/>
      </c>
      <c r="W1166">
        <f>HYPERLINK("https://klasma.github.io/Logging_2283/klagomålsmail/A 38089-2023 FSC-klagomål mail.docx", "A 38089-2023")</f>
        <v/>
      </c>
      <c r="X1166">
        <f>HYPERLINK("https://klasma.github.io/Logging_2283/tillsyn/A 38089-2023 tillsynsbegäran.docx", "A 38089-2023")</f>
        <v/>
      </c>
      <c r="Y1166">
        <f>HYPERLINK("https://klasma.github.io/Logging_2283/tillsynsmail/A 38089-2023 tillsynsbegäran mail.docx", "A 38089-2023")</f>
        <v/>
      </c>
    </row>
    <row r="1167" ht="15" customHeight="1">
      <c r="A1167" t="inlineStr">
        <is>
          <t>A 38375-2023</t>
        </is>
      </c>
      <c r="B1167" s="1" t="n">
        <v>45161</v>
      </c>
      <c r="C1167" s="1" t="n">
        <v>45657</v>
      </c>
      <c r="D1167" t="inlineStr">
        <is>
          <t>VÄSTERNORRLANDS LÄN</t>
        </is>
      </c>
      <c r="E1167" t="inlineStr">
        <is>
          <t>SOLLEFTEÅ</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38375-2023 artfynd.xlsx", "A 38375-2023")</f>
        <v/>
      </c>
      <c r="T1167">
        <f>HYPERLINK("https://klasma.github.io/Logging_2283/kartor/A 38375-2023 karta.png", "A 38375-2023")</f>
        <v/>
      </c>
      <c r="V1167">
        <f>HYPERLINK("https://klasma.github.io/Logging_2283/klagomål/A 38375-2023 FSC-klagomål.docx", "A 38375-2023")</f>
        <v/>
      </c>
      <c r="W1167">
        <f>HYPERLINK("https://klasma.github.io/Logging_2283/klagomålsmail/A 38375-2023 FSC-klagomål mail.docx", "A 38375-2023")</f>
        <v/>
      </c>
      <c r="X1167">
        <f>HYPERLINK("https://klasma.github.io/Logging_2283/tillsyn/A 38375-2023 tillsynsbegäran.docx", "A 38375-2023")</f>
        <v/>
      </c>
      <c r="Y1167">
        <f>HYPERLINK("https://klasma.github.io/Logging_2283/tillsynsmail/A 38375-2023 tillsynsbegäran mail.docx", "A 38375-2023")</f>
        <v/>
      </c>
    </row>
    <row r="1168" ht="15" customHeight="1">
      <c r="A1168" t="inlineStr">
        <is>
          <t>A 38965-2023</t>
        </is>
      </c>
      <c r="B1168" s="1" t="n">
        <v>45163</v>
      </c>
      <c r="C1168" s="1" t="n">
        <v>45657</v>
      </c>
      <c r="D1168" t="inlineStr">
        <is>
          <t>VÄSTERNORRLANDS LÄN</t>
        </is>
      </c>
      <c r="E1168" t="inlineStr">
        <is>
          <t>ÖRNSKÖLDSVIK</t>
        </is>
      </c>
      <c r="F1168" t="inlineStr">
        <is>
          <t>Holmen skog AB</t>
        </is>
      </c>
      <c r="G1168" t="n">
        <v>5.5</v>
      </c>
      <c r="H1168" t="n">
        <v>0</v>
      </c>
      <c r="I1168" t="n">
        <v>0</v>
      </c>
      <c r="J1168" t="n">
        <v>1</v>
      </c>
      <c r="K1168" t="n">
        <v>0</v>
      </c>
      <c r="L1168" t="n">
        <v>0</v>
      </c>
      <c r="M1168" t="n">
        <v>0</v>
      </c>
      <c r="N1168" t="n">
        <v>0</v>
      </c>
      <c r="O1168" t="n">
        <v>1</v>
      </c>
      <c r="P1168" t="n">
        <v>0</v>
      </c>
      <c r="Q1168" t="n">
        <v>1</v>
      </c>
      <c r="R1168" s="2" t="inlineStr">
        <is>
          <t>Granticka</t>
        </is>
      </c>
      <c r="S1168">
        <f>HYPERLINK("https://klasma.github.io/Logging_2284/artfynd/A 38965-2023 artfynd.xlsx", "A 38965-2023")</f>
        <v/>
      </c>
      <c r="T1168">
        <f>HYPERLINK("https://klasma.github.io/Logging_2284/kartor/A 38965-2023 karta.png", "A 38965-2023")</f>
        <v/>
      </c>
      <c r="V1168">
        <f>HYPERLINK("https://klasma.github.io/Logging_2284/klagomål/A 38965-2023 FSC-klagomål.docx", "A 38965-2023")</f>
        <v/>
      </c>
      <c r="W1168">
        <f>HYPERLINK("https://klasma.github.io/Logging_2284/klagomålsmail/A 38965-2023 FSC-klagomål mail.docx", "A 38965-2023")</f>
        <v/>
      </c>
      <c r="X1168">
        <f>HYPERLINK("https://klasma.github.io/Logging_2284/tillsyn/A 38965-2023 tillsynsbegäran.docx", "A 38965-2023")</f>
        <v/>
      </c>
      <c r="Y1168">
        <f>HYPERLINK("https://klasma.github.io/Logging_2284/tillsynsmail/A 38965-2023 tillsynsbegäran mail.docx", "A 38965-2023")</f>
        <v/>
      </c>
    </row>
    <row r="1169" ht="15" customHeight="1">
      <c r="A1169" t="inlineStr">
        <is>
          <t>A 39043-2023</t>
        </is>
      </c>
      <c r="B1169" s="1" t="n">
        <v>45163</v>
      </c>
      <c r="C1169" s="1" t="n">
        <v>45657</v>
      </c>
      <c r="D1169" t="inlineStr">
        <is>
          <t>VÄSTERNORRLANDS LÄN</t>
        </is>
      </c>
      <c r="E1169" t="inlineStr">
        <is>
          <t>HÄRNÖSAND</t>
        </is>
      </c>
      <c r="G1169" t="n">
        <v>8.199999999999999</v>
      </c>
      <c r="H1169" t="n">
        <v>0</v>
      </c>
      <c r="I1169" t="n">
        <v>0</v>
      </c>
      <c r="J1169" t="n">
        <v>1</v>
      </c>
      <c r="K1169" t="n">
        <v>0</v>
      </c>
      <c r="L1169" t="n">
        <v>0</v>
      </c>
      <c r="M1169" t="n">
        <v>0</v>
      </c>
      <c r="N1169" t="n">
        <v>0</v>
      </c>
      <c r="O1169" t="n">
        <v>1</v>
      </c>
      <c r="P1169" t="n">
        <v>0</v>
      </c>
      <c r="Q1169" t="n">
        <v>1</v>
      </c>
      <c r="R1169" s="2" t="inlineStr">
        <is>
          <t>Ullticka</t>
        </is>
      </c>
      <c r="S1169">
        <f>HYPERLINK("https://klasma.github.io/Logging_2280/artfynd/A 39043-2023 artfynd.xlsx", "A 39043-2023")</f>
        <v/>
      </c>
      <c r="T1169">
        <f>HYPERLINK("https://klasma.github.io/Logging_2280/kartor/A 39043-2023 karta.png", "A 39043-2023")</f>
        <v/>
      </c>
      <c r="V1169">
        <f>HYPERLINK("https://klasma.github.io/Logging_2280/klagomål/A 39043-2023 FSC-klagomål.docx", "A 39043-2023")</f>
        <v/>
      </c>
      <c r="W1169">
        <f>HYPERLINK("https://klasma.github.io/Logging_2280/klagomålsmail/A 39043-2023 FSC-klagomål mail.docx", "A 39043-2023")</f>
        <v/>
      </c>
      <c r="X1169">
        <f>HYPERLINK("https://klasma.github.io/Logging_2280/tillsyn/A 39043-2023 tillsynsbegäran.docx", "A 39043-2023")</f>
        <v/>
      </c>
      <c r="Y1169">
        <f>HYPERLINK("https://klasma.github.io/Logging_2280/tillsynsmail/A 39043-2023 tillsynsbegäran mail.docx", "A 39043-2023")</f>
        <v/>
      </c>
    </row>
    <row r="1170" ht="15" customHeight="1">
      <c r="A1170" t="inlineStr">
        <is>
          <t>A 39141-2023</t>
        </is>
      </c>
      <c r="B1170" s="1" t="n">
        <v>45165</v>
      </c>
      <c r="C1170" s="1" t="n">
        <v>45657</v>
      </c>
      <c r="D1170" t="inlineStr">
        <is>
          <t>VÄSTERNORRLANDS LÄN</t>
        </is>
      </c>
      <c r="E1170" t="inlineStr">
        <is>
          <t>TIMRÅ</t>
        </is>
      </c>
      <c r="F1170" t="inlineStr">
        <is>
          <t>SCA</t>
        </is>
      </c>
      <c r="G1170" t="n">
        <v>11.3</v>
      </c>
      <c r="H1170" t="n">
        <v>1</v>
      </c>
      <c r="I1170" t="n">
        <v>1</v>
      </c>
      <c r="J1170" t="n">
        <v>0</v>
      </c>
      <c r="K1170" t="n">
        <v>0</v>
      </c>
      <c r="L1170" t="n">
        <v>0</v>
      </c>
      <c r="M1170" t="n">
        <v>0</v>
      </c>
      <c r="N1170" t="n">
        <v>0</v>
      </c>
      <c r="O1170" t="n">
        <v>0</v>
      </c>
      <c r="P1170" t="n">
        <v>0</v>
      </c>
      <c r="Q1170" t="n">
        <v>1</v>
      </c>
      <c r="R1170" s="2" t="inlineStr">
        <is>
          <t>Plattlummer</t>
        </is>
      </c>
      <c r="S1170">
        <f>HYPERLINK("https://klasma.github.io/Logging_2262/artfynd/A 39141-2023 artfynd.xlsx", "A 39141-2023")</f>
        <v/>
      </c>
      <c r="T1170">
        <f>HYPERLINK("https://klasma.github.io/Logging_2262/kartor/A 39141-2023 karta.png", "A 39141-2023")</f>
        <v/>
      </c>
      <c r="V1170">
        <f>HYPERLINK("https://klasma.github.io/Logging_2262/klagomål/A 39141-2023 FSC-klagomål.docx", "A 39141-2023")</f>
        <v/>
      </c>
      <c r="W1170">
        <f>HYPERLINK("https://klasma.github.io/Logging_2262/klagomålsmail/A 39141-2023 FSC-klagomål mail.docx", "A 39141-2023")</f>
        <v/>
      </c>
      <c r="X1170">
        <f>HYPERLINK("https://klasma.github.io/Logging_2262/tillsyn/A 39141-2023 tillsynsbegäran.docx", "A 39141-2023")</f>
        <v/>
      </c>
      <c r="Y1170">
        <f>HYPERLINK("https://klasma.github.io/Logging_2262/tillsynsmail/A 39141-2023 tillsynsbegäran mail.docx", "A 39141-2023")</f>
        <v/>
      </c>
    </row>
    <row r="1171" ht="15" customHeight="1">
      <c r="A1171" t="inlineStr">
        <is>
          <t>A 39499-2023</t>
        </is>
      </c>
      <c r="B1171" s="1" t="n">
        <v>45166</v>
      </c>
      <c r="C1171" s="1" t="n">
        <v>45657</v>
      </c>
      <c r="D1171" t="inlineStr">
        <is>
          <t>VÄSTERNORRLANDS LÄN</t>
        </is>
      </c>
      <c r="E1171" t="inlineStr">
        <is>
          <t>ÅNGE</t>
        </is>
      </c>
      <c r="F1171" t="inlineStr">
        <is>
          <t>SCA</t>
        </is>
      </c>
      <c r="G1171" t="n">
        <v>9</v>
      </c>
      <c r="H1171" t="n">
        <v>1</v>
      </c>
      <c r="I1171" t="n">
        <v>0</v>
      </c>
      <c r="J1171" t="n">
        <v>1</v>
      </c>
      <c r="K1171" t="n">
        <v>0</v>
      </c>
      <c r="L1171" t="n">
        <v>0</v>
      </c>
      <c r="M1171" t="n">
        <v>0</v>
      </c>
      <c r="N1171" t="n">
        <v>0</v>
      </c>
      <c r="O1171" t="n">
        <v>1</v>
      </c>
      <c r="P1171" t="n">
        <v>0</v>
      </c>
      <c r="Q1171" t="n">
        <v>1</v>
      </c>
      <c r="R1171" s="2" t="inlineStr">
        <is>
          <t>Rödvingetrast</t>
        </is>
      </c>
      <c r="S1171">
        <f>HYPERLINK("https://klasma.github.io/Logging_2260/artfynd/A 39499-2023 artfynd.xlsx", "A 39499-2023")</f>
        <v/>
      </c>
      <c r="T1171">
        <f>HYPERLINK("https://klasma.github.io/Logging_2260/kartor/A 39499-2023 karta.png", "A 39499-2023")</f>
        <v/>
      </c>
      <c r="V1171">
        <f>HYPERLINK("https://klasma.github.io/Logging_2260/klagomål/A 39499-2023 FSC-klagomål.docx", "A 39499-2023")</f>
        <v/>
      </c>
      <c r="W1171">
        <f>HYPERLINK("https://klasma.github.io/Logging_2260/klagomålsmail/A 39499-2023 FSC-klagomål mail.docx", "A 39499-2023")</f>
        <v/>
      </c>
      <c r="X1171">
        <f>HYPERLINK("https://klasma.github.io/Logging_2260/tillsyn/A 39499-2023 tillsynsbegäran.docx", "A 39499-2023")</f>
        <v/>
      </c>
      <c r="Y1171">
        <f>HYPERLINK("https://klasma.github.io/Logging_2260/tillsynsmail/A 39499-2023 tillsynsbegäran mail.docx", "A 39499-2023")</f>
        <v/>
      </c>
      <c r="Z1171">
        <f>HYPERLINK("https://klasma.github.io/Logging_2260/fåglar/A 39499-2023 prioriterade fågelarter.docx", "A 39499-2023")</f>
        <v/>
      </c>
    </row>
    <row r="1172" ht="15" customHeight="1">
      <c r="A1172" t="inlineStr">
        <is>
          <t>A 39565-2023</t>
        </is>
      </c>
      <c r="B1172" s="1" t="n">
        <v>45167</v>
      </c>
      <c r="C1172" s="1" t="n">
        <v>45657</v>
      </c>
      <c r="D1172" t="inlineStr">
        <is>
          <t>VÄSTERNORRLANDS LÄN</t>
        </is>
      </c>
      <c r="E1172" t="inlineStr">
        <is>
          <t>SOLLEFTEÅ</t>
        </is>
      </c>
      <c r="G1172" t="n">
        <v>3.2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39565-2023 artfynd.xlsx", "A 39565-2023")</f>
        <v/>
      </c>
      <c r="T1172">
        <f>HYPERLINK("https://klasma.github.io/Logging_2283/kartor/A 39565-2023 karta.png", "A 39565-2023")</f>
        <v/>
      </c>
      <c r="V1172">
        <f>HYPERLINK("https://klasma.github.io/Logging_2283/klagomål/A 39565-2023 FSC-klagomål.docx", "A 39565-2023")</f>
        <v/>
      </c>
      <c r="W1172">
        <f>HYPERLINK("https://klasma.github.io/Logging_2283/klagomålsmail/A 39565-2023 FSC-klagomål mail.docx", "A 39565-2023")</f>
        <v/>
      </c>
      <c r="X1172">
        <f>HYPERLINK("https://klasma.github.io/Logging_2283/tillsyn/A 39565-2023 tillsynsbegäran.docx", "A 39565-2023")</f>
        <v/>
      </c>
      <c r="Y1172">
        <f>HYPERLINK("https://klasma.github.io/Logging_2283/tillsynsmail/A 39565-2023 tillsynsbegäran mail.docx", "A 39565-2023")</f>
        <v/>
      </c>
    </row>
    <row r="1173" ht="15" customHeight="1">
      <c r="A1173" t="inlineStr">
        <is>
          <t>A 40059-2023</t>
        </is>
      </c>
      <c r="B1173" s="1" t="n">
        <v>45168</v>
      </c>
      <c r="C1173" s="1" t="n">
        <v>45657</v>
      </c>
      <c r="D1173" t="inlineStr">
        <is>
          <t>VÄSTERNORRLANDS LÄN</t>
        </is>
      </c>
      <c r="E1173" t="inlineStr">
        <is>
          <t>ÖRNSKÖLDSVIK</t>
        </is>
      </c>
      <c r="F1173" t="inlineStr">
        <is>
          <t>Holmen skog AB</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HYPERLINK("https://klasma.github.io/Logging_2284/artfynd/A 40059-2023 artfynd.xlsx", "A 40059-2023")</f>
        <v/>
      </c>
      <c r="T1173">
        <f>HYPERLINK("https://klasma.github.io/Logging_2284/kartor/A 40059-2023 karta.png", "A 40059-2023")</f>
        <v/>
      </c>
      <c r="V1173">
        <f>HYPERLINK("https://klasma.github.io/Logging_2284/klagomål/A 40059-2023 FSC-klagomål.docx", "A 40059-2023")</f>
        <v/>
      </c>
      <c r="W1173">
        <f>HYPERLINK("https://klasma.github.io/Logging_2284/klagomålsmail/A 40059-2023 FSC-klagomål mail.docx", "A 40059-2023")</f>
        <v/>
      </c>
      <c r="X1173">
        <f>HYPERLINK("https://klasma.github.io/Logging_2284/tillsyn/A 40059-2023 tillsynsbegäran.docx", "A 40059-2023")</f>
        <v/>
      </c>
      <c r="Y1173">
        <f>HYPERLINK("https://klasma.github.io/Logging_2284/tillsynsmail/A 40059-2023 tillsynsbegäran mail.docx", "A 40059-2023")</f>
        <v/>
      </c>
    </row>
    <row r="1174" ht="15" customHeight="1">
      <c r="A1174" t="inlineStr">
        <is>
          <t>A 40776-2023</t>
        </is>
      </c>
      <c r="B1174" s="1" t="n">
        <v>45170</v>
      </c>
      <c r="C1174" s="1" t="n">
        <v>45657</v>
      </c>
      <c r="D1174" t="inlineStr">
        <is>
          <t>VÄSTERNORRLANDS LÄN</t>
        </is>
      </c>
      <c r="E1174" t="inlineStr">
        <is>
          <t>ÅNGE</t>
        </is>
      </c>
      <c r="F1174" t="inlineStr">
        <is>
          <t>SCA</t>
        </is>
      </c>
      <c r="G1174" t="n">
        <v>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HYPERLINK("https://klasma.github.io/Logging_2260/artfynd/A 40776-2023 artfynd.xlsx", "A 40776-2023")</f>
        <v/>
      </c>
      <c r="T1174">
        <f>HYPERLINK("https://klasma.github.io/Logging_2260/kartor/A 40776-2023 karta.png", "A 40776-2023")</f>
        <v/>
      </c>
      <c r="V1174">
        <f>HYPERLINK("https://klasma.github.io/Logging_2260/klagomål/A 40776-2023 FSC-klagomål.docx", "A 40776-2023")</f>
        <v/>
      </c>
      <c r="W1174">
        <f>HYPERLINK("https://klasma.github.io/Logging_2260/klagomålsmail/A 40776-2023 FSC-klagomål mail.docx", "A 40776-2023")</f>
        <v/>
      </c>
      <c r="X1174">
        <f>HYPERLINK("https://klasma.github.io/Logging_2260/tillsyn/A 40776-2023 tillsynsbegäran.docx", "A 40776-2023")</f>
        <v/>
      </c>
      <c r="Y1174">
        <f>HYPERLINK("https://klasma.github.io/Logging_2260/tillsynsmail/A 40776-2023 tillsynsbegäran mail.docx", "A 40776-2023")</f>
        <v/>
      </c>
      <c r="Z1174">
        <f>HYPERLINK("https://klasma.github.io/Logging_2260/fåglar/A 40776-2023 prioriterade fågelarter.docx", "A 40776-2023")</f>
        <v/>
      </c>
    </row>
    <row r="1175" ht="15" customHeight="1">
      <c r="A1175" t="inlineStr">
        <is>
          <t>A 42565-2023</t>
        </is>
      </c>
      <c r="B1175" s="1" t="n">
        <v>45176</v>
      </c>
      <c r="C1175" s="1" t="n">
        <v>45657</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43424-2023</t>
        </is>
      </c>
      <c r="B1176" s="1" t="n">
        <v>45183</v>
      </c>
      <c r="C1176" s="1" t="n">
        <v>45657</v>
      </c>
      <c r="D1176" t="inlineStr">
        <is>
          <t>VÄSTERNORRLANDS LÄN</t>
        </is>
      </c>
      <c r="E1176" t="inlineStr">
        <is>
          <t>SUNDSVALL</t>
        </is>
      </c>
      <c r="F1176" t="inlineStr">
        <is>
          <t>SCA</t>
        </is>
      </c>
      <c r="G1176" t="n">
        <v>2.8</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43424-2023 artfynd.xlsx", "A 43424-2023")</f>
        <v/>
      </c>
      <c r="T1176">
        <f>HYPERLINK("https://klasma.github.io/Logging_2281/kartor/A 43424-2023 karta.png", "A 43424-2023")</f>
        <v/>
      </c>
      <c r="V1176">
        <f>HYPERLINK("https://klasma.github.io/Logging_2281/klagomål/A 43424-2023 FSC-klagomål.docx", "A 43424-2023")</f>
        <v/>
      </c>
      <c r="W1176">
        <f>HYPERLINK("https://klasma.github.io/Logging_2281/klagomålsmail/A 43424-2023 FSC-klagomål mail.docx", "A 43424-2023")</f>
        <v/>
      </c>
      <c r="X1176">
        <f>HYPERLINK("https://klasma.github.io/Logging_2281/tillsyn/A 43424-2023 tillsynsbegäran.docx", "A 43424-2023")</f>
        <v/>
      </c>
      <c r="Y1176">
        <f>HYPERLINK("https://klasma.github.io/Logging_2281/tillsynsmail/A 43424-2023 tillsynsbegäran mail.docx", "A 43424-2023")</f>
        <v/>
      </c>
    </row>
    <row r="1177" ht="15" customHeight="1">
      <c r="A1177" t="inlineStr">
        <is>
          <t>A 44193-2023</t>
        </is>
      </c>
      <c r="B1177" s="1" t="n">
        <v>45188</v>
      </c>
      <c r="C1177" s="1" t="n">
        <v>45657</v>
      </c>
      <c r="D1177" t="inlineStr">
        <is>
          <t>VÄSTERNORRLANDS LÄN</t>
        </is>
      </c>
      <c r="E1177" t="inlineStr">
        <is>
          <t>SUNDSVALL</t>
        </is>
      </c>
      <c r="F1177" t="inlineStr">
        <is>
          <t>Holmen skog AB</t>
        </is>
      </c>
      <c r="G1177" t="n">
        <v>15.1</v>
      </c>
      <c r="H1177" t="n">
        <v>1</v>
      </c>
      <c r="I1177" t="n">
        <v>0</v>
      </c>
      <c r="J1177" t="n">
        <v>0</v>
      </c>
      <c r="K1177" t="n">
        <v>0</v>
      </c>
      <c r="L1177" t="n">
        <v>0</v>
      </c>
      <c r="M1177" t="n">
        <v>0</v>
      </c>
      <c r="N1177" t="n">
        <v>0</v>
      </c>
      <c r="O1177" t="n">
        <v>0</v>
      </c>
      <c r="P1177" t="n">
        <v>0</v>
      </c>
      <c r="Q1177" t="n">
        <v>1</v>
      </c>
      <c r="R1177" s="2" t="inlineStr">
        <is>
          <t>Tjäder</t>
        </is>
      </c>
      <c r="S1177">
        <f>HYPERLINK("https://klasma.github.io/Logging_2281/artfynd/A 44193-2023 artfynd.xlsx", "A 44193-2023")</f>
        <v/>
      </c>
      <c r="T1177">
        <f>HYPERLINK("https://klasma.github.io/Logging_2281/kartor/A 44193-2023 karta.png", "A 44193-2023")</f>
        <v/>
      </c>
      <c r="V1177">
        <f>HYPERLINK("https://klasma.github.io/Logging_2281/klagomål/A 44193-2023 FSC-klagomål.docx", "A 44193-2023")</f>
        <v/>
      </c>
      <c r="W1177">
        <f>HYPERLINK("https://klasma.github.io/Logging_2281/klagomålsmail/A 44193-2023 FSC-klagomål mail.docx", "A 44193-2023")</f>
        <v/>
      </c>
      <c r="X1177">
        <f>HYPERLINK("https://klasma.github.io/Logging_2281/tillsyn/A 44193-2023 tillsynsbegäran.docx", "A 44193-2023")</f>
        <v/>
      </c>
      <c r="Y1177">
        <f>HYPERLINK("https://klasma.github.io/Logging_2281/tillsynsmail/A 44193-2023 tillsynsbegäran mail.docx", "A 44193-2023")</f>
        <v/>
      </c>
      <c r="Z1177">
        <f>HYPERLINK("https://klasma.github.io/Logging_2281/fåglar/A 44193-2023 prioriterade fågelarter.docx", "A 44193-2023")</f>
        <v/>
      </c>
    </row>
    <row r="1178" ht="15" customHeight="1">
      <c r="A1178" t="inlineStr">
        <is>
          <t>A 45018-2023</t>
        </is>
      </c>
      <c r="B1178" s="1" t="n">
        <v>45190</v>
      </c>
      <c r="C1178" s="1" t="n">
        <v>45657</v>
      </c>
      <c r="D1178" t="inlineStr">
        <is>
          <t>VÄSTERNORRLANDS LÄN</t>
        </is>
      </c>
      <c r="E1178" t="inlineStr">
        <is>
          <t>ÅNGE</t>
        </is>
      </c>
      <c r="F1178" t="inlineStr">
        <is>
          <t>SCA</t>
        </is>
      </c>
      <c r="G1178" t="n">
        <v>4.8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45018-2023 artfynd.xlsx", "A 45018-2023")</f>
        <v/>
      </c>
      <c r="T1178">
        <f>HYPERLINK("https://klasma.github.io/Logging_2260/kartor/A 45018-2023 karta.png", "A 45018-2023")</f>
        <v/>
      </c>
      <c r="U1178">
        <f>HYPERLINK("https://klasma.github.io/Logging_2260/knärot/A 45018-2023 karta knärot.png", "A 45018-2023")</f>
        <v/>
      </c>
      <c r="V1178">
        <f>HYPERLINK("https://klasma.github.io/Logging_2260/klagomål/A 45018-2023 FSC-klagomål.docx", "A 45018-2023")</f>
        <v/>
      </c>
      <c r="W1178">
        <f>HYPERLINK("https://klasma.github.io/Logging_2260/klagomålsmail/A 45018-2023 FSC-klagomål mail.docx", "A 45018-2023")</f>
        <v/>
      </c>
      <c r="X1178">
        <f>HYPERLINK("https://klasma.github.io/Logging_2260/tillsyn/A 45018-2023 tillsynsbegäran.docx", "A 45018-2023")</f>
        <v/>
      </c>
      <c r="Y1178">
        <f>HYPERLINK("https://klasma.github.io/Logging_2260/tillsynsmail/A 45018-2023 tillsynsbegäran mail.docx", "A 45018-2023")</f>
        <v/>
      </c>
    </row>
    <row r="1179" ht="15" customHeight="1">
      <c r="A1179" t="inlineStr">
        <is>
          <t>A 46203-2023</t>
        </is>
      </c>
      <c r="B1179" s="1" t="n">
        <v>45190</v>
      </c>
      <c r="C1179" s="1" t="n">
        <v>45657</v>
      </c>
      <c r="D1179" t="inlineStr">
        <is>
          <t>VÄSTERNORRLANDS LÄN</t>
        </is>
      </c>
      <c r="E1179" t="inlineStr">
        <is>
          <t>SOLLEFTEÅ</t>
        </is>
      </c>
      <c r="G1179" t="n">
        <v>13</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46203-2023 artfynd.xlsx", "A 46203-2023")</f>
        <v/>
      </c>
      <c r="T1179">
        <f>HYPERLINK("https://klasma.github.io/Logging_2283/kartor/A 46203-2023 karta.png", "A 46203-2023")</f>
        <v/>
      </c>
      <c r="V1179">
        <f>HYPERLINK("https://klasma.github.io/Logging_2283/klagomål/A 46203-2023 FSC-klagomål.docx", "A 46203-2023")</f>
        <v/>
      </c>
      <c r="W1179">
        <f>HYPERLINK("https://klasma.github.io/Logging_2283/klagomålsmail/A 46203-2023 FSC-klagomål mail.docx", "A 46203-2023")</f>
        <v/>
      </c>
      <c r="X1179">
        <f>HYPERLINK("https://klasma.github.io/Logging_2283/tillsyn/A 46203-2023 tillsynsbegäran.docx", "A 46203-2023")</f>
        <v/>
      </c>
      <c r="Y1179">
        <f>HYPERLINK("https://klasma.github.io/Logging_2283/tillsynsmail/A 46203-2023 tillsynsbegäran mail.docx", "A 46203-2023")</f>
        <v/>
      </c>
    </row>
    <row r="1180" ht="15" customHeight="1">
      <c r="A1180" t="inlineStr">
        <is>
          <t>A 45947-2023</t>
        </is>
      </c>
      <c r="B1180" s="1" t="n">
        <v>45195</v>
      </c>
      <c r="C1180" s="1" t="n">
        <v>45657</v>
      </c>
      <c r="D1180" t="inlineStr">
        <is>
          <t>VÄSTERNORRLANDS LÄN</t>
        </is>
      </c>
      <c r="E1180" t="inlineStr">
        <is>
          <t>KRAMFORS</t>
        </is>
      </c>
      <c r="F1180" t="inlineStr">
        <is>
          <t>SCA</t>
        </is>
      </c>
      <c r="G1180" t="n">
        <v>1.7</v>
      </c>
      <c r="H1180" t="n">
        <v>0</v>
      </c>
      <c r="I1180" t="n">
        <v>1</v>
      </c>
      <c r="J1180" t="n">
        <v>0</v>
      </c>
      <c r="K1180" t="n">
        <v>0</v>
      </c>
      <c r="L1180" t="n">
        <v>0</v>
      </c>
      <c r="M1180" t="n">
        <v>0</v>
      </c>
      <c r="N1180" t="n">
        <v>0</v>
      </c>
      <c r="O1180" t="n">
        <v>0</v>
      </c>
      <c r="P1180" t="n">
        <v>0</v>
      </c>
      <c r="Q1180" t="n">
        <v>1</v>
      </c>
      <c r="R1180" s="2" t="inlineStr">
        <is>
          <t>Kattfotslav</t>
        </is>
      </c>
      <c r="S1180">
        <f>HYPERLINK("https://klasma.github.io/Logging_2282/artfynd/A 45947-2023 artfynd.xlsx", "A 45947-2023")</f>
        <v/>
      </c>
      <c r="T1180">
        <f>HYPERLINK("https://klasma.github.io/Logging_2282/kartor/A 45947-2023 karta.png", "A 45947-2023")</f>
        <v/>
      </c>
      <c r="V1180">
        <f>HYPERLINK("https://klasma.github.io/Logging_2282/klagomål/A 45947-2023 FSC-klagomål.docx", "A 45947-2023")</f>
        <v/>
      </c>
      <c r="W1180">
        <f>HYPERLINK("https://klasma.github.io/Logging_2282/klagomålsmail/A 45947-2023 FSC-klagomål mail.docx", "A 45947-2023")</f>
        <v/>
      </c>
      <c r="X1180">
        <f>HYPERLINK("https://klasma.github.io/Logging_2282/tillsyn/A 45947-2023 tillsynsbegäran.docx", "A 45947-2023")</f>
        <v/>
      </c>
      <c r="Y1180">
        <f>HYPERLINK("https://klasma.github.io/Logging_2282/tillsynsmail/A 45947-2023 tillsynsbegäran mail.docx", "A 45947-2023")</f>
        <v/>
      </c>
    </row>
    <row r="1181" ht="15" customHeight="1">
      <c r="A1181" t="inlineStr">
        <is>
          <t>A 46260-2023</t>
        </is>
      </c>
      <c r="B1181" s="1" t="n">
        <v>45196</v>
      </c>
      <c r="C1181" s="1" t="n">
        <v>45657</v>
      </c>
      <c r="D1181" t="inlineStr">
        <is>
          <t>VÄSTERNORRLANDS LÄN</t>
        </is>
      </c>
      <c r="E1181" t="inlineStr">
        <is>
          <t>SUNDSVALL</t>
        </is>
      </c>
      <c r="F1181" t="inlineStr">
        <is>
          <t>SCA</t>
        </is>
      </c>
      <c r="G1181" t="n">
        <v>3</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46260-2023 artfynd.xlsx", "A 46260-2023")</f>
        <v/>
      </c>
      <c r="T1181">
        <f>HYPERLINK("https://klasma.github.io/Logging_2281/kartor/A 46260-2023 karta.png", "A 46260-2023")</f>
        <v/>
      </c>
      <c r="V1181">
        <f>HYPERLINK("https://klasma.github.io/Logging_2281/klagomål/A 46260-2023 FSC-klagomål.docx", "A 46260-2023")</f>
        <v/>
      </c>
      <c r="W1181">
        <f>HYPERLINK("https://klasma.github.io/Logging_2281/klagomålsmail/A 46260-2023 FSC-klagomål mail.docx", "A 46260-2023")</f>
        <v/>
      </c>
      <c r="X1181">
        <f>HYPERLINK("https://klasma.github.io/Logging_2281/tillsyn/A 46260-2023 tillsynsbegäran.docx", "A 46260-2023")</f>
        <v/>
      </c>
      <c r="Y1181">
        <f>HYPERLINK("https://klasma.github.io/Logging_2281/tillsynsmail/A 46260-2023 tillsynsbegäran mail.docx", "A 46260-2023")</f>
        <v/>
      </c>
      <c r="Z1181">
        <f>HYPERLINK("https://klasma.github.io/Logging_2281/fåglar/A 46260-2023 prioriterade fågelarter.docx", "A 46260-2023")</f>
        <v/>
      </c>
    </row>
    <row r="1182" ht="15" customHeight="1">
      <c r="A1182" t="inlineStr">
        <is>
          <t>A 47245-2023</t>
        </is>
      </c>
      <c r="B1182" s="1" t="n">
        <v>45202</v>
      </c>
      <c r="C1182" s="1" t="n">
        <v>45657</v>
      </c>
      <c r="D1182" t="inlineStr">
        <is>
          <t>VÄSTERNORRLANDS LÄN</t>
        </is>
      </c>
      <c r="E1182" t="inlineStr">
        <is>
          <t>SUNDSVALL</t>
        </is>
      </c>
      <c r="G1182" t="n">
        <v>1.6</v>
      </c>
      <c r="H1182" t="n">
        <v>1</v>
      </c>
      <c r="I1182" t="n">
        <v>1</v>
      </c>
      <c r="J1182" t="n">
        <v>0</v>
      </c>
      <c r="K1182" t="n">
        <v>0</v>
      </c>
      <c r="L1182" t="n">
        <v>0</v>
      </c>
      <c r="M1182" t="n">
        <v>0</v>
      </c>
      <c r="N1182" t="n">
        <v>0</v>
      </c>
      <c r="O1182" t="n">
        <v>0</v>
      </c>
      <c r="P1182" t="n">
        <v>0</v>
      </c>
      <c r="Q1182" t="n">
        <v>1</v>
      </c>
      <c r="R1182" s="2" t="inlineStr">
        <is>
          <t>Tvåblad</t>
        </is>
      </c>
      <c r="S1182">
        <f>HYPERLINK("https://klasma.github.io/Logging_2281/artfynd/A 47245-2023 artfynd.xlsx", "A 47245-2023")</f>
        <v/>
      </c>
      <c r="T1182">
        <f>HYPERLINK("https://klasma.github.io/Logging_2281/kartor/A 47245-2023 karta.png", "A 47245-2023")</f>
        <v/>
      </c>
      <c r="V1182">
        <f>HYPERLINK("https://klasma.github.io/Logging_2281/klagomål/A 47245-2023 FSC-klagomål.docx", "A 47245-2023")</f>
        <v/>
      </c>
      <c r="W1182">
        <f>HYPERLINK("https://klasma.github.io/Logging_2281/klagomålsmail/A 47245-2023 FSC-klagomål mail.docx", "A 47245-2023")</f>
        <v/>
      </c>
      <c r="X1182">
        <f>HYPERLINK("https://klasma.github.io/Logging_2281/tillsyn/A 47245-2023 tillsynsbegäran.docx", "A 47245-2023")</f>
        <v/>
      </c>
      <c r="Y1182">
        <f>HYPERLINK("https://klasma.github.io/Logging_2281/tillsynsmail/A 47245-2023 tillsynsbegäran mail.docx", "A 47245-2023")</f>
        <v/>
      </c>
    </row>
    <row r="1183" ht="15" customHeight="1">
      <c r="A1183" t="inlineStr">
        <is>
          <t>A 47793-2023</t>
        </is>
      </c>
      <c r="B1183" s="1" t="n">
        <v>45203</v>
      </c>
      <c r="C1183" s="1" t="n">
        <v>45657</v>
      </c>
      <c r="D1183" t="inlineStr">
        <is>
          <t>VÄSTERNORRLANDS LÄN</t>
        </is>
      </c>
      <c r="E1183" t="inlineStr">
        <is>
          <t>TIMRÅ</t>
        </is>
      </c>
      <c r="F1183" t="inlineStr">
        <is>
          <t>SCA</t>
        </is>
      </c>
      <c r="G1183" t="n">
        <v>9.699999999999999</v>
      </c>
      <c r="H1183" t="n">
        <v>1</v>
      </c>
      <c r="I1183" t="n">
        <v>0</v>
      </c>
      <c r="J1183" t="n">
        <v>0</v>
      </c>
      <c r="K1183" t="n">
        <v>0</v>
      </c>
      <c r="L1183" t="n">
        <v>0</v>
      </c>
      <c r="M1183" t="n">
        <v>0</v>
      </c>
      <c r="N1183" t="n">
        <v>0</v>
      </c>
      <c r="O1183" t="n">
        <v>0</v>
      </c>
      <c r="P1183" t="n">
        <v>0</v>
      </c>
      <c r="Q1183" t="n">
        <v>1</v>
      </c>
      <c r="R1183" s="2" t="inlineStr">
        <is>
          <t>Revlummer</t>
        </is>
      </c>
      <c r="S1183">
        <f>HYPERLINK("https://klasma.github.io/Logging_2262/artfynd/A 47793-2023 artfynd.xlsx", "A 47793-2023")</f>
        <v/>
      </c>
      <c r="T1183">
        <f>HYPERLINK("https://klasma.github.io/Logging_2262/kartor/A 47793-2023 karta.png", "A 47793-2023")</f>
        <v/>
      </c>
      <c r="V1183">
        <f>HYPERLINK("https://klasma.github.io/Logging_2262/klagomål/A 47793-2023 FSC-klagomål.docx", "A 47793-2023")</f>
        <v/>
      </c>
      <c r="W1183">
        <f>HYPERLINK("https://klasma.github.io/Logging_2262/klagomålsmail/A 47793-2023 FSC-klagomål mail.docx", "A 47793-2023")</f>
        <v/>
      </c>
      <c r="X1183">
        <f>HYPERLINK("https://klasma.github.io/Logging_2262/tillsyn/A 47793-2023 tillsynsbegäran.docx", "A 47793-2023")</f>
        <v/>
      </c>
      <c r="Y1183">
        <f>HYPERLINK("https://klasma.github.io/Logging_2262/tillsynsmail/A 47793-2023 tillsynsbegäran mail.docx", "A 47793-2023")</f>
        <v/>
      </c>
    </row>
    <row r="1184" ht="15" customHeight="1">
      <c r="A1184" t="inlineStr">
        <is>
          <t>A 47792-2023</t>
        </is>
      </c>
      <c r="B1184" s="1" t="n">
        <v>45203</v>
      </c>
      <c r="C1184" s="1" t="n">
        <v>45657</v>
      </c>
      <c r="D1184" t="inlineStr">
        <is>
          <t>VÄSTERNORRLANDS LÄN</t>
        </is>
      </c>
      <c r="E1184" t="inlineStr">
        <is>
          <t>TIMRÅ</t>
        </is>
      </c>
      <c r="F1184" t="inlineStr">
        <is>
          <t>SCA</t>
        </is>
      </c>
      <c r="G1184" t="n">
        <v>4.1</v>
      </c>
      <c r="H1184" t="n">
        <v>0</v>
      </c>
      <c r="I1184" t="n">
        <v>1</v>
      </c>
      <c r="J1184" t="n">
        <v>0</v>
      </c>
      <c r="K1184" t="n">
        <v>0</v>
      </c>
      <c r="L1184" t="n">
        <v>0</v>
      </c>
      <c r="M1184" t="n">
        <v>0</v>
      </c>
      <c r="N1184" t="n">
        <v>0</v>
      </c>
      <c r="O1184" t="n">
        <v>0</v>
      </c>
      <c r="P1184" t="n">
        <v>0</v>
      </c>
      <c r="Q1184" t="n">
        <v>1</v>
      </c>
      <c r="R1184" s="2" t="inlineStr">
        <is>
          <t>Gräsull</t>
        </is>
      </c>
      <c r="S1184">
        <f>HYPERLINK("https://klasma.github.io/Logging_2262/artfynd/A 47792-2023 artfynd.xlsx", "A 47792-2023")</f>
        <v/>
      </c>
      <c r="T1184">
        <f>HYPERLINK("https://klasma.github.io/Logging_2262/kartor/A 47792-2023 karta.png", "A 47792-2023")</f>
        <v/>
      </c>
      <c r="V1184">
        <f>HYPERLINK("https://klasma.github.io/Logging_2262/klagomål/A 47792-2023 FSC-klagomål.docx", "A 47792-2023")</f>
        <v/>
      </c>
      <c r="W1184">
        <f>HYPERLINK("https://klasma.github.io/Logging_2262/klagomålsmail/A 47792-2023 FSC-klagomål mail.docx", "A 47792-2023")</f>
        <v/>
      </c>
      <c r="X1184">
        <f>HYPERLINK("https://klasma.github.io/Logging_2262/tillsyn/A 47792-2023 tillsynsbegäran.docx", "A 47792-2023")</f>
        <v/>
      </c>
      <c r="Y1184">
        <f>HYPERLINK("https://klasma.github.io/Logging_2262/tillsynsmail/A 47792-2023 tillsynsbegäran mail.docx", "A 47792-2023")</f>
        <v/>
      </c>
    </row>
    <row r="1185" ht="15" customHeight="1">
      <c r="A1185" t="inlineStr">
        <is>
          <t>A 47839-2023</t>
        </is>
      </c>
      <c r="B1185" s="1" t="n">
        <v>45204</v>
      </c>
      <c r="C1185" s="1" t="n">
        <v>45657</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47839-2023 artfynd.xlsx", "A 47839-2023")</f>
        <v/>
      </c>
      <c r="T1185">
        <f>HYPERLINK("https://klasma.github.io/Logging_2284/kartor/A 47839-2023 karta.png", "A 47839-2023")</f>
        <v/>
      </c>
      <c r="V1185">
        <f>HYPERLINK("https://klasma.github.io/Logging_2284/klagomål/A 47839-2023 FSC-klagomål.docx", "A 47839-2023")</f>
        <v/>
      </c>
      <c r="W1185">
        <f>HYPERLINK("https://klasma.github.io/Logging_2284/klagomålsmail/A 47839-2023 FSC-klagomål mail.docx", "A 47839-2023")</f>
        <v/>
      </c>
      <c r="X1185">
        <f>HYPERLINK("https://klasma.github.io/Logging_2284/tillsyn/A 47839-2023 tillsynsbegäran.docx", "A 47839-2023")</f>
        <v/>
      </c>
      <c r="Y1185">
        <f>HYPERLINK("https://klasma.github.io/Logging_2284/tillsynsmail/A 47839-2023 tillsynsbegäran mail.docx", "A 47839-2023")</f>
        <v/>
      </c>
    </row>
    <row r="1186" ht="15" customHeight="1">
      <c r="A1186" t="inlineStr">
        <is>
          <t>A 47930-2023</t>
        </is>
      </c>
      <c r="B1186" s="1" t="n">
        <v>45204</v>
      </c>
      <c r="C1186" s="1" t="n">
        <v>45657</v>
      </c>
      <c r="D1186" t="inlineStr">
        <is>
          <t>VÄSTERNORRLANDS LÄN</t>
        </is>
      </c>
      <c r="E1186" t="inlineStr">
        <is>
          <t>ÖRNSKÖLDSVIK</t>
        </is>
      </c>
      <c r="F1186" t="inlineStr">
        <is>
          <t>Holmen skog AB</t>
        </is>
      </c>
      <c r="G1186" t="n">
        <v>17.1</v>
      </c>
      <c r="H1186" t="n">
        <v>1</v>
      </c>
      <c r="I1186" t="n">
        <v>0</v>
      </c>
      <c r="J1186" t="n">
        <v>0</v>
      </c>
      <c r="K1186" t="n">
        <v>1</v>
      </c>
      <c r="L1186" t="n">
        <v>0</v>
      </c>
      <c r="M1186" t="n">
        <v>0</v>
      </c>
      <c r="N1186" t="n">
        <v>0</v>
      </c>
      <c r="O1186" t="n">
        <v>1</v>
      </c>
      <c r="P1186" t="n">
        <v>1</v>
      </c>
      <c r="Q1186" t="n">
        <v>1</v>
      </c>
      <c r="R1186" s="2" t="inlineStr">
        <is>
          <t>Doftticka</t>
        </is>
      </c>
      <c r="S1186">
        <f>HYPERLINK("https://klasma.github.io/Logging_2284/artfynd/A 47930-2023 artfynd.xlsx", "A 47930-2023")</f>
        <v/>
      </c>
      <c r="T1186">
        <f>HYPERLINK("https://klasma.github.io/Logging_2284/kartor/A 47930-2023 karta.png", "A 47930-2023")</f>
        <v/>
      </c>
      <c r="V1186">
        <f>HYPERLINK("https://klasma.github.io/Logging_2284/klagomål/A 47930-2023 FSC-klagomål.docx", "A 47930-2023")</f>
        <v/>
      </c>
      <c r="W1186">
        <f>HYPERLINK("https://klasma.github.io/Logging_2284/klagomålsmail/A 47930-2023 FSC-klagomål mail.docx", "A 47930-2023")</f>
        <v/>
      </c>
      <c r="X1186">
        <f>HYPERLINK("https://klasma.github.io/Logging_2284/tillsyn/A 47930-2023 tillsynsbegäran.docx", "A 47930-2023")</f>
        <v/>
      </c>
      <c r="Y1186">
        <f>HYPERLINK("https://klasma.github.io/Logging_2284/tillsynsmail/A 47930-2023 tillsynsbegäran mail.docx", "A 47930-2023")</f>
        <v/>
      </c>
    </row>
    <row r="1187" ht="15" customHeight="1">
      <c r="A1187" t="inlineStr">
        <is>
          <t>A 48087-2023</t>
        </is>
      </c>
      <c r="B1187" s="1" t="n">
        <v>45204</v>
      </c>
      <c r="C1187" s="1" t="n">
        <v>45657</v>
      </c>
      <c r="D1187" t="inlineStr">
        <is>
          <t>VÄSTERNORRLANDS LÄN</t>
        </is>
      </c>
      <c r="E1187" t="inlineStr">
        <is>
          <t>SOLLEFTEÅ</t>
        </is>
      </c>
      <c r="F1187" t="inlineStr">
        <is>
          <t>SCA</t>
        </is>
      </c>
      <c r="G1187" t="n">
        <v>0.6</v>
      </c>
      <c r="H1187" t="n">
        <v>0</v>
      </c>
      <c r="I1187" t="n">
        <v>0</v>
      </c>
      <c r="J1187" t="n">
        <v>1</v>
      </c>
      <c r="K1187" t="n">
        <v>0</v>
      </c>
      <c r="L1187" t="n">
        <v>0</v>
      </c>
      <c r="M1187" t="n">
        <v>0</v>
      </c>
      <c r="N1187" t="n">
        <v>0</v>
      </c>
      <c r="O1187" t="n">
        <v>1</v>
      </c>
      <c r="P1187" t="n">
        <v>0</v>
      </c>
      <c r="Q1187" t="n">
        <v>1</v>
      </c>
      <c r="R1187" s="2" t="inlineStr">
        <is>
          <t>Doftskinn</t>
        </is>
      </c>
      <c r="S1187">
        <f>HYPERLINK("https://klasma.github.io/Logging_2283/artfynd/A 48087-2023 artfynd.xlsx", "A 48087-2023")</f>
        <v/>
      </c>
      <c r="T1187">
        <f>HYPERLINK("https://klasma.github.io/Logging_2283/kartor/A 48087-2023 karta.png", "A 48087-2023")</f>
        <v/>
      </c>
      <c r="V1187">
        <f>HYPERLINK("https://klasma.github.io/Logging_2283/klagomål/A 48087-2023 FSC-klagomål.docx", "A 48087-2023")</f>
        <v/>
      </c>
      <c r="W1187">
        <f>HYPERLINK("https://klasma.github.io/Logging_2283/klagomålsmail/A 48087-2023 FSC-klagomål mail.docx", "A 48087-2023")</f>
        <v/>
      </c>
      <c r="X1187">
        <f>HYPERLINK("https://klasma.github.io/Logging_2283/tillsyn/A 48087-2023 tillsynsbegäran.docx", "A 48087-2023")</f>
        <v/>
      </c>
      <c r="Y1187">
        <f>HYPERLINK("https://klasma.github.io/Logging_2283/tillsynsmail/A 48087-2023 tillsynsbegäran mail.docx", "A 48087-2023")</f>
        <v/>
      </c>
    </row>
    <row r="1188" ht="15" customHeight="1">
      <c r="A1188" t="inlineStr">
        <is>
          <t>A 48970-2023</t>
        </is>
      </c>
      <c r="B1188" s="1" t="n">
        <v>45204</v>
      </c>
      <c r="C1188" s="1" t="n">
        <v>45657</v>
      </c>
      <c r="D1188" t="inlineStr">
        <is>
          <t>VÄSTERNORRLANDS LÄN</t>
        </is>
      </c>
      <c r="E1188" t="inlineStr">
        <is>
          <t>KRAMFORS</t>
        </is>
      </c>
      <c r="G1188" t="n">
        <v>3.9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HYPERLINK("https://klasma.github.io/Logging_2282/artfynd/A 48970-2023 artfynd.xlsx", "A 48970-2023")</f>
        <v/>
      </c>
      <c r="T1188">
        <f>HYPERLINK("https://klasma.github.io/Logging_2282/kartor/A 48970-2023 karta.png", "A 48970-2023")</f>
        <v/>
      </c>
      <c r="V1188">
        <f>HYPERLINK("https://klasma.github.io/Logging_2282/klagomål/A 48970-2023 FSC-klagomål.docx", "A 48970-2023")</f>
        <v/>
      </c>
      <c r="W1188">
        <f>HYPERLINK("https://klasma.github.io/Logging_2282/klagomålsmail/A 48970-2023 FSC-klagomål mail.docx", "A 48970-2023")</f>
        <v/>
      </c>
      <c r="X1188">
        <f>HYPERLINK("https://klasma.github.io/Logging_2282/tillsyn/A 48970-2023 tillsynsbegäran.docx", "A 48970-2023")</f>
        <v/>
      </c>
      <c r="Y1188">
        <f>HYPERLINK("https://klasma.github.io/Logging_2282/tillsynsmail/A 48970-2023 tillsynsbegäran mail.docx", "A 48970-2023")</f>
        <v/>
      </c>
      <c r="Z1188">
        <f>HYPERLINK("https://klasma.github.io/Logging_2282/fåglar/A 48970-2023 prioriterade fågelarter.docx", "A 48970-2023")</f>
        <v/>
      </c>
    </row>
    <row r="1189" ht="15" customHeight="1">
      <c r="A1189" t="inlineStr">
        <is>
          <t>A 49058-2023</t>
        </is>
      </c>
      <c r="B1189" s="1" t="n">
        <v>45204</v>
      </c>
      <c r="C1189" s="1" t="n">
        <v>45657</v>
      </c>
      <c r="D1189" t="inlineStr">
        <is>
          <t>VÄSTERNORRLANDS LÄN</t>
        </is>
      </c>
      <c r="E1189" t="inlineStr">
        <is>
          <t>ÖRNSKÖLDSVIK</t>
        </is>
      </c>
      <c r="G1189" t="n">
        <v>3.9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49058-2023 artfynd.xlsx", "A 49058-2023")</f>
        <v/>
      </c>
      <c r="T1189">
        <f>HYPERLINK("https://klasma.github.io/Logging_2284/kartor/A 49058-2023 karta.png", "A 49058-2023")</f>
        <v/>
      </c>
      <c r="V1189">
        <f>HYPERLINK("https://klasma.github.io/Logging_2284/klagomål/A 49058-2023 FSC-klagomål.docx", "A 49058-2023")</f>
        <v/>
      </c>
      <c r="W1189">
        <f>HYPERLINK("https://klasma.github.io/Logging_2284/klagomålsmail/A 49058-2023 FSC-klagomål mail.docx", "A 49058-2023")</f>
        <v/>
      </c>
      <c r="X1189">
        <f>HYPERLINK("https://klasma.github.io/Logging_2284/tillsyn/A 49058-2023 tillsynsbegäran.docx", "A 49058-2023")</f>
        <v/>
      </c>
      <c r="Y1189">
        <f>HYPERLINK("https://klasma.github.io/Logging_2284/tillsynsmail/A 49058-2023 tillsynsbegäran mail.docx", "A 49058-2023")</f>
        <v/>
      </c>
      <c r="Z1189">
        <f>HYPERLINK("https://klasma.github.io/Logging_2284/fåglar/A 49058-2023 prioriterade fågelarter.docx", "A 49058-2023")</f>
        <v/>
      </c>
    </row>
    <row r="1190" ht="15" customHeight="1">
      <c r="A1190" t="inlineStr">
        <is>
          <t>A 49329-2023</t>
        </is>
      </c>
      <c r="B1190" s="1" t="n">
        <v>45210</v>
      </c>
      <c r="C1190" s="1" t="n">
        <v>45657</v>
      </c>
      <c r="D1190" t="inlineStr">
        <is>
          <t>VÄSTERNORRLANDS LÄN</t>
        </is>
      </c>
      <c r="E1190" t="inlineStr">
        <is>
          <t>TIMRÅ</t>
        </is>
      </c>
      <c r="F1190" t="inlineStr">
        <is>
          <t>SCA</t>
        </is>
      </c>
      <c r="G1190" t="n">
        <v>12.9</v>
      </c>
      <c r="H1190" t="n">
        <v>0</v>
      </c>
      <c r="I1190" t="n">
        <v>0</v>
      </c>
      <c r="J1190" t="n">
        <v>1</v>
      </c>
      <c r="K1190" t="n">
        <v>0</v>
      </c>
      <c r="L1190" t="n">
        <v>0</v>
      </c>
      <c r="M1190" t="n">
        <v>0</v>
      </c>
      <c r="N1190" t="n">
        <v>0</v>
      </c>
      <c r="O1190" t="n">
        <v>1</v>
      </c>
      <c r="P1190" t="n">
        <v>0</v>
      </c>
      <c r="Q1190" t="n">
        <v>1</v>
      </c>
      <c r="R1190" s="2" t="inlineStr">
        <is>
          <t>Ullticka</t>
        </is>
      </c>
      <c r="S1190">
        <f>HYPERLINK("https://klasma.github.io/Logging_2262/artfynd/A 49329-2023 artfynd.xlsx", "A 49329-2023")</f>
        <v/>
      </c>
      <c r="T1190">
        <f>HYPERLINK("https://klasma.github.io/Logging_2262/kartor/A 49329-2023 karta.png", "A 49329-2023")</f>
        <v/>
      </c>
      <c r="V1190">
        <f>HYPERLINK("https://klasma.github.io/Logging_2262/klagomål/A 49329-2023 FSC-klagomål.docx", "A 49329-2023")</f>
        <v/>
      </c>
      <c r="W1190">
        <f>HYPERLINK("https://klasma.github.io/Logging_2262/klagomålsmail/A 49329-2023 FSC-klagomål mail.docx", "A 49329-2023")</f>
        <v/>
      </c>
      <c r="X1190">
        <f>HYPERLINK("https://klasma.github.io/Logging_2262/tillsyn/A 49329-2023 tillsynsbegäran.docx", "A 49329-2023")</f>
        <v/>
      </c>
      <c r="Y1190">
        <f>HYPERLINK("https://klasma.github.io/Logging_2262/tillsynsmail/A 49329-2023 tillsynsbegäran mail.docx", "A 49329-2023")</f>
        <v/>
      </c>
    </row>
    <row r="1191" ht="15" customHeight="1">
      <c r="A1191" t="inlineStr">
        <is>
          <t>A 49656-2023</t>
        </is>
      </c>
      <c r="B1191" s="1" t="n">
        <v>45211</v>
      </c>
      <c r="C1191" s="1" t="n">
        <v>45657</v>
      </c>
      <c r="D1191" t="inlineStr">
        <is>
          <t>VÄSTERNORRLANDS LÄN</t>
        </is>
      </c>
      <c r="E1191" t="inlineStr">
        <is>
          <t>KRAMFORS</t>
        </is>
      </c>
      <c r="F1191" t="inlineStr">
        <is>
          <t>SCA</t>
        </is>
      </c>
      <c r="G1191" t="n">
        <v>2.9</v>
      </c>
      <c r="H1191" t="n">
        <v>0</v>
      </c>
      <c r="I1191" t="n">
        <v>0</v>
      </c>
      <c r="J1191" t="n">
        <v>1</v>
      </c>
      <c r="K1191" t="n">
        <v>0</v>
      </c>
      <c r="L1191" t="n">
        <v>0</v>
      </c>
      <c r="M1191" t="n">
        <v>0</v>
      </c>
      <c r="N1191" t="n">
        <v>0</v>
      </c>
      <c r="O1191" t="n">
        <v>1</v>
      </c>
      <c r="P1191" t="n">
        <v>0</v>
      </c>
      <c r="Q1191" t="n">
        <v>1</v>
      </c>
      <c r="R1191" s="2" t="inlineStr">
        <is>
          <t>Rosenticka</t>
        </is>
      </c>
      <c r="S1191">
        <f>HYPERLINK("https://klasma.github.io/Logging_2282/artfynd/A 49656-2023 artfynd.xlsx", "A 49656-2023")</f>
        <v/>
      </c>
      <c r="T1191">
        <f>HYPERLINK("https://klasma.github.io/Logging_2282/kartor/A 49656-2023 karta.png", "A 49656-2023")</f>
        <v/>
      </c>
      <c r="V1191">
        <f>HYPERLINK("https://klasma.github.io/Logging_2282/klagomål/A 49656-2023 FSC-klagomål.docx", "A 49656-2023")</f>
        <v/>
      </c>
      <c r="W1191">
        <f>HYPERLINK("https://klasma.github.io/Logging_2282/klagomålsmail/A 49656-2023 FSC-klagomål mail.docx", "A 49656-2023")</f>
        <v/>
      </c>
      <c r="X1191">
        <f>HYPERLINK("https://klasma.github.io/Logging_2282/tillsyn/A 49656-2023 tillsynsbegäran.docx", "A 49656-2023")</f>
        <v/>
      </c>
      <c r="Y1191">
        <f>HYPERLINK("https://klasma.github.io/Logging_2282/tillsynsmail/A 49656-2023 tillsynsbegäran mail.docx", "A 49656-2023")</f>
        <v/>
      </c>
    </row>
    <row r="1192" ht="15" customHeight="1">
      <c r="A1192" t="inlineStr">
        <is>
          <t>A 49863-2023</t>
        </is>
      </c>
      <c r="B1192" s="1" t="n">
        <v>45212</v>
      </c>
      <c r="C1192" s="1" t="n">
        <v>45657</v>
      </c>
      <c r="D1192" t="inlineStr">
        <is>
          <t>VÄSTERNORRLANDS LÄN</t>
        </is>
      </c>
      <c r="E1192" t="inlineStr">
        <is>
          <t>SUNDSVALL</t>
        </is>
      </c>
      <c r="F1192" t="inlineStr">
        <is>
          <t>SCA</t>
        </is>
      </c>
      <c r="G1192" t="n">
        <v>2.3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49863-2023 artfynd.xlsx", "A 49863-2023")</f>
        <v/>
      </c>
      <c r="T1192">
        <f>HYPERLINK("https://klasma.github.io/Logging_2281/kartor/A 49863-2023 karta.png", "A 49863-2023")</f>
        <v/>
      </c>
      <c r="V1192">
        <f>HYPERLINK("https://klasma.github.io/Logging_2281/klagomål/A 49863-2023 FSC-klagomål.docx", "A 49863-2023")</f>
        <v/>
      </c>
      <c r="W1192">
        <f>HYPERLINK("https://klasma.github.io/Logging_2281/klagomålsmail/A 49863-2023 FSC-klagomål mail.docx", "A 49863-2023")</f>
        <v/>
      </c>
      <c r="X1192">
        <f>HYPERLINK("https://klasma.github.io/Logging_2281/tillsyn/A 49863-2023 tillsynsbegäran.docx", "A 49863-2023")</f>
        <v/>
      </c>
      <c r="Y1192">
        <f>HYPERLINK("https://klasma.github.io/Logging_2281/tillsynsmail/A 49863-2023 tillsynsbegäran mail.docx", "A 49863-2023")</f>
        <v/>
      </c>
      <c r="Z1192">
        <f>HYPERLINK("https://klasma.github.io/Logging_2281/fåglar/A 49863-2023 prioriterade fågelarter.docx", "A 49863-2023")</f>
        <v/>
      </c>
    </row>
    <row r="1193" ht="15" customHeight="1">
      <c r="A1193" t="inlineStr">
        <is>
          <t>A 50007-2023</t>
        </is>
      </c>
      <c r="B1193" s="1" t="n">
        <v>45215</v>
      </c>
      <c r="C1193" s="1" t="n">
        <v>45657</v>
      </c>
      <c r="D1193" t="inlineStr">
        <is>
          <t>VÄSTERNORRLANDS LÄN</t>
        </is>
      </c>
      <c r="E1193" t="inlineStr">
        <is>
          <t>ÖRNSKÖLDSVIK</t>
        </is>
      </c>
      <c r="F1193" t="inlineStr">
        <is>
          <t>Holmen skog AB</t>
        </is>
      </c>
      <c r="G1193" t="n">
        <v>15.5</v>
      </c>
      <c r="H1193" t="n">
        <v>0</v>
      </c>
      <c r="I1193" t="n">
        <v>0</v>
      </c>
      <c r="J1193" t="n">
        <v>1</v>
      </c>
      <c r="K1193" t="n">
        <v>0</v>
      </c>
      <c r="L1193" t="n">
        <v>0</v>
      </c>
      <c r="M1193" t="n">
        <v>0</v>
      </c>
      <c r="N1193" t="n">
        <v>0</v>
      </c>
      <c r="O1193" t="n">
        <v>1</v>
      </c>
      <c r="P1193" t="n">
        <v>0</v>
      </c>
      <c r="Q1193" t="n">
        <v>1</v>
      </c>
      <c r="R1193" s="2" t="inlineStr">
        <is>
          <t>Granticka</t>
        </is>
      </c>
      <c r="S1193">
        <f>HYPERLINK("https://klasma.github.io/Logging_2284/artfynd/A 50007-2023 artfynd.xlsx", "A 50007-2023")</f>
        <v/>
      </c>
      <c r="T1193">
        <f>HYPERLINK("https://klasma.github.io/Logging_2284/kartor/A 50007-2023 karta.png", "A 50007-2023")</f>
        <v/>
      </c>
      <c r="V1193">
        <f>HYPERLINK("https://klasma.github.io/Logging_2284/klagomål/A 50007-2023 FSC-klagomål.docx", "A 50007-2023")</f>
        <v/>
      </c>
      <c r="W1193">
        <f>HYPERLINK("https://klasma.github.io/Logging_2284/klagomålsmail/A 50007-2023 FSC-klagomål mail.docx", "A 50007-2023")</f>
        <v/>
      </c>
      <c r="X1193">
        <f>HYPERLINK("https://klasma.github.io/Logging_2284/tillsyn/A 50007-2023 tillsynsbegäran.docx", "A 50007-2023")</f>
        <v/>
      </c>
      <c r="Y1193">
        <f>HYPERLINK("https://klasma.github.io/Logging_2284/tillsynsmail/A 50007-2023 tillsynsbegäran mail.docx", "A 50007-2023")</f>
        <v/>
      </c>
    </row>
    <row r="1194" ht="15" customHeight="1">
      <c r="A1194" t="inlineStr">
        <is>
          <t>A 50351-2023</t>
        </is>
      </c>
      <c r="B1194" s="1" t="n">
        <v>45216</v>
      </c>
      <c r="C1194" s="1" t="n">
        <v>45657</v>
      </c>
      <c r="D1194" t="inlineStr">
        <is>
          <t>VÄSTERNORRLANDS LÄN</t>
        </is>
      </c>
      <c r="E1194" t="inlineStr">
        <is>
          <t>ÖRNSKÖLDSVIK</t>
        </is>
      </c>
      <c r="F1194" t="inlineStr">
        <is>
          <t>Holmen skog AB</t>
        </is>
      </c>
      <c r="G1194" t="n">
        <v>4.9</v>
      </c>
      <c r="H1194" t="n">
        <v>0</v>
      </c>
      <c r="I1194" t="n">
        <v>1</v>
      </c>
      <c r="J1194" t="n">
        <v>0</v>
      </c>
      <c r="K1194" t="n">
        <v>0</v>
      </c>
      <c r="L1194" t="n">
        <v>0</v>
      </c>
      <c r="M1194" t="n">
        <v>0</v>
      </c>
      <c r="N1194" t="n">
        <v>0</v>
      </c>
      <c r="O1194" t="n">
        <v>0</v>
      </c>
      <c r="P1194" t="n">
        <v>0</v>
      </c>
      <c r="Q1194" t="n">
        <v>1</v>
      </c>
      <c r="R1194" s="2" t="inlineStr">
        <is>
          <t>Bårdlav</t>
        </is>
      </c>
      <c r="S1194">
        <f>HYPERLINK("https://klasma.github.io/Logging_2284/artfynd/A 50351-2023 artfynd.xlsx", "A 50351-2023")</f>
        <v/>
      </c>
      <c r="T1194">
        <f>HYPERLINK("https://klasma.github.io/Logging_2284/kartor/A 50351-2023 karta.png", "A 50351-2023")</f>
        <v/>
      </c>
      <c r="V1194">
        <f>HYPERLINK("https://klasma.github.io/Logging_2284/klagomål/A 50351-2023 FSC-klagomål.docx", "A 50351-2023")</f>
        <v/>
      </c>
      <c r="W1194">
        <f>HYPERLINK("https://klasma.github.io/Logging_2284/klagomålsmail/A 50351-2023 FSC-klagomål mail.docx", "A 50351-2023")</f>
        <v/>
      </c>
      <c r="X1194">
        <f>HYPERLINK("https://klasma.github.io/Logging_2284/tillsyn/A 50351-2023 tillsynsbegäran.docx", "A 50351-2023")</f>
        <v/>
      </c>
      <c r="Y1194">
        <f>HYPERLINK("https://klasma.github.io/Logging_2284/tillsynsmail/A 50351-2023 tillsynsbegäran mail.docx", "A 50351-2023")</f>
        <v/>
      </c>
    </row>
    <row r="1195" ht="15" customHeight="1">
      <c r="A1195" t="inlineStr">
        <is>
          <t>A 52424-2023</t>
        </is>
      </c>
      <c r="B1195" s="1" t="n">
        <v>45217</v>
      </c>
      <c r="C1195" s="1" t="n">
        <v>45657</v>
      </c>
      <c r="D1195" t="inlineStr">
        <is>
          <t>VÄSTERNORRLANDS LÄN</t>
        </is>
      </c>
      <c r="E1195" t="inlineStr">
        <is>
          <t>ÅNGE</t>
        </is>
      </c>
      <c r="F1195" t="inlineStr">
        <is>
          <t>SCA</t>
        </is>
      </c>
      <c r="G1195" t="n">
        <v>3.8</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52424-2023 artfynd.xlsx", "A 52424-2023")</f>
        <v/>
      </c>
      <c r="T1195">
        <f>HYPERLINK("https://klasma.github.io/Logging_2260/kartor/A 52424-2023 karta.png", "A 52424-2023")</f>
        <v/>
      </c>
      <c r="V1195">
        <f>HYPERLINK("https://klasma.github.io/Logging_2260/klagomål/A 52424-2023 FSC-klagomål.docx", "A 52424-2023")</f>
        <v/>
      </c>
      <c r="W1195">
        <f>HYPERLINK("https://klasma.github.io/Logging_2260/klagomålsmail/A 52424-2023 FSC-klagomål mail.docx", "A 52424-2023")</f>
        <v/>
      </c>
      <c r="X1195">
        <f>HYPERLINK("https://klasma.github.io/Logging_2260/tillsyn/A 52424-2023 tillsynsbegäran.docx", "A 52424-2023")</f>
        <v/>
      </c>
      <c r="Y1195">
        <f>HYPERLINK("https://klasma.github.io/Logging_2260/tillsynsmail/A 52424-2023 tillsynsbegäran mail.docx", "A 52424-2023")</f>
        <v/>
      </c>
    </row>
    <row r="1196" ht="15" customHeight="1">
      <c r="A1196" t="inlineStr">
        <is>
          <t>A 53059-2023</t>
        </is>
      </c>
      <c r="B1196" s="1" t="n">
        <v>45226</v>
      </c>
      <c r="C1196" s="1" t="n">
        <v>45657</v>
      </c>
      <c r="D1196" t="inlineStr">
        <is>
          <t>VÄSTERNORRLANDS LÄN</t>
        </is>
      </c>
      <c r="E1196" t="inlineStr">
        <is>
          <t>SOLLEFTEÅ</t>
        </is>
      </c>
      <c r="F1196" t="inlineStr">
        <is>
          <t>SCA</t>
        </is>
      </c>
      <c r="G1196" t="n">
        <v>1.3</v>
      </c>
      <c r="H1196" t="n">
        <v>1</v>
      </c>
      <c r="I1196" t="n">
        <v>0</v>
      </c>
      <c r="J1196" t="n">
        <v>0</v>
      </c>
      <c r="K1196" t="n">
        <v>1</v>
      </c>
      <c r="L1196" t="n">
        <v>0</v>
      </c>
      <c r="M1196" t="n">
        <v>0</v>
      </c>
      <c r="N1196" t="n">
        <v>0</v>
      </c>
      <c r="O1196" t="n">
        <v>1</v>
      </c>
      <c r="P1196" t="n">
        <v>1</v>
      </c>
      <c r="Q1196" t="n">
        <v>1</v>
      </c>
      <c r="R1196" s="2" t="inlineStr">
        <is>
          <t>Knärot</t>
        </is>
      </c>
      <c r="S1196">
        <f>HYPERLINK("https://klasma.github.io/Logging_2283/artfynd/A 53059-2023 artfynd.xlsx", "A 53059-2023")</f>
        <v/>
      </c>
      <c r="T1196">
        <f>HYPERLINK("https://klasma.github.io/Logging_2283/kartor/A 53059-2023 karta.png", "A 53059-2023")</f>
        <v/>
      </c>
      <c r="U1196">
        <f>HYPERLINK("https://klasma.github.io/Logging_2283/knärot/A 53059-2023 karta knärot.png", "A 53059-2023")</f>
        <v/>
      </c>
      <c r="V1196">
        <f>HYPERLINK("https://klasma.github.io/Logging_2283/klagomål/A 53059-2023 FSC-klagomål.docx", "A 53059-2023")</f>
        <v/>
      </c>
      <c r="W1196">
        <f>HYPERLINK("https://klasma.github.io/Logging_2283/klagomålsmail/A 53059-2023 FSC-klagomål mail.docx", "A 53059-2023")</f>
        <v/>
      </c>
      <c r="X1196">
        <f>HYPERLINK("https://klasma.github.io/Logging_2283/tillsyn/A 53059-2023 tillsynsbegäran.docx", "A 53059-2023")</f>
        <v/>
      </c>
      <c r="Y1196">
        <f>HYPERLINK("https://klasma.github.io/Logging_2283/tillsynsmail/A 53059-2023 tillsynsbegäran mail.docx", "A 53059-2023")</f>
        <v/>
      </c>
    </row>
    <row r="1197" ht="15" customHeight="1">
      <c r="A1197" t="inlineStr">
        <is>
          <t>A 53039-2023</t>
        </is>
      </c>
      <c r="B1197" s="1" t="n">
        <v>45226</v>
      </c>
      <c r="C1197" s="1" t="n">
        <v>45657</v>
      </c>
      <c r="D1197" t="inlineStr">
        <is>
          <t>VÄSTERNORRLANDS LÄN</t>
        </is>
      </c>
      <c r="E1197" t="inlineStr">
        <is>
          <t>SOLLEFTEÅ</t>
        </is>
      </c>
      <c r="F1197" t="inlineStr">
        <is>
          <t>SCA</t>
        </is>
      </c>
      <c r="G1197" t="n">
        <v>1.8</v>
      </c>
      <c r="H1197" t="n">
        <v>1</v>
      </c>
      <c r="I1197" t="n">
        <v>0</v>
      </c>
      <c r="J1197" t="n">
        <v>1</v>
      </c>
      <c r="K1197" t="n">
        <v>0</v>
      </c>
      <c r="L1197" t="n">
        <v>0</v>
      </c>
      <c r="M1197" t="n">
        <v>0</v>
      </c>
      <c r="N1197" t="n">
        <v>0</v>
      </c>
      <c r="O1197" t="n">
        <v>1</v>
      </c>
      <c r="P1197" t="n">
        <v>0</v>
      </c>
      <c r="Q1197" t="n">
        <v>1</v>
      </c>
      <c r="R1197" s="2" t="inlineStr">
        <is>
          <t>Nordfladdermus</t>
        </is>
      </c>
      <c r="S1197">
        <f>HYPERLINK("https://klasma.github.io/Logging_2283/artfynd/A 53039-2023 artfynd.xlsx", "A 53039-2023")</f>
        <v/>
      </c>
      <c r="T1197">
        <f>HYPERLINK("https://klasma.github.io/Logging_2283/kartor/A 53039-2023 karta.png", "A 53039-2023")</f>
        <v/>
      </c>
      <c r="V1197">
        <f>HYPERLINK("https://klasma.github.io/Logging_2283/klagomål/A 53039-2023 FSC-klagomål.docx", "A 53039-2023")</f>
        <v/>
      </c>
      <c r="W1197">
        <f>HYPERLINK("https://klasma.github.io/Logging_2283/klagomålsmail/A 53039-2023 FSC-klagomål mail.docx", "A 53039-2023")</f>
        <v/>
      </c>
      <c r="X1197">
        <f>HYPERLINK("https://klasma.github.io/Logging_2283/tillsyn/A 53039-2023 tillsynsbegäran.docx", "A 53039-2023")</f>
        <v/>
      </c>
      <c r="Y1197">
        <f>HYPERLINK("https://klasma.github.io/Logging_2283/tillsynsmail/A 53039-2023 tillsynsbegäran mail.docx", "A 53039-2023")</f>
        <v/>
      </c>
    </row>
    <row r="1198" ht="15" customHeight="1">
      <c r="A1198" t="inlineStr">
        <is>
          <t>A 53446-2023</t>
        </is>
      </c>
      <c r="B1198" s="1" t="n">
        <v>45229</v>
      </c>
      <c r="C1198" s="1" t="n">
        <v>45657</v>
      </c>
      <c r="D1198" t="inlineStr">
        <is>
          <t>VÄSTERNORRLANDS LÄN</t>
        </is>
      </c>
      <c r="E1198" t="inlineStr">
        <is>
          <t>SOLLEFTEÅ</t>
        </is>
      </c>
      <c r="F1198" t="inlineStr">
        <is>
          <t>SCA</t>
        </is>
      </c>
      <c r="G1198" t="n">
        <v>2.2</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53446-2023 artfynd.xlsx", "A 53446-2023")</f>
        <v/>
      </c>
      <c r="T1198">
        <f>HYPERLINK("https://klasma.github.io/Logging_2283/kartor/A 53446-2023 karta.png", "A 53446-2023")</f>
        <v/>
      </c>
      <c r="V1198">
        <f>HYPERLINK("https://klasma.github.io/Logging_2283/klagomål/A 53446-2023 FSC-klagomål.docx", "A 53446-2023")</f>
        <v/>
      </c>
      <c r="W1198">
        <f>HYPERLINK("https://klasma.github.io/Logging_2283/klagomålsmail/A 53446-2023 FSC-klagomål mail.docx", "A 53446-2023")</f>
        <v/>
      </c>
      <c r="X1198">
        <f>HYPERLINK("https://klasma.github.io/Logging_2283/tillsyn/A 53446-2023 tillsynsbegäran.docx", "A 53446-2023")</f>
        <v/>
      </c>
      <c r="Y1198">
        <f>HYPERLINK("https://klasma.github.io/Logging_2283/tillsynsmail/A 53446-2023 tillsynsbegäran mail.docx", "A 53446-2023")</f>
        <v/>
      </c>
    </row>
    <row r="1199" ht="15" customHeight="1">
      <c r="A1199" t="inlineStr">
        <is>
          <t>A 54325-2023</t>
        </is>
      </c>
      <c r="B1199" s="1" t="n">
        <v>45232</v>
      </c>
      <c r="C1199" s="1" t="n">
        <v>45657</v>
      </c>
      <c r="D1199" t="inlineStr">
        <is>
          <t>VÄSTERNORRLANDS LÄN</t>
        </is>
      </c>
      <c r="E1199" t="inlineStr">
        <is>
          <t>SUNDSVALL</t>
        </is>
      </c>
      <c r="F1199" t="inlineStr">
        <is>
          <t>SCA</t>
        </is>
      </c>
      <c r="G1199" t="n">
        <v>5.7</v>
      </c>
      <c r="H1199" t="n">
        <v>0</v>
      </c>
      <c r="I1199" t="n">
        <v>0</v>
      </c>
      <c r="J1199" t="n">
        <v>1</v>
      </c>
      <c r="K1199" t="n">
        <v>0</v>
      </c>
      <c r="L1199" t="n">
        <v>0</v>
      </c>
      <c r="M1199" t="n">
        <v>0</v>
      </c>
      <c r="N1199" t="n">
        <v>0</v>
      </c>
      <c r="O1199" t="n">
        <v>1</v>
      </c>
      <c r="P1199" t="n">
        <v>0</v>
      </c>
      <c r="Q1199" t="n">
        <v>1</v>
      </c>
      <c r="R1199" s="2" t="inlineStr">
        <is>
          <t>Igelkott</t>
        </is>
      </c>
      <c r="S1199">
        <f>HYPERLINK("https://klasma.github.io/Logging_2281/artfynd/A 54325-2023 artfynd.xlsx", "A 54325-2023")</f>
        <v/>
      </c>
      <c r="T1199">
        <f>HYPERLINK("https://klasma.github.io/Logging_2281/kartor/A 54325-2023 karta.png", "A 54325-2023")</f>
        <v/>
      </c>
      <c r="V1199">
        <f>HYPERLINK("https://klasma.github.io/Logging_2281/klagomål/A 54325-2023 FSC-klagomål.docx", "A 54325-2023")</f>
        <v/>
      </c>
      <c r="W1199">
        <f>HYPERLINK("https://klasma.github.io/Logging_2281/klagomålsmail/A 54325-2023 FSC-klagomål mail.docx", "A 54325-2023")</f>
        <v/>
      </c>
      <c r="X1199">
        <f>HYPERLINK("https://klasma.github.io/Logging_2281/tillsyn/A 54325-2023 tillsynsbegäran.docx", "A 54325-2023")</f>
        <v/>
      </c>
      <c r="Y1199">
        <f>HYPERLINK("https://klasma.github.io/Logging_2281/tillsynsmail/A 54325-2023 tillsynsbegäran mail.docx", "A 54325-2023")</f>
        <v/>
      </c>
    </row>
    <row r="1200" ht="15" customHeight="1">
      <c r="A1200" t="inlineStr">
        <is>
          <t>A 54567-2023</t>
        </is>
      </c>
      <c r="B1200" s="1" t="n">
        <v>45233</v>
      </c>
      <c r="C1200" s="1" t="n">
        <v>45657</v>
      </c>
      <c r="D1200" t="inlineStr">
        <is>
          <t>VÄSTERNORRLANDS LÄN</t>
        </is>
      </c>
      <c r="E1200" t="inlineStr">
        <is>
          <t>ÅNGE</t>
        </is>
      </c>
      <c r="F1200" t="inlineStr">
        <is>
          <t>Sveaskog</t>
        </is>
      </c>
      <c r="G1200" t="n">
        <v>1.4</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54567-2023 artfynd.xlsx", "A 54567-2023")</f>
        <v/>
      </c>
      <c r="T1200">
        <f>HYPERLINK("https://klasma.github.io/Logging_2260/kartor/A 54567-2023 karta.png", "A 54567-2023")</f>
        <v/>
      </c>
      <c r="V1200">
        <f>HYPERLINK("https://klasma.github.io/Logging_2260/klagomål/A 54567-2023 FSC-klagomål.docx", "A 54567-2023")</f>
        <v/>
      </c>
      <c r="W1200">
        <f>HYPERLINK("https://klasma.github.io/Logging_2260/klagomålsmail/A 54567-2023 FSC-klagomål mail.docx", "A 54567-2023")</f>
        <v/>
      </c>
      <c r="X1200">
        <f>HYPERLINK("https://klasma.github.io/Logging_2260/tillsyn/A 54567-2023 tillsynsbegäran.docx", "A 54567-2023")</f>
        <v/>
      </c>
      <c r="Y1200">
        <f>HYPERLINK("https://klasma.github.io/Logging_2260/tillsynsmail/A 54567-2023 tillsynsbegäran mail.docx", "A 54567-2023")</f>
        <v/>
      </c>
    </row>
    <row r="1201" ht="15" customHeight="1">
      <c r="A1201" t="inlineStr">
        <is>
          <t>A 54676-2023</t>
        </is>
      </c>
      <c r="B1201" s="1" t="n">
        <v>45235</v>
      </c>
      <c r="C1201" s="1" t="n">
        <v>45657</v>
      </c>
      <c r="D1201" t="inlineStr">
        <is>
          <t>VÄSTERNORRLANDS LÄN</t>
        </is>
      </c>
      <c r="E1201" t="inlineStr">
        <is>
          <t>ÅNGE</t>
        </is>
      </c>
      <c r="G1201" t="n">
        <v>9</v>
      </c>
      <c r="H1201" t="n">
        <v>0</v>
      </c>
      <c r="I1201" t="n">
        <v>0</v>
      </c>
      <c r="J1201" t="n">
        <v>0</v>
      </c>
      <c r="K1201" t="n">
        <v>1</v>
      </c>
      <c r="L1201" t="n">
        <v>0</v>
      </c>
      <c r="M1201" t="n">
        <v>0</v>
      </c>
      <c r="N1201" t="n">
        <v>0</v>
      </c>
      <c r="O1201" t="n">
        <v>1</v>
      </c>
      <c r="P1201" t="n">
        <v>1</v>
      </c>
      <c r="Q1201" t="n">
        <v>1</v>
      </c>
      <c r="R1201" s="2" t="inlineStr">
        <is>
          <t>Rynkskinn</t>
        </is>
      </c>
      <c r="S1201">
        <f>HYPERLINK("https://klasma.github.io/Logging_2260/artfynd/A 54676-2023 artfynd.xlsx", "A 54676-2023")</f>
        <v/>
      </c>
      <c r="T1201">
        <f>HYPERLINK("https://klasma.github.io/Logging_2260/kartor/A 54676-2023 karta.png", "A 54676-2023")</f>
        <v/>
      </c>
      <c r="U1201">
        <f>HYPERLINK("https://klasma.github.io/Logging_2260/knärot/A 54676-2023 karta knärot.png", "A 54676-2023")</f>
        <v/>
      </c>
      <c r="V1201">
        <f>HYPERLINK("https://klasma.github.io/Logging_2260/klagomål/A 54676-2023 FSC-klagomål.docx", "A 54676-2023")</f>
        <v/>
      </c>
      <c r="W1201">
        <f>HYPERLINK("https://klasma.github.io/Logging_2260/klagomålsmail/A 54676-2023 FSC-klagomål mail.docx", "A 54676-2023")</f>
        <v/>
      </c>
      <c r="X1201">
        <f>HYPERLINK("https://klasma.github.io/Logging_2260/tillsyn/A 54676-2023 tillsynsbegäran.docx", "A 54676-2023")</f>
        <v/>
      </c>
      <c r="Y1201">
        <f>HYPERLINK("https://klasma.github.io/Logging_2260/tillsynsmail/A 54676-2023 tillsynsbegäran mail.docx", "A 54676-2023")</f>
        <v/>
      </c>
    </row>
    <row r="1202" ht="15" customHeight="1">
      <c r="A1202" t="inlineStr">
        <is>
          <t>A 55015-2023</t>
        </is>
      </c>
      <c r="B1202" s="1" t="n">
        <v>45237</v>
      </c>
      <c r="C1202" s="1" t="n">
        <v>45657</v>
      </c>
      <c r="D1202" t="inlineStr">
        <is>
          <t>VÄSTERNORRLANDS LÄN</t>
        </is>
      </c>
      <c r="E1202" t="inlineStr">
        <is>
          <t>ÅNGE</t>
        </is>
      </c>
      <c r="F1202" t="inlineStr">
        <is>
          <t>Sveaskog</t>
        </is>
      </c>
      <c r="G1202" t="n">
        <v>2.7</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55015-2023 artfynd.xlsx", "A 55015-2023")</f>
        <v/>
      </c>
      <c r="T1202">
        <f>HYPERLINK("https://klasma.github.io/Logging_2260/kartor/A 55015-2023 karta.png", "A 55015-2023")</f>
        <v/>
      </c>
      <c r="V1202">
        <f>HYPERLINK("https://klasma.github.io/Logging_2260/klagomål/A 55015-2023 FSC-klagomål.docx", "A 55015-2023")</f>
        <v/>
      </c>
      <c r="W1202">
        <f>HYPERLINK("https://klasma.github.io/Logging_2260/klagomålsmail/A 55015-2023 FSC-klagomål mail.docx", "A 55015-2023")</f>
        <v/>
      </c>
      <c r="X1202">
        <f>HYPERLINK("https://klasma.github.io/Logging_2260/tillsyn/A 55015-2023 tillsynsbegäran.docx", "A 55015-2023")</f>
        <v/>
      </c>
      <c r="Y1202">
        <f>HYPERLINK("https://klasma.github.io/Logging_2260/tillsynsmail/A 55015-2023 tillsynsbegäran mail.docx", "A 55015-2023")</f>
        <v/>
      </c>
    </row>
    <row r="1203" ht="15" customHeight="1">
      <c r="A1203" t="inlineStr">
        <is>
          <t>A 55626-2023</t>
        </is>
      </c>
      <c r="B1203" s="1" t="n">
        <v>45238</v>
      </c>
      <c r="C1203" s="1" t="n">
        <v>45657</v>
      </c>
      <c r="D1203" t="inlineStr">
        <is>
          <t>VÄSTERNORRLANDS LÄN</t>
        </is>
      </c>
      <c r="E1203" t="inlineStr">
        <is>
          <t>KRAMFORS</t>
        </is>
      </c>
      <c r="G1203" t="n">
        <v>8</v>
      </c>
      <c r="H1203" t="n">
        <v>0</v>
      </c>
      <c r="I1203" t="n">
        <v>0</v>
      </c>
      <c r="J1203" t="n">
        <v>1</v>
      </c>
      <c r="K1203" t="n">
        <v>0</v>
      </c>
      <c r="L1203" t="n">
        <v>0</v>
      </c>
      <c r="M1203" t="n">
        <v>0</v>
      </c>
      <c r="N1203" t="n">
        <v>0</v>
      </c>
      <c r="O1203" t="n">
        <v>1</v>
      </c>
      <c r="P1203" t="n">
        <v>0</v>
      </c>
      <c r="Q1203" t="n">
        <v>1</v>
      </c>
      <c r="R1203" s="2" t="inlineStr">
        <is>
          <t>Gränsticka</t>
        </is>
      </c>
      <c r="S1203">
        <f>HYPERLINK("https://klasma.github.io/Logging_2282/artfynd/A 55626-2023 artfynd.xlsx", "A 55626-2023")</f>
        <v/>
      </c>
      <c r="T1203">
        <f>HYPERLINK("https://klasma.github.io/Logging_2282/kartor/A 55626-2023 karta.png", "A 55626-2023")</f>
        <v/>
      </c>
      <c r="V1203">
        <f>HYPERLINK("https://klasma.github.io/Logging_2282/klagomål/A 55626-2023 FSC-klagomål.docx", "A 55626-2023")</f>
        <v/>
      </c>
      <c r="W1203">
        <f>HYPERLINK("https://klasma.github.io/Logging_2282/klagomålsmail/A 55626-2023 FSC-klagomål mail.docx", "A 55626-2023")</f>
        <v/>
      </c>
      <c r="X1203">
        <f>HYPERLINK("https://klasma.github.io/Logging_2282/tillsyn/A 55626-2023 tillsynsbegäran.docx", "A 55626-2023")</f>
        <v/>
      </c>
      <c r="Y1203">
        <f>HYPERLINK("https://klasma.github.io/Logging_2282/tillsynsmail/A 55626-2023 tillsynsbegäran mail.docx", "A 55626-2023")</f>
        <v/>
      </c>
    </row>
    <row r="1204" ht="15" customHeight="1">
      <c r="A1204" t="inlineStr">
        <is>
          <t>A 57353-2023</t>
        </is>
      </c>
      <c r="B1204" s="1" t="n">
        <v>45240</v>
      </c>
      <c r="C1204" s="1" t="n">
        <v>45657</v>
      </c>
      <c r="D1204" t="inlineStr">
        <is>
          <t>VÄSTERNORRLANDS LÄN</t>
        </is>
      </c>
      <c r="E1204" t="inlineStr">
        <is>
          <t>HÄRNÖSAND</t>
        </is>
      </c>
      <c r="G1204" t="n">
        <v>15.9</v>
      </c>
      <c r="H1204" t="n">
        <v>1</v>
      </c>
      <c r="I1204" t="n">
        <v>0</v>
      </c>
      <c r="J1204" t="n">
        <v>0</v>
      </c>
      <c r="K1204" t="n">
        <v>1</v>
      </c>
      <c r="L1204" t="n">
        <v>0</v>
      </c>
      <c r="M1204" t="n">
        <v>0</v>
      </c>
      <c r="N1204" t="n">
        <v>0</v>
      </c>
      <c r="O1204" t="n">
        <v>1</v>
      </c>
      <c r="P1204" t="n">
        <v>1</v>
      </c>
      <c r="Q1204" t="n">
        <v>1</v>
      </c>
      <c r="R1204" s="2" t="inlineStr">
        <is>
          <t>Knärot</t>
        </is>
      </c>
      <c r="S1204">
        <f>HYPERLINK("https://klasma.github.io/Logging_2280/artfynd/A 57353-2023 artfynd.xlsx", "A 57353-2023")</f>
        <v/>
      </c>
      <c r="T1204">
        <f>HYPERLINK("https://klasma.github.io/Logging_2280/kartor/A 57353-2023 karta.png", "A 57353-2023")</f>
        <v/>
      </c>
      <c r="U1204">
        <f>HYPERLINK("https://klasma.github.io/Logging_2280/knärot/A 57353-2023 karta knärot.png", "A 57353-2023")</f>
        <v/>
      </c>
      <c r="V1204">
        <f>HYPERLINK("https://klasma.github.io/Logging_2280/klagomål/A 57353-2023 FSC-klagomål.docx", "A 57353-2023")</f>
        <v/>
      </c>
      <c r="W1204">
        <f>HYPERLINK("https://klasma.github.io/Logging_2280/klagomålsmail/A 57353-2023 FSC-klagomål mail.docx", "A 57353-2023")</f>
        <v/>
      </c>
      <c r="X1204">
        <f>HYPERLINK("https://klasma.github.io/Logging_2280/tillsyn/A 57353-2023 tillsynsbegäran.docx", "A 57353-2023")</f>
        <v/>
      </c>
      <c r="Y1204">
        <f>HYPERLINK("https://klasma.github.io/Logging_2280/tillsynsmail/A 57353-2023 tillsynsbegäran mail.docx", "A 57353-2023")</f>
        <v/>
      </c>
    </row>
    <row r="1205" ht="15" customHeight="1">
      <c r="A1205" t="inlineStr">
        <is>
          <t>A 56257-2023</t>
        </is>
      </c>
      <c r="B1205" s="1" t="n">
        <v>45240</v>
      </c>
      <c r="C1205" s="1" t="n">
        <v>45657</v>
      </c>
      <c r="D1205" t="inlineStr">
        <is>
          <t>VÄSTERNORRLANDS LÄN</t>
        </is>
      </c>
      <c r="E1205" t="inlineStr">
        <is>
          <t>SOLLEFTEÅ</t>
        </is>
      </c>
      <c r="F1205" t="inlineStr">
        <is>
          <t>SCA</t>
        </is>
      </c>
      <c r="G1205" t="n">
        <v>2.9</v>
      </c>
      <c r="H1205" t="n">
        <v>0</v>
      </c>
      <c r="I1205" t="n">
        <v>1</v>
      </c>
      <c r="J1205" t="n">
        <v>0</v>
      </c>
      <c r="K1205" t="n">
        <v>0</v>
      </c>
      <c r="L1205" t="n">
        <v>0</v>
      </c>
      <c r="M1205" t="n">
        <v>0</v>
      </c>
      <c r="N1205" t="n">
        <v>0</v>
      </c>
      <c r="O1205" t="n">
        <v>0</v>
      </c>
      <c r="P1205" t="n">
        <v>0</v>
      </c>
      <c r="Q1205" t="n">
        <v>1</v>
      </c>
      <c r="R1205" s="2" t="inlineStr">
        <is>
          <t>Tibast</t>
        </is>
      </c>
      <c r="S1205">
        <f>HYPERLINK("https://klasma.github.io/Logging_2283/artfynd/A 56257-2023 artfynd.xlsx", "A 56257-2023")</f>
        <v/>
      </c>
      <c r="T1205">
        <f>HYPERLINK("https://klasma.github.io/Logging_2283/kartor/A 56257-2023 karta.png", "A 56257-2023")</f>
        <v/>
      </c>
      <c r="V1205">
        <f>HYPERLINK("https://klasma.github.io/Logging_2283/klagomål/A 56257-2023 FSC-klagomål.docx", "A 56257-2023")</f>
        <v/>
      </c>
      <c r="W1205">
        <f>HYPERLINK("https://klasma.github.io/Logging_2283/klagomålsmail/A 56257-2023 FSC-klagomål mail.docx", "A 56257-2023")</f>
        <v/>
      </c>
      <c r="X1205">
        <f>HYPERLINK("https://klasma.github.io/Logging_2283/tillsyn/A 56257-2023 tillsynsbegäran.docx", "A 56257-2023")</f>
        <v/>
      </c>
      <c r="Y1205">
        <f>HYPERLINK("https://klasma.github.io/Logging_2283/tillsynsmail/A 56257-2023 tillsynsbegäran mail.docx", "A 56257-2023")</f>
        <v/>
      </c>
    </row>
    <row r="1206" ht="15" customHeight="1">
      <c r="A1206" t="inlineStr">
        <is>
          <t>A 56372-2023</t>
        </is>
      </c>
      <c r="B1206" s="1" t="n">
        <v>45243</v>
      </c>
      <c r="C1206" s="1" t="n">
        <v>45657</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56698-2023</t>
        </is>
      </c>
      <c r="B1207" s="1" t="n">
        <v>45244</v>
      </c>
      <c r="C1207" s="1" t="n">
        <v>45657</v>
      </c>
      <c r="D1207" t="inlineStr">
        <is>
          <t>VÄSTERNORRLANDS LÄN</t>
        </is>
      </c>
      <c r="E1207" t="inlineStr">
        <is>
          <t>SUNDSVALL</t>
        </is>
      </c>
      <c r="F1207" t="inlineStr">
        <is>
          <t>SCA</t>
        </is>
      </c>
      <c r="G1207" t="n">
        <v>3.1</v>
      </c>
      <c r="H1207" t="n">
        <v>0</v>
      </c>
      <c r="I1207" t="n">
        <v>0</v>
      </c>
      <c r="J1207" t="n">
        <v>1</v>
      </c>
      <c r="K1207" t="n">
        <v>0</v>
      </c>
      <c r="L1207" t="n">
        <v>0</v>
      </c>
      <c r="M1207" t="n">
        <v>0</v>
      </c>
      <c r="N1207" t="n">
        <v>0</v>
      </c>
      <c r="O1207" t="n">
        <v>1</v>
      </c>
      <c r="P1207" t="n">
        <v>0</v>
      </c>
      <c r="Q1207" t="n">
        <v>1</v>
      </c>
      <c r="R1207" s="2" t="inlineStr">
        <is>
          <t>Granticka</t>
        </is>
      </c>
      <c r="S1207">
        <f>HYPERLINK("https://klasma.github.io/Logging_2281/artfynd/A 56698-2023 artfynd.xlsx", "A 56698-2023")</f>
        <v/>
      </c>
      <c r="T1207">
        <f>HYPERLINK("https://klasma.github.io/Logging_2281/kartor/A 56698-2023 karta.png", "A 56698-2023")</f>
        <v/>
      </c>
      <c r="V1207">
        <f>HYPERLINK("https://klasma.github.io/Logging_2281/klagomål/A 56698-2023 FSC-klagomål.docx", "A 56698-2023")</f>
        <v/>
      </c>
      <c r="W1207">
        <f>HYPERLINK("https://klasma.github.io/Logging_2281/klagomålsmail/A 56698-2023 FSC-klagomål mail.docx", "A 56698-2023")</f>
        <v/>
      </c>
      <c r="X1207">
        <f>HYPERLINK("https://klasma.github.io/Logging_2281/tillsyn/A 56698-2023 tillsynsbegäran.docx", "A 56698-2023")</f>
        <v/>
      </c>
      <c r="Y1207">
        <f>HYPERLINK("https://klasma.github.io/Logging_2281/tillsynsmail/A 56698-2023 tillsynsbegäran mail.docx", "A 56698-2023")</f>
        <v/>
      </c>
    </row>
    <row r="1208" ht="15" customHeight="1">
      <c r="A1208" t="inlineStr">
        <is>
          <t>A 57056-2023</t>
        </is>
      </c>
      <c r="B1208" s="1" t="n">
        <v>45244</v>
      </c>
      <c r="C1208" s="1" t="n">
        <v>45657</v>
      </c>
      <c r="D1208" t="inlineStr">
        <is>
          <t>VÄSTERNORRLANDS LÄN</t>
        </is>
      </c>
      <c r="E1208" t="inlineStr">
        <is>
          <t>KRAMFORS</t>
        </is>
      </c>
      <c r="G1208" t="n">
        <v>15.9</v>
      </c>
      <c r="H1208" t="n">
        <v>0</v>
      </c>
      <c r="I1208" t="n">
        <v>0</v>
      </c>
      <c r="J1208" t="n">
        <v>1</v>
      </c>
      <c r="K1208" t="n">
        <v>0</v>
      </c>
      <c r="L1208" t="n">
        <v>0</v>
      </c>
      <c r="M1208" t="n">
        <v>0</v>
      </c>
      <c r="N1208" t="n">
        <v>0</v>
      </c>
      <c r="O1208" t="n">
        <v>1</v>
      </c>
      <c r="P1208" t="n">
        <v>0</v>
      </c>
      <c r="Q1208" t="n">
        <v>1</v>
      </c>
      <c r="R1208" s="2" t="inlineStr">
        <is>
          <t>Garnlav</t>
        </is>
      </c>
      <c r="S1208">
        <f>HYPERLINK("https://klasma.github.io/Logging_2282/artfynd/A 57056-2023 artfynd.xlsx", "A 57056-2023")</f>
        <v/>
      </c>
      <c r="T1208">
        <f>HYPERLINK("https://klasma.github.io/Logging_2282/kartor/A 57056-2023 karta.png", "A 57056-2023")</f>
        <v/>
      </c>
      <c r="V1208">
        <f>HYPERLINK("https://klasma.github.io/Logging_2282/klagomål/A 57056-2023 FSC-klagomål.docx", "A 57056-2023")</f>
        <v/>
      </c>
      <c r="W1208">
        <f>HYPERLINK("https://klasma.github.io/Logging_2282/klagomålsmail/A 57056-2023 FSC-klagomål mail.docx", "A 57056-2023")</f>
        <v/>
      </c>
      <c r="X1208">
        <f>HYPERLINK("https://klasma.github.io/Logging_2282/tillsyn/A 57056-2023 tillsynsbegäran.docx", "A 57056-2023")</f>
        <v/>
      </c>
      <c r="Y1208">
        <f>HYPERLINK("https://klasma.github.io/Logging_2282/tillsynsmail/A 57056-2023 tillsynsbegäran mail.docx", "A 57056-2023")</f>
        <v/>
      </c>
    </row>
    <row r="1209" ht="15" customHeight="1">
      <c r="A1209" t="inlineStr">
        <is>
          <t>A 58802-2023</t>
        </is>
      </c>
      <c r="B1209" s="1" t="n">
        <v>45247</v>
      </c>
      <c r="C1209" s="1" t="n">
        <v>45657</v>
      </c>
      <c r="D1209" t="inlineStr">
        <is>
          <t>VÄSTERNORRLANDS LÄN</t>
        </is>
      </c>
      <c r="E1209" t="inlineStr">
        <is>
          <t>ÖRNSKÖLDSVIK</t>
        </is>
      </c>
      <c r="F1209" t="inlineStr">
        <is>
          <t>Kommuner</t>
        </is>
      </c>
      <c r="G1209" t="n">
        <v>3.4</v>
      </c>
      <c r="H1209" t="n">
        <v>1</v>
      </c>
      <c r="I1209" t="n">
        <v>0</v>
      </c>
      <c r="J1209" t="n">
        <v>1</v>
      </c>
      <c r="K1209" t="n">
        <v>0</v>
      </c>
      <c r="L1209" t="n">
        <v>0</v>
      </c>
      <c r="M1209" t="n">
        <v>0</v>
      </c>
      <c r="N1209" t="n">
        <v>0</v>
      </c>
      <c r="O1209" t="n">
        <v>1</v>
      </c>
      <c r="P1209" t="n">
        <v>0</v>
      </c>
      <c r="Q1209" t="n">
        <v>1</v>
      </c>
      <c r="R1209" s="2" t="inlineStr">
        <is>
          <t>Svartvit flugsnappare</t>
        </is>
      </c>
      <c r="S1209">
        <f>HYPERLINK("https://klasma.github.io/Logging_2284/artfynd/A 58802-2023 artfynd.xlsx", "A 58802-2023")</f>
        <v/>
      </c>
      <c r="T1209">
        <f>HYPERLINK("https://klasma.github.io/Logging_2284/kartor/A 58802-2023 karta.png", "A 58802-2023")</f>
        <v/>
      </c>
      <c r="V1209">
        <f>HYPERLINK("https://klasma.github.io/Logging_2284/klagomål/A 58802-2023 FSC-klagomål.docx", "A 58802-2023")</f>
        <v/>
      </c>
      <c r="W1209">
        <f>HYPERLINK("https://klasma.github.io/Logging_2284/klagomålsmail/A 58802-2023 FSC-klagomål mail.docx", "A 58802-2023")</f>
        <v/>
      </c>
      <c r="X1209">
        <f>HYPERLINK("https://klasma.github.io/Logging_2284/tillsyn/A 58802-2023 tillsynsbegäran.docx", "A 58802-2023")</f>
        <v/>
      </c>
      <c r="Y1209">
        <f>HYPERLINK("https://klasma.github.io/Logging_2284/tillsynsmail/A 58802-2023 tillsynsbegäran mail.docx", "A 58802-2023")</f>
        <v/>
      </c>
      <c r="Z1209">
        <f>HYPERLINK("https://klasma.github.io/Logging_2284/fåglar/A 58802-2023 prioriterade fågelarter.docx", "A 58802-2023")</f>
        <v/>
      </c>
    </row>
    <row r="1210" ht="15" customHeight="1">
      <c r="A1210" t="inlineStr">
        <is>
          <t>A 58464-2023</t>
        </is>
      </c>
      <c r="B1210" s="1" t="n">
        <v>45250</v>
      </c>
      <c r="C1210" s="1" t="n">
        <v>45657</v>
      </c>
      <c r="D1210" t="inlineStr">
        <is>
          <t>VÄSTERNORRLANDS LÄN</t>
        </is>
      </c>
      <c r="E1210" t="inlineStr">
        <is>
          <t>TIMRÅ</t>
        </is>
      </c>
      <c r="F1210" t="inlineStr">
        <is>
          <t>SCA</t>
        </is>
      </c>
      <c r="G1210" t="n">
        <v>6.5</v>
      </c>
      <c r="H1210" t="n">
        <v>0</v>
      </c>
      <c r="I1210" t="n">
        <v>0</v>
      </c>
      <c r="J1210" t="n">
        <v>1</v>
      </c>
      <c r="K1210" t="n">
        <v>0</v>
      </c>
      <c r="L1210" t="n">
        <v>0</v>
      </c>
      <c r="M1210" t="n">
        <v>0</v>
      </c>
      <c r="N1210" t="n">
        <v>0</v>
      </c>
      <c r="O1210" t="n">
        <v>1</v>
      </c>
      <c r="P1210" t="n">
        <v>0</v>
      </c>
      <c r="Q1210" t="n">
        <v>1</v>
      </c>
      <c r="R1210" s="2" t="inlineStr">
        <is>
          <t>Granticka</t>
        </is>
      </c>
      <c r="S1210">
        <f>HYPERLINK("https://klasma.github.io/Logging_2262/artfynd/A 58464-2023 artfynd.xlsx", "A 58464-2023")</f>
        <v/>
      </c>
      <c r="T1210">
        <f>HYPERLINK("https://klasma.github.io/Logging_2262/kartor/A 58464-2023 karta.png", "A 58464-2023")</f>
        <v/>
      </c>
      <c r="V1210">
        <f>HYPERLINK("https://klasma.github.io/Logging_2262/klagomål/A 58464-2023 FSC-klagomål.docx", "A 58464-2023")</f>
        <v/>
      </c>
      <c r="W1210">
        <f>HYPERLINK("https://klasma.github.io/Logging_2262/klagomålsmail/A 58464-2023 FSC-klagomål mail.docx", "A 58464-2023")</f>
        <v/>
      </c>
      <c r="X1210">
        <f>HYPERLINK("https://klasma.github.io/Logging_2262/tillsyn/A 58464-2023 tillsynsbegäran.docx", "A 58464-2023")</f>
        <v/>
      </c>
      <c r="Y1210">
        <f>HYPERLINK("https://klasma.github.io/Logging_2262/tillsynsmail/A 58464-2023 tillsynsbegäran mail.docx", "A 58464-2023")</f>
        <v/>
      </c>
    </row>
    <row r="1211" ht="15" customHeight="1">
      <c r="A1211" t="inlineStr">
        <is>
          <t>A 58775-2023</t>
        </is>
      </c>
      <c r="B1211" s="1" t="n">
        <v>45251</v>
      </c>
      <c r="C1211" s="1" t="n">
        <v>45657</v>
      </c>
      <c r="D1211" t="inlineStr">
        <is>
          <t>VÄSTERNORRLANDS LÄN</t>
        </is>
      </c>
      <c r="E1211" t="inlineStr">
        <is>
          <t>ÅNGE</t>
        </is>
      </c>
      <c r="F1211" t="inlineStr">
        <is>
          <t>SCA</t>
        </is>
      </c>
      <c r="G1211" t="n">
        <v>1.4</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58775-2023 artfynd.xlsx", "A 58775-2023")</f>
        <v/>
      </c>
      <c r="T1211">
        <f>HYPERLINK("https://klasma.github.io/Logging_2260/kartor/A 58775-2023 karta.png", "A 58775-2023")</f>
        <v/>
      </c>
      <c r="V1211">
        <f>HYPERLINK("https://klasma.github.io/Logging_2260/klagomål/A 58775-2023 FSC-klagomål.docx", "A 58775-2023")</f>
        <v/>
      </c>
      <c r="W1211">
        <f>HYPERLINK("https://klasma.github.io/Logging_2260/klagomålsmail/A 58775-2023 FSC-klagomål mail.docx", "A 58775-2023")</f>
        <v/>
      </c>
      <c r="X1211">
        <f>HYPERLINK("https://klasma.github.io/Logging_2260/tillsyn/A 58775-2023 tillsynsbegäran.docx", "A 58775-2023")</f>
        <v/>
      </c>
      <c r="Y1211">
        <f>HYPERLINK("https://klasma.github.io/Logging_2260/tillsynsmail/A 58775-2023 tillsynsbegäran mail.docx", "A 58775-2023")</f>
        <v/>
      </c>
    </row>
    <row r="1212" ht="15" customHeight="1">
      <c r="A1212" t="inlineStr">
        <is>
          <t>A 59100-2023</t>
        </is>
      </c>
      <c r="B1212" s="1" t="n">
        <v>45252</v>
      </c>
      <c r="C1212" s="1" t="n">
        <v>45657</v>
      </c>
      <c r="D1212" t="inlineStr">
        <is>
          <t>VÄSTERNORRLANDS LÄN</t>
        </is>
      </c>
      <c r="E1212" t="inlineStr">
        <is>
          <t>SOLLEFTEÅ</t>
        </is>
      </c>
      <c r="F1212" t="inlineStr">
        <is>
          <t>SCA</t>
        </is>
      </c>
      <c r="G1212" t="n">
        <v>4.2</v>
      </c>
      <c r="H1212" t="n">
        <v>0</v>
      </c>
      <c r="I1212" t="n">
        <v>0</v>
      </c>
      <c r="J1212" t="n">
        <v>1</v>
      </c>
      <c r="K1212" t="n">
        <v>0</v>
      </c>
      <c r="L1212" t="n">
        <v>0</v>
      </c>
      <c r="M1212" t="n">
        <v>0</v>
      </c>
      <c r="N1212" t="n">
        <v>0</v>
      </c>
      <c r="O1212" t="n">
        <v>1</v>
      </c>
      <c r="P1212" t="n">
        <v>0</v>
      </c>
      <c r="Q1212" t="n">
        <v>1</v>
      </c>
      <c r="R1212" s="2" t="inlineStr">
        <is>
          <t>Skrovlig taggsvamp</t>
        </is>
      </c>
      <c r="S1212">
        <f>HYPERLINK("https://klasma.github.io/Logging_2283/artfynd/A 59100-2023 artfynd.xlsx", "A 59100-2023")</f>
        <v/>
      </c>
      <c r="T1212">
        <f>HYPERLINK("https://klasma.github.io/Logging_2283/kartor/A 59100-2023 karta.png", "A 59100-2023")</f>
        <v/>
      </c>
      <c r="V1212">
        <f>HYPERLINK("https://klasma.github.io/Logging_2283/klagomål/A 59100-2023 FSC-klagomål.docx", "A 59100-2023")</f>
        <v/>
      </c>
      <c r="W1212">
        <f>HYPERLINK("https://klasma.github.io/Logging_2283/klagomålsmail/A 59100-2023 FSC-klagomål mail.docx", "A 59100-2023")</f>
        <v/>
      </c>
      <c r="X1212">
        <f>HYPERLINK("https://klasma.github.io/Logging_2283/tillsyn/A 59100-2023 tillsynsbegäran.docx", "A 59100-2023")</f>
        <v/>
      </c>
      <c r="Y1212">
        <f>HYPERLINK("https://klasma.github.io/Logging_2283/tillsynsmail/A 59100-2023 tillsynsbegäran mail.docx", "A 59100-2023")</f>
        <v/>
      </c>
    </row>
    <row r="1213" ht="15" customHeight="1">
      <c r="A1213" t="inlineStr">
        <is>
          <t>A 59187-2023</t>
        </is>
      </c>
      <c r="B1213" s="1" t="n">
        <v>45253</v>
      </c>
      <c r="C1213" s="1" t="n">
        <v>45657</v>
      </c>
      <c r="D1213" t="inlineStr">
        <is>
          <t>VÄSTERNORRLANDS LÄN</t>
        </is>
      </c>
      <c r="E1213" t="inlineStr">
        <is>
          <t>ÖRNSKÖLDSVIK</t>
        </is>
      </c>
      <c r="G1213" t="n">
        <v>35.7</v>
      </c>
      <c r="H1213" t="n">
        <v>0</v>
      </c>
      <c r="I1213" t="n">
        <v>0</v>
      </c>
      <c r="J1213" t="n">
        <v>1</v>
      </c>
      <c r="K1213" t="n">
        <v>0</v>
      </c>
      <c r="L1213" t="n">
        <v>0</v>
      </c>
      <c r="M1213" t="n">
        <v>0</v>
      </c>
      <c r="N1213" t="n">
        <v>0</v>
      </c>
      <c r="O1213" t="n">
        <v>1</v>
      </c>
      <c r="P1213" t="n">
        <v>0</v>
      </c>
      <c r="Q1213" t="n">
        <v>1</v>
      </c>
      <c r="R1213" s="2" t="inlineStr">
        <is>
          <t>Garnlav</t>
        </is>
      </c>
      <c r="S1213">
        <f>HYPERLINK("https://klasma.github.io/Logging_2284/artfynd/A 59187-2023 artfynd.xlsx", "A 59187-2023")</f>
        <v/>
      </c>
      <c r="T1213">
        <f>HYPERLINK("https://klasma.github.io/Logging_2284/kartor/A 59187-2023 karta.png", "A 59187-2023")</f>
        <v/>
      </c>
      <c r="V1213">
        <f>HYPERLINK("https://klasma.github.io/Logging_2284/klagomål/A 59187-2023 FSC-klagomål.docx", "A 59187-2023")</f>
        <v/>
      </c>
      <c r="W1213">
        <f>HYPERLINK("https://klasma.github.io/Logging_2284/klagomålsmail/A 59187-2023 FSC-klagomål mail.docx", "A 59187-2023")</f>
        <v/>
      </c>
      <c r="X1213">
        <f>HYPERLINK("https://klasma.github.io/Logging_2284/tillsyn/A 59187-2023 tillsynsbegäran.docx", "A 59187-2023")</f>
        <v/>
      </c>
      <c r="Y1213">
        <f>HYPERLINK("https://klasma.github.io/Logging_2284/tillsynsmail/A 59187-2023 tillsynsbegäran mail.docx", "A 59187-2023")</f>
        <v/>
      </c>
    </row>
    <row r="1214" ht="15" customHeight="1">
      <c r="A1214" t="inlineStr">
        <is>
          <t>A 59870-2023</t>
        </is>
      </c>
      <c r="B1214" s="1" t="n">
        <v>45254</v>
      </c>
      <c r="C1214" s="1" t="n">
        <v>45657</v>
      </c>
      <c r="D1214" t="inlineStr">
        <is>
          <t>VÄSTERNORRLANDS LÄN</t>
        </is>
      </c>
      <c r="E1214" t="inlineStr">
        <is>
          <t>SUNDSVALL</t>
        </is>
      </c>
      <c r="G1214" t="n">
        <v>3.2</v>
      </c>
      <c r="H1214" t="n">
        <v>0</v>
      </c>
      <c r="I1214" t="n">
        <v>0</v>
      </c>
      <c r="J1214" t="n">
        <v>1</v>
      </c>
      <c r="K1214" t="n">
        <v>0</v>
      </c>
      <c r="L1214" t="n">
        <v>0</v>
      </c>
      <c r="M1214" t="n">
        <v>0</v>
      </c>
      <c r="N1214" t="n">
        <v>0</v>
      </c>
      <c r="O1214" t="n">
        <v>1</v>
      </c>
      <c r="P1214" t="n">
        <v>0</v>
      </c>
      <c r="Q1214" t="n">
        <v>1</v>
      </c>
      <c r="R1214" s="2" t="inlineStr">
        <is>
          <t>Lunglav</t>
        </is>
      </c>
      <c r="S1214">
        <f>HYPERLINK("https://klasma.github.io/Logging_2281/artfynd/A 59870-2023 artfynd.xlsx", "A 59870-2023")</f>
        <v/>
      </c>
      <c r="T1214">
        <f>HYPERLINK("https://klasma.github.io/Logging_2281/kartor/A 59870-2023 karta.png", "A 59870-2023")</f>
        <v/>
      </c>
      <c r="V1214">
        <f>HYPERLINK("https://klasma.github.io/Logging_2281/klagomål/A 59870-2023 FSC-klagomål.docx", "A 59870-2023")</f>
        <v/>
      </c>
      <c r="W1214">
        <f>HYPERLINK("https://klasma.github.io/Logging_2281/klagomålsmail/A 59870-2023 FSC-klagomål mail.docx", "A 59870-2023")</f>
        <v/>
      </c>
      <c r="X1214">
        <f>HYPERLINK("https://klasma.github.io/Logging_2281/tillsyn/A 59870-2023 tillsynsbegäran.docx", "A 59870-2023")</f>
        <v/>
      </c>
      <c r="Y1214">
        <f>HYPERLINK("https://klasma.github.io/Logging_2281/tillsynsmail/A 59870-2023 tillsynsbegäran mail.docx", "A 59870-2023")</f>
        <v/>
      </c>
    </row>
    <row r="1215" ht="15" customHeight="1">
      <c r="A1215" t="inlineStr">
        <is>
          <t>A 60577-2023</t>
        </is>
      </c>
      <c r="B1215" s="1" t="n">
        <v>45259</v>
      </c>
      <c r="C1215" s="1" t="n">
        <v>45657</v>
      </c>
      <c r="D1215" t="inlineStr">
        <is>
          <t>VÄSTERNORRLANDS LÄN</t>
        </is>
      </c>
      <c r="E1215" t="inlineStr">
        <is>
          <t>HÄRNÖSAND</t>
        </is>
      </c>
      <c r="F1215" t="inlineStr">
        <is>
          <t>SCA</t>
        </is>
      </c>
      <c r="G1215" t="n">
        <v>2.3</v>
      </c>
      <c r="H1215" t="n">
        <v>0</v>
      </c>
      <c r="I1215" t="n">
        <v>1</v>
      </c>
      <c r="J1215" t="n">
        <v>0</v>
      </c>
      <c r="K1215" t="n">
        <v>0</v>
      </c>
      <c r="L1215" t="n">
        <v>0</v>
      </c>
      <c r="M1215" t="n">
        <v>0</v>
      </c>
      <c r="N1215" t="n">
        <v>0</v>
      </c>
      <c r="O1215" t="n">
        <v>0</v>
      </c>
      <c r="P1215" t="n">
        <v>0</v>
      </c>
      <c r="Q1215" t="n">
        <v>1</v>
      </c>
      <c r="R1215" s="2" t="inlineStr">
        <is>
          <t>Strutbräken</t>
        </is>
      </c>
      <c r="S1215">
        <f>HYPERLINK("https://klasma.github.io/Logging_2280/artfynd/A 60577-2023 artfynd.xlsx", "A 60577-2023")</f>
        <v/>
      </c>
      <c r="T1215">
        <f>HYPERLINK("https://klasma.github.io/Logging_2280/kartor/A 60577-2023 karta.png", "A 60577-2023")</f>
        <v/>
      </c>
      <c r="V1215">
        <f>HYPERLINK("https://klasma.github.io/Logging_2280/klagomål/A 60577-2023 FSC-klagomål.docx", "A 60577-2023")</f>
        <v/>
      </c>
      <c r="W1215">
        <f>HYPERLINK("https://klasma.github.io/Logging_2280/klagomålsmail/A 60577-2023 FSC-klagomål mail.docx", "A 60577-2023")</f>
        <v/>
      </c>
      <c r="X1215">
        <f>HYPERLINK("https://klasma.github.io/Logging_2280/tillsyn/A 60577-2023 tillsynsbegäran.docx", "A 60577-2023")</f>
        <v/>
      </c>
      <c r="Y1215">
        <f>HYPERLINK("https://klasma.github.io/Logging_2280/tillsynsmail/A 60577-2023 tillsynsbegäran mail.docx", "A 60577-2023")</f>
        <v/>
      </c>
    </row>
    <row r="1216" ht="15" customHeight="1">
      <c r="A1216" t="inlineStr">
        <is>
          <t>A 60882-2023</t>
        </is>
      </c>
      <c r="B1216" s="1" t="n">
        <v>45259</v>
      </c>
      <c r="C1216" s="1" t="n">
        <v>45657</v>
      </c>
      <c r="D1216" t="inlineStr">
        <is>
          <t>VÄSTERNORRLANDS LÄN</t>
        </is>
      </c>
      <c r="E1216" t="inlineStr">
        <is>
          <t>ÖRNSKÖLDSVIK</t>
        </is>
      </c>
      <c r="F1216" t="inlineStr">
        <is>
          <t>Kommuner</t>
        </is>
      </c>
      <c r="G1216" t="n">
        <v>3.2</v>
      </c>
      <c r="H1216" t="n">
        <v>1</v>
      </c>
      <c r="I1216" t="n">
        <v>0</v>
      </c>
      <c r="J1216" t="n">
        <v>1</v>
      </c>
      <c r="K1216" t="n">
        <v>0</v>
      </c>
      <c r="L1216" t="n">
        <v>0</v>
      </c>
      <c r="M1216" t="n">
        <v>0</v>
      </c>
      <c r="N1216" t="n">
        <v>0</v>
      </c>
      <c r="O1216" t="n">
        <v>1</v>
      </c>
      <c r="P1216" t="n">
        <v>0</v>
      </c>
      <c r="Q1216" t="n">
        <v>1</v>
      </c>
      <c r="R1216" s="2" t="inlineStr">
        <is>
          <t>Mindre hackspett</t>
        </is>
      </c>
      <c r="S1216">
        <f>HYPERLINK("https://klasma.github.io/Logging_2284/artfynd/A 60882-2023 artfynd.xlsx", "A 60882-2023")</f>
        <v/>
      </c>
      <c r="T1216">
        <f>HYPERLINK("https://klasma.github.io/Logging_2284/kartor/A 60882-2023 karta.png", "A 60882-2023")</f>
        <v/>
      </c>
      <c r="V1216">
        <f>HYPERLINK("https://klasma.github.io/Logging_2284/klagomål/A 60882-2023 FSC-klagomål.docx", "A 60882-2023")</f>
        <v/>
      </c>
      <c r="W1216">
        <f>HYPERLINK("https://klasma.github.io/Logging_2284/klagomålsmail/A 60882-2023 FSC-klagomål mail.docx", "A 60882-2023")</f>
        <v/>
      </c>
      <c r="X1216">
        <f>HYPERLINK("https://klasma.github.io/Logging_2284/tillsyn/A 60882-2023 tillsynsbegäran.docx", "A 60882-2023")</f>
        <v/>
      </c>
      <c r="Y1216">
        <f>HYPERLINK("https://klasma.github.io/Logging_2284/tillsynsmail/A 60882-2023 tillsynsbegäran mail.docx", "A 60882-2023")</f>
        <v/>
      </c>
      <c r="Z1216">
        <f>HYPERLINK("https://klasma.github.io/Logging_2284/fåglar/A 60882-2023 prioriterade fågelarter.docx", "A 60882-2023")</f>
        <v/>
      </c>
    </row>
    <row r="1217" ht="15" customHeight="1">
      <c r="A1217" t="inlineStr">
        <is>
          <t>A 64642-2023</t>
        </is>
      </c>
      <c r="B1217" s="1" t="n">
        <v>45281</v>
      </c>
      <c r="C1217" s="1" t="n">
        <v>45657</v>
      </c>
      <c r="D1217" t="inlineStr">
        <is>
          <t>VÄSTERNORRLANDS LÄN</t>
        </is>
      </c>
      <c r="E1217" t="inlineStr">
        <is>
          <t>ÖRNSKÖLDSVIK</t>
        </is>
      </c>
      <c r="G1217" t="n">
        <v>0.7</v>
      </c>
      <c r="H1217" t="n">
        <v>0</v>
      </c>
      <c r="I1217" t="n">
        <v>1</v>
      </c>
      <c r="J1217" t="n">
        <v>0</v>
      </c>
      <c r="K1217" t="n">
        <v>0</v>
      </c>
      <c r="L1217" t="n">
        <v>0</v>
      </c>
      <c r="M1217" t="n">
        <v>0</v>
      </c>
      <c r="N1217" t="n">
        <v>0</v>
      </c>
      <c r="O1217" t="n">
        <v>0</v>
      </c>
      <c r="P1217" t="n">
        <v>0</v>
      </c>
      <c r="Q1217" t="n">
        <v>1</v>
      </c>
      <c r="R1217" s="2" t="inlineStr">
        <is>
          <t>Sotlav</t>
        </is>
      </c>
      <c r="S1217">
        <f>HYPERLINK("https://klasma.github.io/Logging_2284/artfynd/A 64642-2023 artfynd.xlsx", "A 64642-2023")</f>
        <v/>
      </c>
      <c r="T1217">
        <f>HYPERLINK("https://klasma.github.io/Logging_2284/kartor/A 64642-2023 karta.png", "A 64642-2023")</f>
        <v/>
      </c>
      <c r="V1217">
        <f>HYPERLINK("https://klasma.github.io/Logging_2284/klagomål/A 64642-2023 FSC-klagomål.docx", "A 64642-2023")</f>
        <v/>
      </c>
      <c r="W1217">
        <f>HYPERLINK("https://klasma.github.io/Logging_2284/klagomålsmail/A 64642-2023 FSC-klagomål mail.docx", "A 64642-2023")</f>
        <v/>
      </c>
      <c r="X1217">
        <f>HYPERLINK("https://klasma.github.io/Logging_2284/tillsyn/A 64642-2023 tillsynsbegäran.docx", "A 64642-2023")</f>
        <v/>
      </c>
      <c r="Y1217">
        <f>HYPERLINK("https://klasma.github.io/Logging_2284/tillsynsmail/A 64642-2023 tillsynsbegäran mail.docx", "A 64642-2023")</f>
        <v/>
      </c>
    </row>
    <row r="1218" ht="15" customHeight="1">
      <c r="A1218" t="inlineStr">
        <is>
          <t>A 233-2024</t>
        </is>
      </c>
      <c r="B1218" s="1" t="n">
        <v>45294</v>
      </c>
      <c r="C1218" s="1" t="n">
        <v>45657</v>
      </c>
      <c r="D1218" t="inlineStr">
        <is>
          <t>VÄSTERNORRLANDS LÄN</t>
        </is>
      </c>
      <c r="E1218" t="inlineStr">
        <is>
          <t>SUNDSVALL</t>
        </is>
      </c>
      <c r="G1218" t="n">
        <v>2.4</v>
      </c>
      <c r="H1218" t="n">
        <v>1</v>
      </c>
      <c r="I1218" t="n">
        <v>0</v>
      </c>
      <c r="J1218" t="n">
        <v>1</v>
      </c>
      <c r="K1218" t="n">
        <v>0</v>
      </c>
      <c r="L1218" t="n">
        <v>0</v>
      </c>
      <c r="M1218" t="n">
        <v>0</v>
      </c>
      <c r="N1218" t="n">
        <v>0</v>
      </c>
      <c r="O1218" t="n">
        <v>1</v>
      </c>
      <c r="P1218" t="n">
        <v>0</v>
      </c>
      <c r="Q1218" t="n">
        <v>1</v>
      </c>
      <c r="R1218" s="2" t="inlineStr">
        <is>
          <t>Duvhök</t>
        </is>
      </c>
      <c r="S1218">
        <f>HYPERLINK("https://klasma.github.io/Logging_2281/artfynd/A 233-2024 artfynd.xlsx", "A 233-2024")</f>
        <v/>
      </c>
      <c r="T1218">
        <f>HYPERLINK("https://klasma.github.io/Logging_2281/kartor/A 233-2024 karta.png", "A 233-2024")</f>
        <v/>
      </c>
      <c r="V1218">
        <f>HYPERLINK("https://klasma.github.io/Logging_2281/klagomål/A 233-2024 FSC-klagomål.docx", "A 233-2024")</f>
        <v/>
      </c>
      <c r="W1218">
        <f>HYPERLINK("https://klasma.github.io/Logging_2281/klagomålsmail/A 233-2024 FSC-klagomål mail.docx", "A 233-2024")</f>
        <v/>
      </c>
      <c r="X1218">
        <f>HYPERLINK("https://klasma.github.io/Logging_2281/tillsyn/A 233-2024 tillsynsbegäran.docx", "A 233-2024")</f>
        <v/>
      </c>
      <c r="Y1218">
        <f>HYPERLINK("https://klasma.github.io/Logging_2281/tillsynsmail/A 233-2024 tillsynsbegäran mail.docx", "A 233-2024")</f>
        <v/>
      </c>
      <c r="Z1218">
        <f>HYPERLINK("https://klasma.github.io/Logging_2281/fåglar/A 233-2024 prioriterade fågelarter.docx", "A 233-2024")</f>
        <v/>
      </c>
    </row>
    <row r="1219" ht="15" customHeight="1">
      <c r="A1219" t="inlineStr">
        <is>
          <t>A 386-2024</t>
        </is>
      </c>
      <c r="B1219" s="1" t="n">
        <v>45296</v>
      </c>
      <c r="C1219" s="1" t="n">
        <v>45657</v>
      </c>
      <c r="D1219" t="inlineStr">
        <is>
          <t>VÄSTERNORRLANDS LÄN</t>
        </is>
      </c>
      <c r="E1219" t="inlineStr">
        <is>
          <t>SOLLEFTEÅ</t>
        </is>
      </c>
      <c r="G1219" t="n">
        <v>3.7</v>
      </c>
      <c r="H1219" t="n">
        <v>0</v>
      </c>
      <c r="I1219" t="n">
        <v>0</v>
      </c>
      <c r="J1219" t="n">
        <v>1</v>
      </c>
      <c r="K1219" t="n">
        <v>0</v>
      </c>
      <c r="L1219" t="n">
        <v>0</v>
      </c>
      <c r="M1219" t="n">
        <v>0</v>
      </c>
      <c r="N1219" t="n">
        <v>0</v>
      </c>
      <c r="O1219" t="n">
        <v>1</v>
      </c>
      <c r="P1219" t="n">
        <v>0</v>
      </c>
      <c r="Q1219" t="n">
        <v>1</v>
      </c>
      <c r="R1219" s="2" t="inlineStr">
        <is>
          <t>Kolflarnlav</t>
        </is>
      </c>
      <c r="S1219">
        <f>HYPERLINK("https://klasma.github.io/Logging_2283/artfynd/A 386-2024 artfynd.xlsx", "A 386-2024")</f>
        <v/>
      </c>
      <c r="T1219">
        <f>HYPERLINK("https://klasma.github.io/Logging_2283/kartor/A 386-2024 karta.png", "A 386-2024")</f>
        <v/>
      </c>
      <c r="V1219">
        <f>HYPERLINK("https://klasma.github.io/Logging_2283/klagomål/A 386-2024 FSC-klagomål.docx", "A 386-2024")</f>
        <v/>
      </c>
      <c r="W1219">
        <f>HYPERLINK("https://klasma.github.io/Logging_2283/klagomålsmail/A 386-2024 FSC-klagomål mail.docx", "A 386-2024")</f>
        <v/>
      </c>
      <c r="X1219">
        <f>HYPERLINK("https://klasma.github.io/Logging_2283/tillsyn/A 386-2024 tillsynsbegäran.docx", "A 386-2024")</f>
        <v/>
      </c>
      <c r="Y1219">
        <f>HYPERLINK("https://klasma.github.io/Logging_2283/tillsynsmail/A 386-2024 tillsynsbegäran mail.docx", "A 386-2024")</f>
        <v/>
      </c>
    </row>
    <row r="1220" ht="15" customHeight="1">
      <c r="A1220" t="inlineStr">
        <is>
          <t>A 1058-2024</t>
        </is>
      </c>
      <c r="B1220" s="1" t="n">
        <v>45301</v>
      </c>
      <c r="C1220" s="1" t="n">
        <v>45657</v>
      </c>
      <c r="D1220" t="inlineStr">
        <is>
          <t>VÄSTERNORRLANDS LÄN</t>
        </is>
      </c>
      <c r="E1220" t="inlineStr">
        <is>
          <t>SUNDSVALL</t>
        </is>
      </c>
      <c r="F1220" t="inlineStr">
        <is>
          <t>SCA</t>
        </is>
      </c>
      <c r="G1220" t="n">
        <v>8</v>
      </c>
      <c r="H1220" t="n">
        <v>0</v>
      </c>
      <c r="I1220" t="n">
        <v>0</v>
      </c>
      <c r="J1220" t="n">
        <v>1</v>
      </c>
      <c r="K1220" t="n">
        <v>0</v>
      </c>
      <c r="L1220" t="n">
        <v>0</v>
      </c>
      <c r="M1220" t="n">
        <v>0</v>
      </c>
      <c r="N1220" t="n">
        <v>0</v>
      </c>
      <c r="O1220" t="n">
        <v>1</v>
      </c>
      <c r="P1220" t="n">
        <v>0</v>
      </c>
      <c r="Q1220" t="n">
        <v>1</v>
      </c>
      <c r="R1220" s="2" t="inlineStr">
        <is>
          <t>Garnlav</t>
        </is>
      </c>
      <c r="S1220">
        <f>HYPERLINK("https://klasma.github.io/Logging_2281/artfynd/A 1058-2024 artfynd.xlsx", "A 1058-2024")</f>
        <v/>
      </c>
      <c r="T1220">
        <f>HYPERLINK("https://klasma.github.io/Logging_2281/kartor/A 1058-2024 karta.png", "A 1058-2024")</f>
        <v/>
      </c>
      <c r="V1220">
        <f>HYPERLINK("https://klasma.github.io/Logging_2281/klagomål/A 1058-2024 FSC-klagomål.docx", "A 1058-2024")</f>
        <v/>
      </c>
      <c r="W1220">
        <f>HYPERLINK("https://klasma.github.io/Logging_2281/klagomålsmail/A 1058-2024 FSC-klagomål mail.docx", "A 1058-2024")</f>
        <v/>
      </c>
      <c r="X1220">
        <f>HYPERLINK("https://klasma.github.io/Logging_2281/tillsyn/A 1058-2024 tillsynsbegäran.docx", "A 1058-2024")</f>
        <v/>
      </c>
      <c r="Y1220">
        <f>HYPERLINK("https://klasma.github.io/Logging_2281/tillsynsmail/A 1058-2024 tillsynsbegäran mail.docx", "A 1058-2024")</f>
        <v/>
      </c>
    </row>
    <row r="1221" ht="15" customHeight="1">
      <c r="A1221" t="inlineStr">
        <is>
          <t>A 1073-2024</t>
        </is>
      </c>
      <c r="B1221" s="1" t="n">
        <v>45301</v>
      </c>
      <c r="C1221" s="1" t="n">
        <v>45657</v>
      </c>
      <c r="D1221" t="inlineStr">
        <is>
          <t>VÄSTERNORRLANDS LÄN</t>
        </is>
      </c>
      <c r="E1221" t="inlineStr">
        <is>
          <t>KRAMFORS</t>
        </is>
      </c>
      <c r="G1221" t="n">
        <v>1.8</v>
      </c>
      <c r="H1221" t="n">
        <v>1</v>
      </c>
      <c r="I1221" t="n">
        <v>0</v>
      </c>
      <c r="J1221" t="n">
        <v>1</v>
      </c>
      <c r="K1221" t="n">
        <v>0</v>
      </c>
      <c r="L1221" t="n">
        <v>0</v>
      </c>
      <c r="M1221" t="n">
        <v>0</v>
      </c>
      <c r="N1221" t="n">
        <v>0</v>
      </c>
      <c r="O1221" t="n">
        <v>1</v>
      </c>
      <c r="P1221" t="n">
        <v>0</v>
      </c>
      <c r="Q1221" t="n">
        <v>1</v>
      </c>
      <c r="R1221" s="2" t="inlineStr">
        <is>
          <t>Spillkråka</t>
        </is>
      </c>
      <c r="S1221">
        <f>HYPERLINK("https://klasma.github.io/Logging_2282/artfynd/A 1073-2024 artfynd.xlsx", "A 1073-2024")</f>
        <v/>
      </c>
      <c r="T1221">
        <f>HYPERLINK("https://klasma.github.io/Logging_2282/kartor/A 1073-2024 karta.png", "A 1073-2024")</f>
        <v/>
      </c>
      <c r="V1221">
        <f>HYPERLINK("https://klasma.github.io/Logging_2282/klagomål/A 1073-2024 FSC-klagomål.docx", "A 1073-2024")</f>
        <v/>
      </c>
      <c r="W1221">
        <f>HYPERLINK("https://klasma.github.io/Logging_2282/klagomålsmail/A 1073-2024 FSC-klagomål mail.docx", "A 1073-2024")</f>
        <v/>
      </c>
      <c r="X1221">
        <f>HYPERLINK("https://klasma.github.io/Logging_2282/tillsyn/A 1073-2024 tillsynsbegäran.docx", "A 1073-2024")</f>
        <v/>
      </c>
      <c r="Y1221">
        <f>HYPERLINK("https://klasma.github.io/Logging_2282/tillsynsmail/A 1073-2024 tillsynsbegäran mail.docx", "A 1073-2024")</f>
        <v/>
      </c>
      <c r="Z1221">
        <f>HYPERLINK("https://klasma.github.io/Logging_2282/fåglar/A 1073-2024 prioriterade fågelarter.docx", "A 1073-2024")</f>
        <v/>
      </c>
    </row>
    <row r="1222" ht="15" customHeight="1">
      <c r="A1222" t="inlineStr">
        <is>
          <t>A 1152-2024</t>
        </is>
      </c>
      <c r="B1222" s="1" t="n">
        <v>45302</v>
      </c>
      <c r="C1222" s="1" t="n">
        <v>45657</v>
      </c>
      <c r="D1222" t="inlineStr">
        <is>
          <t>VÄSTERNORRLANDS LÄN</t>
        </is>
      </c>
      <c r="E1222" t="inlineStr">
        <is>
          <t>TIMRÅ</t>
        </is>
      </c>
      <c r="G1222" t="n">
        <v>5.8</v>
      </c>
      <c r="H1222" t="n">
        <v>0</v>
      </c>
      <c r="I1222" t="n">
        <v>1</v>
      </c>
      <c r="J1222" t="n">
        <v>0</v>
      </c>
      <c r="K1222" t="n">
        <v>0</v>
      </c>
      <c r="L1222" t="n">
        <v>0</v>
      </c>
      <c r="M1222" t="n">
        <v>0</v>
      </c>
      <c r="N1222" t="n">
        <v>0</v>
      </c>
      <c r="O1222" t="n">
        <v>0</v>
      </c>
      <c r="P1222" t="n">
        <v>0</v>
      </c>
      <c r="Q1222" t="n">
        <v>1</v>
      </c>
      <c r="R1222" s="2" t="inlineStr">
        <is>
          <t>Tibast</t>
        </is>
      </c>
      <c r="S1222">
        <f>HYPERLINK("https://klasma.github.io/Logging_2262/artfynd/A 1152-2024 artfynd.xlsx", "A 1152-2024")</f>
        <v/>
      </c>
      <c r="T1222">
        <f>HYPERLINK("https://klasma.github.io/Logging_2262/kartor/A 1152-2024 karta.png", "A 1152-2024")</f>
        <v/>
      </c>
      <c r="V1222">
        <f>HYPERLINK("https://klasma.github.io/Logging_2262/klagomål/A 1152-2024 FSC-klagomål.docx", "A 1152-2024")</f>
        <v/>
      </c>
      <c r="W1222">
        <f>HYPERLINK("https://klasma.github.io/Logging_2262/klagomålsmail/A 1152-2024 FSC-klagomål mail.docx", "A 1152-2024")</f>
        <v/>
      </c>
      <c r="X1222">
        <f>HYPERLINK("https://klasma.github.io/Logging_2262/tillsyn/A 1152-2024 tillsynsbegäran.docx", "A 1152-2024")</f>
        <v/>
      </c>
      <c r="Y1222">
        <f>HYPERLINK("https://klasma.github.io/Logging_2262/tillsynsmail/A 1152-2024 tillsynsbegäran mail.docx", "A 1152-2024")</f>
        <v/>
      </c>
    </row>
    <row r="1223" ht="15" customHeight="1">
      <c r="A1223" t="inlineStr">
        <is>
          <t>A 1488-2024</t>
        </is>
      </c>
      <c r="B1223" s="1" t="n">
        <v>45305</v>
      </c>
      <c r="C1223" s="1" t="n">
        <v>45657</v>
      </c>
      <c r="D1223" t="inlineStr">
        <is>
          <t>VÄSTERNORRLANDS LÄN</t>
        </is>
      </c>
      <c r="E1223" t="inlineStr">
        <is>
          <t>ÖRNSKÖLDSVIK</t>
        </is>
      </c>
      <c r="G1223" t="n">
        <v>2.6</v>
      </c>
      <c r="H1223" t="n">
        <v>1</v>
      </c>
      <c r="I1223" t="n">
        <v>0</v>
      </c>
      <c r="J1223" t="n">
        <v>0</v>
      </c>
      <c r="K1223" t="n">
        <v>0</v>
      </c>
      <c r="L1223" t="n">
        <v>0</v>
      </c>
      <c r="M1223" t="n">
        <v>0</v>
      </c>
      <c r="N1223" t="n">
        <v>0</v>
      </c>
      <c r="O1223" t="n">
        <v>0</v>
      </c>
      <c r="P1223" t="n">
        <v>0</v>
      </c>
      <c r="Q1223" t="n">
        <v>1</v>
      </c>
      <c r="R1223" s="2" t="inlineStr">
        <is>
          <t>Vanlig padda</t>
        </is>
      </c>
      <c r="S1223">
        <f>HYPERLINK("https://klasma.github.io/Logging_2284/artfynd/A 1488-2024 artfynd.xlsx", "A 1488-2024")</f>
        <v/>
      </c>
      <c r="T1223">
        <f>HYPERLINK("https://klasma.github.io/Logging_2284/kartor/A 1488-2024 karta.png", "A 1488-2024")</f>
        <v/>
      </c>
      <c r="V1223">
        <f>HYPERLINK("https://klasma.github.io/Logging_2284/klagomål/A 1488-2024 FSC-klagomål.docx", "A 1488-2024")</f>
        <v/>
      </c>
      <c r="W1223">
        <f>HYPERLINK("https://klasma.github.io/Logging_2284/klagomålsmail/A 1488-2024 FSC-klagomål mail.docx", "A 1488-2024")</f>
        <v/>
      </c>
      <c r="X1223">
        <f>HYPERLINK("https://klasma.github.io/Logging_2284/tillsyn/A 1488-2024 tillsynsbegäran.docx", "A 1488-2024")</f>
        <v/>
      </c>
      <c r="Y1223">
        <f>HYPERLINK("https://klasma.github.io/Logging_2284/tillsynsmail/A 1488-2024 tillsynsbegäran mail.docx", "A 1488-2024")</f>
        <v/>
      </c>
    </row>
    <row r="1224" ht="15" customHeight="1">
      <c r="A1224" t="inlineStr">
        <is>
          <t>A 2423-2024</t>
        </is>
      </c>
      <c r="B1224" s="1" t="n">
        <v>45310</v>
      </c>
      <c r="C1224" s="1" t="n">
        <v>45657</v>
      </c>
      <c r="D1224" t="inlineStr">
        <is>
          <t>VÄSTERNORRLANDS LÄN</t>
        </is>
      </c>
      <c r="E1224" t="inlineStr">
        <is>
          <t>SOLLEFTEÅ</t>
        </is>
      </c>
      <c r="F1224" t="inlineStr">
        <is>
          <t>SCA</t>
        </is>
      </c>
      <c r="G1224" t="n">
        <v>3.2</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2423-2024 artfynd.xlsx", "A 2423-2024")</f>
        <v/>
      </c>
      <c r="T1224">
        <f>HYPERLINK("https://klasma.github.io/Logging_2283/kartor/A 2423-2024 karta.png", "A 2423-2024")</f>
        <v/>
      </c>
      <c r="V1224">
        <f>HYPERLINK("https://klasma.github.io/Logging_2283/klagomål/A 2423-2024 FSC-klagomål.docx", "A 2423-2024")</f>
        <v/>
      </c>
      <c r="W1224">
        <f>HYPERLINK("https://klasma.github.io/Logging_2283/klagomålsmail/A 2423-2024 FSC-klagomål mail.docx", "A 2423-2024")</f>
        <v/>
      </c>
      <c r="X1224">
        <f>HYPERLINK("https://klasma.github.io/Logging_2283/tillsyn/A 2423-2024 tillsynsbegäran.docx", "A 2423-2024")</f>
        <v/>
      </c>
      <c r="Y1224">
        <f>HYPERLINK("https://klasma.github.io/Logging_2283/tillsynsmail/A 2423-2024 tillsynsbegäran mail.docx", "A 2423-2024")</f>
        <v/>
      </c>
      <c r="Z1224">
        <f>HYPERLINK("https://klasma.github.io/Logging_2283/fåglar/A 2423-2024 prioriterade fågelarter.docx", "A 2423-2024")</f>
        <v/>
      </c>
    </row>
    <row r="1225" ht="15" customHeight="1">
      <c r="A1225" t="inlineStr">
        <is>
          <t>A 2431-2024</t>
        </is>
      </c>
      <c r="B1225" s="1" t="n">
        <v>45310</v>
      </c>
      <c r="C1225" s="1" t="n">
        <v>45657</v>
      </c>
      <c r="D1225" t="inlineStr">
        <is>
          <t>VÄSTERNORRLANDS LÄN</t>
        </is>
      </c>
      <c r="E1225" t="inlineStr">
        <is>
          <t>ÅNGE</t>
        </is>
      </c>
      <c r="F1225" t="inlineStr">
        <is>
          <t>SCA</t>
        </is>
      </c>
      <c r="G1225" t="n">
        <v>9</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2431-2024 artfynd.xlsx", "A 2431-2024")</f>
        <v/>
      </c>
      <c r="T1225">
        <f>HYPERLINK("https://klasma.github.io/Logging_2260/kartor/A 2431-2024 karta.png", "A 2431-2024")</f>
        <v/>
      </c>
      <c r="V1225">
        <f>HYPERLINK("https://klasma.github.io/Logging_2260/klagomål/A 2431-2024 FSC-klagomål.docx", "A 2431-2024")</f>
        <v/>
      </c>
      <c r="W1225">
        <f>HYPERLINK("https://klasma.github.io/Logging_2260/klagomålsmail/A 2431-2024 FSC-klagomål mail.docx", "A 2431-2024")</f>
        <v/>
      </c>
      <c r="X1225">
        <f>HYPERLINK("https://klasma.github.io/Logging_2260/tillsyn/A 2431-2024 tillsynsbegäran.docx", "A 2431-2024")</f>
        <v/>
      </c>
      <c r="Y1225">
        <f>HYPERLINK("https://klasma.github.io/Logging_2260/tillsynsmail/A 2431-2024 tillsynsbegäran mail.docx", "A 2431-2024")</f>
        <v/>
      </c>
    </row>
    <row r="1226" ht="15" customHeight="1">
      <c r="A1226" t="inlineStr">
        <is>
          <t>A 2429-2024</t>
        </is>
      </c>
      <c r="B1226" s="1" t="n">
        <v>45310</v>
      </c>
      <c r="C1226" s="1" t="n">
        <v>45657</v>
      </c>
      <c r="D1226" t="inlineStr">
        <is>
          <t>VÄSTERNORRLANDS LÄN</t>
        </is>
      </c>
      <c r="E1226" t="inlineStr">
        <is>
          <t>ÅNGE</t>
        </is>
      </c>
      <c r="F1226" t="inlineStr">
        <is>
          <t>SCA</t>
        </is>
      </c>
      <c r="G1226" t="n">
        <v>8.199999999999999</v>
      </c>
      <c r="H1226" t="n">
        <v>0</v>
      </c>
      <c r="I1226" t="n">
        <v>0</v>
      </c>
      <c r="J1226" t="n">
        <v>1</v>
      </c>
      <c r="K1226" t="n">
        <v>0</v>
      </c>
      <c r="L1226" t="n">
        <v>0</v>
      </c>
      <c r="M1226" t="n">
        <v>0</v>
      </c>
      <c r="N1226" t="n">
        <v>0</v>
      </c>
      <c r="O1226" t="n">
        <v>1</v>
      </c>
      <c r="P1226" t="n">
        <v>0</v>
      </c>
      <c r="Q1226" t="n">
        <v>1</v>
      </c>
      <c r="R1226" s="2" t="inlineStr">
        <is>
          <t>Kolflarnlav</t>
        </is>
      </c>
      <c r="S1226">
        <f>HYPERLINK("https://klasma.github.io/Logging_2260/artfynd/A 2429-2024 artfynd.xlsx", "A 2429-2024")</f>
        <v/>
      </c>
      <c r="T1226">
        <f>HYPERLINK("https://klasma.github.io/Logging_2260/kartor/A 2429-2024 karta.png", "A 2429-2024")</f>
        <v/>
      </c>
      <c r="V1226">
        <f>HYPERLINK("https://klasma.github.io/Logging_2260/klagomål/A 2429-2024 FSC-klagomål.docx", "A 2429-2024")</f>
        <v/>
      </c>
      <c r="W1226">
        <f>HYPERLINK("https://klasma.github.io/Logging_2260/klagomålsmail/A 2429-2024 FSC-klagomål mail.docx", "A 2429-2024")</f>
        <v/>
      </c>
      <c r="X1226">
        <f>HYPERLINK("https://klasma.github.io/Logging_2260/tillsyn/A 2429-2024 tillsynsbegäran.docx", "A 2429-2024")</f>
        <v/>
      </c>
      <c r="Y1226">
        <f>HYPERLINK("https://klasma.github.io/Logging_2260/tillsynsmail/A 2429-2024 tillsynsbegäran mail.docx", "A 2429-2024")</f>
        <v/>
      </c>
    </row>
    <row r="1227" ht="15" customHeight="1">
      <c r="A1227" t="inlineStr">
        <is>
          <t>A 2570-2024</t>
        </is>
      </c>
      <c r="B1227" s="1" t="n">
        <v>45313</v>
      </c>
      <c r="C1227" s="1" t="n">
        <v>45657</v>
      </c>
      <c r="D1227" t="inlineStr">
        <is>
          <t>VÄSTERNORRLANDS LÄN</t>
        </is>
      </c>
      <c r="E1227" t="inlineStr">
        <is>
          <t>SOLLEFTEÅ</t>
        </is>
      </c>
      <c r="F1227" t="inlineStr">
        <is>
          <t>Kommuner</t>
        </is>
      </c>
      <c r="G1227" t="n">
        <v>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HYPERLINK("https://klasma.github.io/Logging_2283/artfynd/A 2570-2024 artfynd.xlsx", "A 2570-2024")</f>
        <v/>
      </c>
      <c r="T1227">
        <f>HYPERLINK("https://klasma.github.io/Logging_2283/kartor/A 2570-2024 karta.png", "A 2570-2024")</f>
        <v/>
      </c>
      <c r="V1227">
        <f>HYPERLINK("https://klasma.github.io/Logging_2283/klagomål/A 2570-2024 FSC-klagomål.docx", "A 2570-2024")</f>
        <v/>
      </c>
      <c r="W1227">
        <f>HYPERLINK("https://klasma.github.io/Logging_2283/klagomålsmail/A 2570-2024 FSC-klagomål mail.docx", "A 2570-2024")</f>
        <v/>
      </c>
      <c r="X1227">
        <f>HYPERLINK("https://klasma.github.io/Logging_2283/tillsyn/A 2570-2024 tillsynsbegäran.docx", "A 2570-2024")</f>
        <v/>
      </c>
      <c r="Y1227">
        <f>HYPERLINK("https://klasma.github.io/Logging_2283/tillsynsmail/A 2570-2024 tillsynsbegäran mail.docx", "A 2570-2024")</f>
        <v/>
      </c>
      <c r="Z1227">
        <f>HYPERLINK("https://klasma.github.io/Logging_2283/fåglar/A 2570-2024 prioriterade fågelarter.docx", "A 2570-2024")</f>
        <v/>
      </c>
    </row>
    <row r="1228" ht="15" customHeight="1">
      <c r="A1228" t="inlineStr">
        <is>
          <t>A 2795-2024</t>
        </is>
      </c>
      <c r="B1228" s="1" t="n">
        <v>45314</v>
      </c>
      <c r="C1228" s="1" t="n">
        <v>45657</v>
      </c>
      <c r="D1228" t="inlineStr">
        <is>
          <t>VÄSTERNORRLANDS LÄN</t>
        </is>
      </c>
      <c r="E1228" t="inlineStr">
        <is>
          <t>HÄRNÖSAND</t>
        </is>
      </c>
      <c r="F1228" t="inlineStr">
        <is>
          <t>Kyrkan</t>
        </is>
      </c>
      <c r="G1228" t="n">
        <v>2.5</v>
      </c>
      <c r="H1228" t="n">
        <v>0</v>
      </c>
      <c r="I1228" t="n">
        <v>0</v>
      </c>
      <c r="J1228" t="n">
        <v>1</v>
      </c>
      <c r="K1228" t="n">
        <v>0</v>
      </c>
      <c r="L1228" t="n">
        <v>0</v>
      </c>
      <c r="M1228" t="n">
        <v>0</v>
      </c>
      <c r="N1228" t="n">
        <v>0</v>
      </c>
      <c r="O1228" t="n">
        <v>1</v>
      </c>
      <c r="P1228" t="n">
        <v>0</v>
      </c>
      <c r="Q1228" t="n">
        <v>1</v>
      </c>
      <c r="R1228" s="2" t="inlineStr">
        <is>
          <t>Ullticka</t>
        </is>
      </c>
      <c r="S1228">
        <f>HYPERLINK("https://klasma.github.io/Logging_2280/artfynd/A 2795-2024 artfynd.xlsx", "A 2795-2024")</f>
        <v/>
      </c>
      <c r="T1228">
        <f>HYPERLINK("https://klasma.github.io/Logging_2280/kartor/A 2795-2024 karta.png", "A 2795-2024")</f>
        <v/>
      </c>
      <c r="V1228">
        <f>HYPERLINK("https://klasma.github.io/Logging_2280/klagomål/A 2795-2024 FSC-klagomål.docx", "A 2795-2024")</f>
        <v/>
      </c>
      <c r="W1228">
        <f>HYPERLINK("https://klasma.github.io/Logging_2280/klagomålsmail/A 2795-2024 FSC-klagomål mail.docx", "A 2795-2024")</f>
        <v/>
      </c>
      <c r="X1228">
        <f>HYPERLINK("https://klasma.github.io/Logging_2280/tillsyn/A 2795-2024 tillsynsbegäran.docx", "A 2795-2024")</f>
        <v/>
      </c>
      <c r="Y1228">
        <f>HYPERLINK("https://klasma.github.io/Logging_2280/tillsynsmail/A 2795-2024 tillsynsbegäran mail.docx", "A 2795-2024")</f>
        <v/>
      </c>
    </row>
    <row r="1229" ht="15" customHeight="1">
      <c r="A1229" t="inlineStr">
        <is>
          <t>A 3819-2024</t>
        </is>
      </c>
      <c r="B1229" s="1" t="n">
        <v>45321</v>
      </c>
      <c r="C1229" s="1" t="n">
        <v>45657</v>
      </c>
      <c r="D1229" t="inlineStr">
        <is>
          <t>VÄSTERNORRLANDS LÄN</t>
        </is>
      </c>
      <c r="E1229" t="inlineStr">
        <is>
          <t>SUNDSVALL</t>
        </is>
      </c>
      <c r="G1229" t="n">
        <v>13.5</v>
      </c>
      <c r="H1229" t="n">
        <v>1</v>
      </c>
      <c r="I1229" t="n">
        <v>0</v>
      </c>
      <c r="J1229" t="n">
        <v>0</v>
      </c>
      <c r="K1229" t="n">
        <v>1</v>
      </c>
      <c r="L1229" t="n">
        <v>0</v>
      </c>
      <c r="M1229" t="n">
        <v>0</v>
      </c>
      <c r="N1229" t="n">
        <v>0</v>
      </c>
      <c r="O1229" t="n">
        <v>1</v>
      </c>
      <c r="P1229" t="n">
        <v>1</v>
      </c>
      <c r="Q1229" t="n">
        <v>1</v>
      </c>
      <c r="R1229" s="2" t="inlineStr">
        <is>
          <t>Bombmurkla</t>
        </is>
      </c>
      <c r="S1229">
        <f>HYPERLINK("https://klasma.github.io/Logging_2281/artfynd/A 3819-2024 artfynd.xlsx", "A 3819-2024")</f>
        <v/>
      </c>
      <c r="T1229">
        <f>HYPERLINK("https://klasma.github.io/Logging_2281/kartor/A 3819-2024 karta.png", "A 3819-2024")</f>
        <v/>
      </c>
      <c r="V1229">
        <f>HYPERLINK("https://klasma.github.io/Logging_2281/klagomål/A 3819-2024 FSC-klagomål.docx", "A 3819-2024")</f>
        <v/>
      </c>
      <c r="W1229">
        <f>HYPERLINK("https://klasma.github.io/Logging_2281/klagomålsmail/A 3819-2024 FSC-klagomål mail.docx", "A 3819-2024")</f>
        <v/>
      </c>
      <c r="X1229">
        <f>HYPERLINK("https://klasma.github.io/Logging_2281/tillsyn/A 3819-2024 tillsynsbegäran.docx", "A 3819-2024")</f>
        <v/>
      </c>
      <c r="Y1229">
        <f>HYPERLINK("https://klasma.github.io/Logging_2281/tillsynsmail/A 3819-2024 tillsynsbegäran mail.docx", "A 3819-2024")</f>
        <v/>
      </c>
    </row>
    <row r="1230" ht="15" customHeight="1">
      <c r="A1230" t="inlineStr">
        <is>
          <t>A 3959-2024</t>
        </is>
      </c>
      <c r="B1230" s="1" t="n">
        <v>45322</v>
      </c>
      <c r="C1230" s="1" t="n">
        <v>45657</v>
      </c>
      <c r="D1230" t="inlineStr">
        <is>
          <t>VÄSTERNORRLANDS LÄN</t>
        </is>
      </c>
      <c r="E1230" t="inlineStr">
        <is>
          <t>SOLLEFTEÅ</t>
        </is>
      </c>
      <c r="F1230" t="inlineStr">
        <is>
          <t>Kommuner</t>
        </is>
      </c>
      <c r="G1230" t="n">
        <v>1</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3959-2024 artfynd.xlsx", "A 3959-2024")</f>
        <v/>
      </c>
      <c r="T1230">
        <f>HYPERLINK("https://klasma.github.io/Logging_2283/kartor/A 3959-2024 karta.png", "A 3959-2024")</f>
        <v/>
      </c>
      <c r="V1230">
        <f>HYPERLINK("https://klasma.github.io/Logging_2283/klagomål/A 3959-2024 FSC-klagomål.docx", "A 3959-2024")</f>
        <v/>
      </c>
      <c r="W1230">
        <f>HYPERLINK("https://klasma.github.io/Logging_2283/klagomålsmail/A 3959-2024 FSC-klagomål mail.docx", "A 3959-2024")</f>
        <v/>
      </c>
      <c r="X1230">
        <f>HYPERLINK("https://klasma.github.io/Logging_2283/tillsyn/A 3959-2024 tillsynsbegäran.docx", "A 3959-2024")</f>
        <v/>
      </c>
      <c r="Y1230">
        <f>HYPERLINK("https://klasma.github.io/Logging_2283/tillsynsmail/A 3959-2024 tillsynsbegäran mail.docx", "A 3959-2024")</f>
        <v/>
      </c>
    </row>
    <row r="1231" ht="15" customHeight="1">
      <c r="A1231" t="inlineStr">
        <is>
          <t>A 4351-2024</t>
        </is>
      </c>
      <c r="B1231" s="1" t="n">
        <v>45324</v>
      </c>
      <c r="C1231" s="1" t="n">
        <v>45657</v>
      </c>
      <c r="D1231" t="inlineStr">
        <is>
          <t>VÄSTERNORRLANDS LÄN</t>
        </is>
      </c>
      <c r="E1231" t="inlineStr">
        <is>
          <t>ÅNGE</t>
        </is>
      </c>
      <c r="F1231" t="inlineStr">
        <is>
          <t>SCA</t>
        </is>
      </c>
      <c r="G1231" t="n">
        <v>0.5</v>
      </c>
      <c r="H1231" t="n">
        <v>0</v>
      </c>
      <c r="I1231" t="n">
        <v>0</v>
      </c>
      <c r="J1231" t="n">
        <v>1</v>
      </c>
      <c r="K1231" t="n">
        <v>0</v>
      </c>
      <c r="L1231" t="n">
        <v>0</v>
      </c>
      <c r="M1231" t="n">
        <v>0</v>
      </c>
      <c r="N1231" t="n">
        <v>0</v>
      </c>
      <c r="O1231" t="n">
        <v>1</v>
      </c>
      <c r="P1231" t="n">
        <v>0</v>
      </c>
      <c r="Q1231" t="n">
        <v>1</v>
      </c>
      <c r="R1231" s="2" t="inlineStr">
        <is>
          <t>Garnlav</t>
        </is>
      </c>
      <c r="S1231">
        <f>HYPERLINK("https://klasma.github.io/Logging_2260/artfynd/A 4351-2024 artfynd.xlsx", "A 4351-2024")</f>
        <v/>
      </c>
      <c r="T1231">
        <f>HYPERLINK("https://klasma.github.io/Logging_2260/kartor/A 4351-2024 karta.png", "A 4351-2024")</f>
        <v/>
      </c>
      <c r="V1231">
        <f>HYPERLINK("https://klasma.github.io/Logging_2260/klagomål/A 4351-2024 FSC-klagomål.docx", "A 4351-2024")</f>
        <v/>
      </c>
      <c r="W1231">
        <f>HYPERLINK("https://klasma.github.io/Logging_2260/klagomålsmail/A 4351-2024 FSC-klagomål mail.docx", "A 4351-2024")</f>
        <v/>
      </c>
      <c r="X1231">
        <f>HYPERLINK("https://klasma.github.io/Logging_2260/tillsyn/A 4351-2024 tillsynsbegäran.docx", "A 4351-2024")</f>
        <v/>
      </c>
      <c r="Y1231">
        <f>HYPERLINK("https://klasma.github.io/Logging_2260/tillsynsmail/A 4351-2024 tillsynsbegäran mail.docx", "A 4351-2024")</f>
        <v/>
      </c>
    </row>
    <row r="1232" ht="15" customHeight="1">
      <c r="A1232" t="inlineStr">
        <is>
          <t>A 4817-2024</t>
        </is>
      </c>
      <c r="B1232" s="1" t="n">
        <v>45328</v>
      </c>
      <c r="C1232" s="1" t="n">
        <v>45657</v>
      </c>
      <c r="D1232" t="inlineStr">
        <is>
          <t>VÄSTERNORRLANDS LÄN</t>
        </is>
      </c>
      <c r="E1232" t="inlineStr">
        <is>
          <t>HÄRNÖSAND</t>
        </is>
      </c>
      <c r="G1232" t="n">
        <v>7.8</v>
      </c>
      <c r="H1232" t="n">
        <v>0</v>
      </c>
      <c r="I1232" t="n">
        <v>0</v>
      </c>
      <c r="J1232" t="n">
        <v>0</v>
      </c>
      <c r="K1232" t="n">
        <v>1</v>
      </c>
      <c r="L1232" t="n">
        <v>0</v>
      </c>
      <c r="M1232" t="n">
        <v>0</v>
      </c>
      <c r="N1232" t="n">
        <v>0</v>
      </c>
      <c r="O1232" t="n">
        <v>1</v>
      </c>
      <c r="P1232" t="n">
        <v>1</v>
      </c>
      <c r="Q1232" t="n">
        <v>1</v>
      </c>
      <c r="R1232" s="2" t="inlineStr">
        <is>
          <t>Rynkskinn</t>
        </is>
      </c>
      <c r="S1232">
        <f>HYPERLINK("https://klasma.github.io/Logging_2280/artfynd/A 4817-2024 artfynd.xlsx", "A 4817-2024")</f>
        <v/>
      </c>
      <c r="T1232">
        <f>HYPERLINK("https://klasma.github.io/Logging_2280/kartor/A 4817-2024 karta.png", "A 4817-2024")</f>
        <v/>
      </c>
      <c r="V1232">
        <f>HYPERLINK("https://klasma.github.io/Logging_2280/klagomål/A 4817-2024 FSC-klagomål.docx", "A 4817-2024")</f>
        <v/>
      </c>
      <c r="W1232">
        <f>HYPERLINK("https://klasma.github.io/Logging_2280/klagomålsmail/A 4817-2024 FSC-klagomål mail.docx", "A 4817-2024")</f>
        <v/>
      </c>
      <c r="X1232">
        <f>HYPERLINK("https://klasma.github.io/Logging_2280/tillsyn/A 4817-2024 tillsynsbegäran.docx", "A 4817-2024")</f>
        <v/>
      </c>
      <c r="Y1232">
        <f>HYPERLINK("https://klasma.github.io/Logging_2280/tillsynsmail/A 4817-2024 tillsynsbegäran mail.docx", "A 4817-2024")</f>
        <v/>
      </c>
    </row>
    <row r="1233" ht="15" customHeight="1">
      <c r="A1233" t="inlineStr">
        <is>
          <t>A 4922-2024</t>
        </is>
      </c>
      <c r="B1233" s="1" t="n">
        <v>45329</v>
      </c>
      <c r="C1233" s="1" t="n">
        <v>45657</v>
      </c>
      <c r="D1233" t="inlineStr">
        <is>
          <t>VÄSTERNORRLANDS LÄN</t>
        </is>
      </c>
      <c r="E1233" t="inlineStr">
        <is>
          <t>ÅNGE</t>
        </is>
      </c>
      <c r="G1233" t="n">
        <v>3.1</v>
      </c>
      <c r="H1233" t="n">
        <v>1</v>
      </c>
      <c r="I1233" t="n">
        <v>1</v>
      </c>
      <c r="J1233" t="n">
        <v>0</v>
      </c>
      <c r="K1233" t="n">
        <v>0</v>
      </c>
      <c r="L1233" t="n">
        <v>0</v>
      </c>
      <c r="M1233" t="n">
        <v>0</v>
      </c>
      <c r="N1233" t="n">
        <v>0</v>
      </c>
      <c r="O1233" t="n">
        <v>0</v>
      </c>
      <c r="P1233" t="n">
        <v>0</v>
      </c>
      <c r="Q1233" t="n">
        <v>1</v>
      </c>
      <c r="R1233" s="2" t="inlineStr">
        <is>
          <t>Guckusko</t>
        </is>
      </c>
      <c r="S1233">
        <f>HYPERLINK("https://klasma.github.io/Logging_2260/artfynd/A 4922-2024 artfynd.xlsx", "A 4922-2024")</f>
        <v/>
      </c>
      <c r="T1233">
        <f>HYPERLINK("https://klasma.github.io/Logging_2260/kartor/A 4922-2024 karta.png", "A 4922-2024")</f>
        <v/>
      </c>
      <c r="U1233">
        <f>HYPERLINK("https://klasma.github.io/Logging_2260/knärot/A 4922-2024 karta knärot.png", "A 4922-2024")</f>
        <v/>
      </c>
      <c r="V1233">
        <f>HYPERLINK("https://klasma.github.io/Logging_2260/klagomål/A 4922-2024 FSC-klagomål.docx", "A 4922-2024")</f>
        <v/>
      </c>
      <c r="W1233">
        <f>HYPERLINK("https://klasma.github.io/Logging_2260/klagomålsmail/A 4922-2024 FSC-klagomål mail.docx", "A 4922-2024")</f>
        <v/>
      </c>
      <c r="X1233">
        <f>HYPERLINK("https://klasma.github.io/Logging_2260/tillsyn/A 4922-2024 tillsynsbegäran.docx", "A 4922-2024")</f>
        <v/>
      </c>
      <c r="Y1233">
        <f>HYPERLINK("https://klasma.github.io/Logging_2260/tillsynsmail/A 4922-2024 tillsynsbegäran mail.docx", "A 4922-2024")</f>
        <v/>
      </c>
    </row>
    <row r="1234" ht="15" customHeight="1">
      <c r="A1234" t="inlineStr">
        <is>
          <t>A 5033-2024</t>
        </is>
      </c>
      <c r="B1234" s="1" t="n">
        <v>45329</v>
      </c>
      <c r="C1234" s="1" t="n">
        <v>45657</v>
      </c>
      <c r="D1234" t="inlineStr">
        <is>
          <t>VÄSTERNORRLANDS LÄN</t>
        </is>
      </c>
      <c r="E1234" t="inlineStr">
        <is>
          <t>SOLLEFTEÅ</t>
        </is>
      </c>
      <c r="F1234" t="inlineStr">
        <is>
          <t>Övriga Aktiebolag</t>
        </is>
      </c>
      <c r="G1234" t="n">
        <v>3.2</v>
      </c>
      <c r="H1234" t="n">
        <v>0</v>
      </c>
      <c r="I1234" t="n">
        <v>1</v>
      </c>
      <c r="J1234" t="n">
        <v>0</v>
      </c>
      <c r="K1234" t="n">
        <v>0</v>
      </c>
      <c r="L1234" t="n">
        <v>0</v>
      </c>
      <c r="M1234" t="n">
        <v>0</v>
      </c>
      <c r="N1234" t="n">
        <v>0</v>
      </c>
      <c r="O1234" t="n">
        <v>0</v>
      </c>
      <c r="P1234" t="n">
        <v>0</v>
      </c>
      <c r="Q1234" t="n">
        <v>1</v>
      </c>
      <c r="R1234" s="2" t="inlineStr">
        <is>
          <t>Kransrams</t>
        </is>
      </c>
      <c r="S1234">
        <f>HYPERLINK("https://klasma.github.io/Logging_2283/artfynd/A 5033-2024 artfynd.xlsx", "A 5033-2024")</f>
        <v/>
      </c>
      <c r="T1234">
        <f>HYPERLINK("https://klasma.github.io/Logging_2283/kartor/A 5033-2024 karta.png", "A 5033-2024")</f>
        <v/>
      </c>
      <c r="V1234">
        <f>HYPERLINK("https://klasma.github.io/Logging_2283/klagomål/A 5033-2024 FSC-klagomål.docx", "A 5033-2024")</f>
        <v/>
      </c>
      <c r="W1234">
        <f>HYPERLINK("https://klasma.github.io/Logging_2283/klagomålsmail/A 5033-2024 FSC-klagomål mail.docx", "A 5033-2024")</f>
        <v/>
      </c>
      <c r="X1234">
        <f>HYPERLINK("https://klasma.github.io/Logging_2283/tillsyn/A 5033-2024 tillsynsbegäran.docx", "A 5033-2024")</f>
        <v/>
      </c>
      <c r="Y1234">
        <f>HYPERLINK("https://klasma.github.io/Logging_2283/tillsynsmail/A 5033-2024 tillsynsbegäran mail.docx", "A 5033-2024")</f>
        <v/>
      </c>
    </row>
    <row r="1235" ht="15" customHeight="1">
      <c r="A1235" t="inlineStr">
        <is>
          <t>A 6285-2024</t>
        </is>
      </c>
      <c r="B1235" s="1" t="n">
        <v>45337</v>
      </c>
      <c r="C1235" s="1" t="n">
        <v>45657</v>
      </c>
      <c r="D1235" t="inlineStr">
        <is>
          <t>VÄSTERNORRLANDS LÄN</t>
        </is>
      </c>
      <c r="E1235" t="inlineStr">
        <is>
          <t>ÅNGE</t>
        </is>
      </c>
      <c r="F1235" t="inlineStr">
        <is>
          <t>SCA</t>
        </is>
      </c>
      <c r="G1235" t="n">
        <v>56.2</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6285-2024 artfynd.xlsx", "A 6285-2024")</f>
        <v/>
      </c>
      <c r="T1235">
        <f>HYPERLINK("https://klasma.github.io/Logging_2260/kartor/A 6285-2024 karta.png", "A 6285-2024")</f>
        <v/>
      </c>
      <c r="U1235">
        <f>HYPERLINK("https://klasma.github.io/Logging_2260/knärot/A 6285-2024 karta knärot.png", "A 6285-2024")</f>
        <v/>
      </c>
      <c r="V1235">
        <f>HYPERLINK("https://klasma.github.io/Logging_2260/klagomål/A 6285-2024 FSC-klagomål.docx", "A 6285-2024")</f>
        <v/>
      </c>
      <c r="W1235">
        <f>HYPERLINK("https://klasma.github.io/Logging_2260/klagomålsmail/A 6285-2024 FSC-klagomål mail.docx", "A 6285-2024")</f>
        <v/>
      </c>
      <c r="X1235">
        <f>HYPERLINK("https://klasma.github.io/Logging_2260/tillsyn/A 6285-2024 tillsynsbegäran.docx", "A 6285-2024")</f>
        <v/>
      </c>
      <c r="Y1235">
        <f>HYPERLINK("https://klasma.github.io/Logging_2260/tillsynsmail/A 6285-2024 tillsynsbegäran mail.docx", "A 6285-2024")</f>
        <v/>
      </c>
    </row>
    <row r="1236" ht="15" customHeight="1">
      <c r="A1236" t="inlineStr">
        <is>
          <t>A 6629-2024</t>
        </is>
      </c>
      <c r="B1236" s="1" t="n">
        <v>45341</v>
      </c>
      <c r="C1236" s="1" t="n">
        <v>45657</v>
      </c>
      <c r="D1236" t="inlineStr">
        <is>
          <t>VÄSTERNORRLANDS LÄN</t>
        </is>
      </c>
      <c r="E1236" t="inlineStr">
        <is>
          <t>SUNDSVALL</t>
        </is>
      </c>
      <c r="G1236" t="n">
        <v>0.7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6629-2024 artfynd.xlsx", "A 6629-2024")</f>
        <v/>
      </c>
      <c r="T1236">
        <f>HYPERLINK("https://klasma.github.io/Logging_2281/kartor/A 6629-2024 karta.png", "A 6629-2024")</f>
        <v/>
      </c>
      <c r="V1236">
        <f>HYPERLINK("https://klasma.github.io/Logging_2281/klagomål/A 6629-2024 FSC-klagomål.docx", "A 6629-2024")</f>
        <v/>
      </c>
      <c r="W1236">
        <f>HYPERLINK("https://klasma.github.io/Logging_2281/klagomålsmail/A 6629-2024 FSC-klagomål mail.docx", "A 6629-2024")</f>
        <v/>
      </c>
      <c r="X1236">
        <f>HYPERLINK("https://klasma.github.io/Logging_2281/tillsyn/A 6629-2024 tillsynsbegäran.docx", "A 6629-2024")</f>
        <v/>
      </c>
      <c r="Y1236">
        <f>HYPERLINK("https://klasma.github.io/Logging_2281/tillsynsmail/A 6629-2024 tillsynsbegäran mail.docx", "A 6629-2024")</f>
        <v/>
      </c>
      <c r="Z1236">
        <f>HYPERLINK("https://klasma.github.io/Logging_2281/fåglar/A 6629-2024 prioriterade fågelarter.docx", "A 6629-2024")</f>
        <v/>
      </c>
    </row>
    <row r="1237" ht="15" customHeight="1">
      <c r="A1237" t="inlineStr">
        <is>
          <t>A 6889-2024</t>
        </is>
      </c>
      <c r="B1237" s="1" t="n">
        <v>45342</v>
      </c>
      <c r="C1237" s="1" t="n">
        <v>45657</v>
      </c>
      <c r="D1237" t="inlineStr">
        <is>
          <t>VÄSTERNORRLANDS LÄN</t>
        </is>
      </c>
      <c r="E1237" t="inlineStr">
        <is>
          <t>SOLLEFTEÅ</t>
        </is>
      </c>
      <c r="G1237" t="n">
        <v>2.8</v>
      </c>
      <c r="H1237" t="n">
        <v>0</v>
      </c>
      <c r="I1237" t="n">
        <v>0</v>
      </c>
      <c r="J1237" t="n">
        <v>1</v>
      </c>
      <c r="K1237" t="n">
        <v>0</v>
      </c>
      <c r="L1237" t="n">
        <v>0</v>
      </c>
      <c r="M1237" t="n">
        <v>0</v>
      </c>
      <c r="N1237" t="n">
        <v>0</v>
      </c>
      <c r="O1237" t="n">
        <v>1</v>
      </c>
      <c r="P1237" t="n">
        <v>0</v>
      </c>
      <c r="Q1237" t="n">
        <v>1</v>
      </c>
      <c r="R1237" s="2" t="inlineStr">
        <is>
          <t>Granticka</t>
        </is>
      </c>
      <c r="S1237">
        <f>HYPERLINK("https://klasma.github.io/Logging_2283/artfynd/A 6889-2024 artfynd.xlsx", "A 6889-2024")</f>
        <v/>
      </c>
      <c r="T1237">
        <f>HYPERLINK("https://klasma.github.io/Logging_2283/kartor/A 6889-2024 karta.png", "A 6889-2024")</f>
        <v/>
      </c>
      <c r="V1237">
        <f>HYPERLINK("https://klasma.github.io/Logging_2283/klagomål/A 6889-2024 FSC-klagomål.docx", "A 6889-2024")</f>
        <v/>
      </c>
      <c r="W1237">
        <f>HYPERLINK("https://klasma.github.io/Logging_2283/klagomålsmail/A 6889-2024 FSC-klagomål mail.docx", "A 6889-2024")</f>
        <v/>
      </c>
      <c r="X1237">
        <f>HYPERLINK("https://klasma.github.io/Logging_2283/tillsyn/A 6889-2024 tillsynsbegäran.docx", "A 6889-2024")</f>
        <v/>
      </c>
      <c r="Y1237">
        <f>HYPERLINK("https://klasma.github.io/Logging_2283/tillsynsmail/A 6889-2024 tillsynsbegäran mail.docx", "A 6889-2024")</f>
        <v/>
      </c>
    </row>
    <row r="1238" ht="15" customHeight="1">
      <c r="A1238" t="inlineStr">
        <is>
          <t>A 6897-2024</t>
        </is>
      </c>
      <c r="B1238" s="1" t="n">
        <v>45342</v>
      </c>
      <c r="C1238" s="1" t="n">
        <v>45657</v>
      </c>
      <c r="D1238" t="inlineStr">
        <is>
          <t>VÄSTERNORRLANDS LÄN</t>
        </is>
      </c>
      <c r="E1238" t="inlineStr">
        <is>
          <t>SUNDSVALL</t>
        </is>
      </c>
      <c r="G1238" t="n">
        <v>22.7</v>
      </c>
      <c r="H1238" t="n">
        <v>1</v>
      </c>
      <c r="I1238" t="n">
        <v>0</v>
      </c>
      <c r="J1238" t="n">
        <v>1</v>
      </c>
      <c r="K1238" t="n">
        <v>0</v>
      </c>
      <c r="L1238" t="n">
        <v>0</v>
      </c>
      <c r="M1238" t="n">
        <v>0</v>
      </c>
      <c r="N1238" t="n">
        <v>0</v>
      </c>
      <c r="O1238" t="n">
        <v>1</v>
      </c>
      <c r="P1238" t="n">
        <v>0</v>
      </c>
      <c r="Q1238" t="n">
        <v>1</v>
      </c>
      <c r="R1238" s="2" t="inlineStr">
        <is>
          <t>Utter</t>
        </is>
      </c>
      <c r="S1238">
        <f>HYPERLINK("https://klasma.github.io/Logging_2281/artfynd/A 6897-2024 artfynd.xlsx", "A 6897-2024")</f>
        <v/>
      </c>
      <c r="T1238">
        <f>HYPERLINK("https://klasma.github.io/Logging_2281/kartor/A 6897-2024 karta.png", "A 6897-2024")</f>
        <v/>
      </c>
      <c r="V1238">
        <f>HYPERLINK("https://klasma.github.io/Logging_2281/klagomål/A 6897-2024 FSC-klagomål.docx", "A 6897-2024")</f>
        <v/>
      </c>
      <c r="W1238">
        <f>HYPERLINK("https://klasma.github.io/Logging_2281/klagomålsmail/A 6897-2024 FSC-klagomål mail.docx", "A 6897-2024")</f>
        <v/>
      </c>
      <c r="X1238">
        <f>HYPERLINK("https://klasma.github.io/Logging_2281/tillsyn/A 6897-2024 tillsynsbegäran.docx", "A 6897-2024")</f>
        <v/>
      </c>
      <c r="Y1238">
        <f>HYPERLINK("https://klasma.github.io/Logging_2281/tillsynsmail/A 6897-2024 tillsynsbegäran mail.docx", "A 6897-2024")</f>
        <v/>
      </c>
    </row>
    <row r="1239" ht="15" customHeight="1">
      <c r="A1239" t="inlineStr">
        <is>
          <t>A 7153-2024</t>
        </is>
      </c>
      <c r="B1239" s="1" t="n">
        <v>45344</v>
      </c>
      <c r="C1239" s="1" t="n">
        <v>45657</v>
      </c>
      <c r="D1239" t="inlineStr">
        <is>
          <t>VÄSTERNORRLANDS LÄN</t>
        </is>
      </c>
      <c r="E1239" t="inlineStr">
        <is>
          <t>KRAMFORS</t>
        </is>
      </c>
      <c r="G1239" t="n">
        <v>7.6</v>
      </c>
      <c r="H1239" t="n">
        <v>0</v>
      </c>
      <c r="I1239" t="n">
        <v>0</v>
      </c>
      <c r="J1239" t="n">
        <v>1</v>
      </c>
      <c r="K1239" t="n">
        <v>0</v>
      </c>
      <c r="L1239" t="n">
        <v>0</v>
      </c>
      <c r="M1239" t="n">
        <v>0</v>
      </c>
      <c r="N1239" t="n">
        <v>0</v>
      </c>
      <c r="O1239" t="n">
        <v>1</v>
      </c>
      <c r="P1239" t="n">
        <v>0</v>
      </c>
      <c r="Q1239" t="n">
        <v>1</v>
      </c>
      <c r="R1239" s="2" t="inlineStr">
        <is>
          <t>Luddfingersvamp</t>
        </is>
      </c>
      <c r="S1239">
        <f>HYPERLINK("https://klasma.github.io/Logging_2282/artfynd/A 7153-2024 artfynd.xlsx", "A 7153-2024")</f>
        <v/>
      </c>
      <c r="T1239">
        <f>HYPERLINK("https://klasma.github.io/Logging_2282/kartor/A 7153-2024 karta.png", "A 7153-2024")</f>
        <v/>
      </c>
      <c r="V1239">
        <f>HYPERLINK("https://klasma.github.io/Logging_2282/klagomål/A 7153-2024 FSC-klagomål.docx", "A 7153-2024")</f>
        <v/>
      </c>
      <c r="W1239">
        <f>HYPERLINK("https://klasma.github.io/Logging_2282/klagomålsmail/A 7153-2024 FSC-klagomål mail.docx", "A 7153-2024")</f>
        <v/>
      </c>
      <c r="X1239">
        <f>HYPERLINK("https://klasma.github.io/Logging_2282/tillsyn/A 7153-2024 tillsynsbegäran.docx", "A 7153-2024")</f>
        <v/>
      </c>
      <c r="Y1239">
        <f>HYPERLINK("https://klasma.github.io/Logging_2282/tillsynsmail/A 7153-2024 tillsynsbegäran mail.docx", "A 7153-2024")</f>
        <v/>
      </c>
    </row>
    <row r="1240" ht="15" customHeight="1">
      <c r="A1240" t="inlineStr">
        <is>
          <t>A 7468-2024</t>
        </is>
      </c>
      <c r="B1240" s="1" t="n">
        <v>45345</v>
      </c>
      <c r="C1240" s="1" t="n">
        <v>45657</v>
      </c>
      <c r="D1240" t="inlineStr">
        <is>
          <t>VÄSTERNORRLANDS LÄN</t>
        </is>
      </c>
      <c r="E1240" t="inlineStr">
        <is>
          <t>SOLLEFTEÅ</t>
        </is>
      </c>
      <c r="F1240" t="inlineStr">
        <is>
          <t>SCA</t>
        </is>
      </c>
      <c r="G1240" t="n">
        <v>55.2</v>
      </c>
      <c r="H1240" t="n">
        <v>0</v>
      </c>
      <c r="I1240" t="n">
        <v>0</v>
      </c>
      <c r="J1240" t="n">
        <v>1</v>
      </c>
      <c r="K1240" t="n">
        <v>0</v>
      </c>
      <c r="L1240" t="n">
        <v>0</v>
      </c>
      <c r="M1240" t="n">
        <v>0</v>
      </c>
      <c r="N1240" t="n">
        <v>0</v>
      </c>
      <c r="O1240" t="n">
        <v>1</v>
      </c>
      <c r="P1240" t="n">
        <v>0</v>
      </c>
      <c r="Q1240" t="n">
        <v>1</v>
      </c>
      <c r="R1240" s="2" t="inlineStr">
        <is>
          <t>Granticka</t>
        </is>
      </c>
      <c r="S1240">
        <f>HYPERLINK("https://klasma.github.io/Logging_2283/artfynd/A 7468-2024 artfynd.xlsx", "A 7468-2024")</f>
        <v/>
      </c>
      <c r="T1240">
        <f>HYPERLINK("https://klasma.github.io/Logging_2283/kartor/A 7468-2024 karta.png", "A 7468-2024")</f>
        <v/>
      </c>
      <c r="V1240">
        <f>HYPERLINK("https://klasma.github.io/Logging_2283/klagomål/A 7468-2024 FSC-klagomål.docx", "A 7468-2024")</f>
        <v/>
      </c>
      <c r="W1240">
        <f>HYPERLINK("https://klasma.github.io/Logging_2283/klagomålsmail/A 7468-2024 FSC-klagomål mail.docx", "A 7468-2024")</f>
        <v/>
      </c>
      <c r="X1240">
        <f>HYPERLINK("https://klasma.github.io/Logging_2283/tillsyn/A 7468-2024 tillsynsbegäran.docx", "A 7468-2024")</f>
        <v/>
      </c>
      <c r="Y1240">
        <f>HYPERLINK("https://klasma.github.io/Logging_2283/tillsynsmail/A 7468-2024 tillsynsbegäran mail.docx", "A 7468-2024")</f>
        <v/>
      </c>
    </row>
    <row r="1241" ht="15" customHeight="1">
      <c r="A1241" t="inlineStr">
        <is>
          <t>A 7904-2024</t>
        </is>
      </c>
      <c r="B1241" s="1" t="n">
        <v>45349</v>
      </c>
      <c r="C1241" s="1" t="n">
        <v>45657</v>
      </c>
      <c r="D1241" t="inlineStr">
        <is>
          <t>VÄSTERNORRLANDS LÄN</t>
        </is>
      </c>
      <c r="E1241" t="inlineStr">
        <is>
          <t>TIMRÅ</t>
        </is>
      </c>
      <c r="G1241" t="n">
        <v>7.3</v>
      </c>
      <c r="H1241" t="n">
        <v>1</v>
      </c>
      <c r="I1241" t="n">
        <v>0</v>
      </c>
      <c r="J1241" t="n">
        <v>0</v>
      </c>
      <c r="K1241" t="n">
        <v>1</v>
      </c>
      <c r="L1241" t="n">
        <v>0</v>
      </c>
      <c r="M1241" t="n">
        <v>0</v>
      </c>
      <c r="N1241" t="n">
        <v>0</v>
      </c>
      <c r="O1241" t="n">
        <v>1</v>
      </c>
      <c r="P1241" t="n">
        <v>1</v>
      </c>
      <c r="Q1241" t="n">
        <v>1</v>
      </c>
      <c r="R1241" s="2" t="inlineStr">
        <is>
          <t>Bergviol</t>
        </is>
      </c>
      <c r="S1241">
        <f>HYPERLINK("https://klasma.github.io/Logging_2262/artfynd/A 7904-2024 artfynd.xlsx", "A 7904-2024")</f>
        <v/>
      </c>
      <c r="T1241">
        <f>HYPERLINK("https://klasma.github.io/Logging_2262/kartor/A 7904-2024 karta.png", "A 7904-2024")</f>
        <v/>
      </c>
      <c r="V1241">
        <f>HYPERLINK("https://klasma.github.io/Logging_2262/klagomål/A 7904-2024 FSC-klagomål.docx", "A 7904-2024")</f>
        <v/>
      </c>
      <c r="W1241">
        <f>HYPERLINK("https://klasma.github.io/Logging_2262/klagomålsmail/A 7904-2024 FSC-klagomål mail.docx", "A 7904-2024")</f>
        <v/>
      </c>
      <c r="X1241">
        <f>HYPERLINK("https://klasma.github.io/Logging_2262/tillsyn/A 7904-2024 tillsynsbegäran.docx", "A 7904-2024")</f>
        <v/>
      </c>
      <c r="Y1241">
        <f>HYPERLINK("https://klasma.github.io/Logging_2262/tillsynsmail/A 7904-2024 tillsynsbegäran mail.docx", "A 7904-2024")</f>
        <v/>
      </c>
    </row>
    <row r="1242" ht="15" customHeight="1">
      <c r="A1242" t="inlineStr">
        <is>
          <t>A 7909-2024</t>
        </is>
      </c>
      <c r="B1242" s="1" t="n">
        <v>45350</v>
      </c>
      <c r="C1242" s="1" t="n">
        <v>45657</v>
      </c>
      <c r="D1242" t="inlineStr">
        <is>
          <t>VÄSTERNORRLANDS LÄN</t>
        </is>
      </c>
      <c r="E1242" t="inlineStr">
        <is>
          <t>SOLLEFTEÅ</t>
        </is>
      </c>
      <c r="G1242" t="n">
        <v>7.2</v>
      </c>
      <c r="H1242" t="n">
        <v>0</v>
      </c>
      <c r="I1242" t="n">
        <v>0</v>
      </c>
      <c r="J1242" t="n">
        <v>1</v>
      </c>
      <c r="K1242" t="n">
        <v>0</v>
      </c>
      <c r="L1242" t="n">
        <v>0</v>
      </c>
      <c r="M1242" t="n">
        <v>0</v>
      </c>
      <c r="N1242" t="n">
        <v>0</v>
      </c>
      <c r="O1242" t="n">
        <v>1</v>
      </c>
      <c r="P1242" t="n">
        <v>0</v>
      </c>
      <c r="Q1242" t="n">
        <v>1</v>
      </c>
      <c r="R1242" s="2" t="inlineStr">
        <is>
          <t>Lunglav</t>
        </is>
      </c>
      <c r="S1242">
        <f>HYPERLINK("https://klasma.github.io/Logging_2283/artfynd/A 7909-2024 artfynd.xlsx", "A 7909-2024")</f>
        <v/>
      </c>
      <c r="T1242">
        <f>HYPERLINK("https://klasma.github.io/Logging_2283/kartor/A 7909-2024 karta.png", "A 7909-2024")</f>
        <v/>
      </c>
      <c r="V1242">
        <f>HYPERLINK("https://klasma.github.io/Logging_2283/klagomål/A 7909-2024 FSC-klagomål.docx", "A 7909-2024")</f>
        <v/>
      </c>
      <c r="W1242">
        <f>HYPERLINK("https://klasma.github.io/Logging_2283/klagomålsmail/A 7909-2024 FSC-klagomål mail.docx", "A 7909-2024")</f>
        <v/>
      </c>
      <c r="X1242">
        <f>HYPERLINK("https://klasma.github.io/Logging_2283/tillsyn/A 7909-2024 tillsynsbegäran.docx", "A 7909-2024")</f>
        <v/>
      </c>
      <c r="Y1242">
        <f>HYPERLINK("https://klasma.github.io/Logging_2283/tillsynsmail/A 7909-2024 tillsynsbegäran mail.docx", "A 7909-2024")</f>
        <v/>
      </c>
    </row>
    <row r="1243" ht="15" customHeight="1">
      <c r="A1243" t="inlineStr">
        <is>
          <t>A 8541-2024</t>
        </is>
      </c>
      <c r="B1243" s="1" t="n">
        <v>45351</v>
      </c>
      <c r="C1243" s="1" t="n">
        <v>45657</v>
      </c>
      <c r="D1243" t="inlineStr">
        <is>
          <t>VÄSTERNORRLANDS LÄN</t>
        </is>
      </c>
      <c r="E1243" t="inlineStr">
        <is>
          <t>SOLLEFTEÅ</t>
        </is>
      </c>
      <c r="F1243" t="inlineStr">
        <is>
          <t>Kommuner</t>
        </is>
      </c>
      <c r="G1243" t="n">
        <v>0.6</v>
      </c>
      <c r="H1243" t="n">
        <v>0</v>
      </c>
      <c r="I1243" t="n">
        <v>0</v>
      </c>
      <c r="J1243" t="n">
        <v>1</v>
      </c>
      <c r="K1243" t="n">
        <v>0</v>
      </c>
      <c r="L1243" t="n">
        <v>0</v>
      </c>
      <c r="M1243" t="n">
        <v>0</v>
      </c>
      <c r="N1243" t="n">
        <v>0</v>
      </c>
      <c r="O1243" t="n">
        <v>1</v>
      </c>
      <c r="P1243" t="n">
        <v>0</v>
      </c>
      <c r="Q1243" t="n">
        <v>1</v>
      </c>
      <c r="R1243" s="2" t="inlineStr">
        <is>
          <t>Granticka</t>
        </is>
      </c>
      <c r="S1243">
        <f>HYPERLINK("https://klasma.github.io/Logging_2283/artfynd/A 8541-2024 artfynd.xlsx", "A 8541-2024")</f>
        <v/>
      </c>
      <c r="T1243">
        <f>HYPERLINK("https://klasma.github.io/Logging_2283/kartor/A 8541-2024 karta.png", "A 8541-2024")</f>
        <v/>
      </c>
      <c r="V1243">
        <f>HYPERLINK("https://klasma.github.io/Logging_2283/klagomål/A 8541-2024 FSC-klagomål.docx", "A 8541-2024")</f>
        <v/>
      </c>
      <c r="W1243">
        <f>HYPERLINK("https://klasma.github.io/Logging_2283/klagomålsmail/A 8541-2024 FSC-klagomål mail.docx", "A 8541-2024")</f>
        <v/>
      </c>
      <c r="X1243">
        <f>HYPERLINK("https://klasma.github.io/Logging_2283/tillsyn/A 8541-2024 tillsynsbegäran.docx", "A 8541-2024")</f>
        <v/>
      </c>
      <c r="Y1243">
        <f>HYPERLINK("https://klasma.github.io/Logging_2283/tillsynsmail/A 8541-2024 tillsynsbegäran mail.docx", "A 8541-2024")</f>
        <v/>
      </c>
    </row>
    <row r="1244" ht="15" customHeight="1">
      <c r="A1244" t="inlineStr">
        <is>
          <t>A 8410-2024</t>
        </is>
      </c>
      <c r="B1244" s="1" t="n">
        <v>45352</v>
      </c>
      <c r="C1244" s="1" t="n">
        <v>45657</v>
      </c>
      <c r="D1244" t="inlineStr">
        <is>
          <t>VÄSTERNORRLANDS LÄN</t>
        </is>
      </c>
      <c r="E1244" t="inlineStr">
        <is>
          <t>HÄRNÖSAND</t>
        </is>
      </c>
      <c r="F1244" t="inlineStr">
        <is>
          <t>SCA</t>
        </is>
      </c>
      <c r="G1244" t="n">
        <v>1.2</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8410-2024 artfynd.xlsx", "A 8410-2024")</f>
        <v/>
      </c>
      <c r="T1244">
        <f>HYPERLINK("https://klasma.github.io/Logging_2280/kartor/A 8410-2024 karta.png", "A 8410-2024")</f>
        <v/>
      </c>
      <c r="V1244">
        <f>HYPERLINK("https://klasma.github.io/Logging_2280/klagomål/A 8410-2024 FSC-klagomål.docx", "A 8410-2024")</f>
        <v/>
      </c>
      <c r="W1244">
        <f>HYPERLINK("https://klasma.github.io/Logging_2280/klagomålsmail/A 8410-2024 FSC-klagomål mail.docx", "A 8410-2024")</f>
        <v/>
      </c>
      <c r="X1244">
        <f>HYPERLINK("https://klasma.github.io/Logging_2280/tillsyn/A 8410-2024 tillsynsbegäran.docx", "A 8410-2024")</f>
        <v/>
      </c>
      <c r="Y1244">
        <f>HYPERLINK("https://klasma.github.io/Logging_2280/tillsynsmail/A 8410-2024 tillsynsbegäran mail.docx", "A 8410-2024")</f>
        <v/>
      </c>
    </row>
    <row r="1245" ht="15" customHeight="1">
      <c r="A1245" t="inlineStr">
        <is>
          <t>A 8921-2024</t>
        </is>
      </c>
      <c r="B1245" s="1" t="n">
        <v>45355</v>
      </c>
      <c r="C1245" s="1" t="n">
        <v>45657</v>
      </c>
      <c r="D1245" t="inlineStr">
        <is>
          <t>VÄSTERNORRLANDS LÄN</t>
        </is>
      </c>
      <c r="E1245" t="inlineStr">
        <is>
          <t>HÄRNÖSAND</t>
        </is>
      </c>
      <c r="G1245" t="n">
        <v>3.7</v>
      </c>
      <c r="H1245" t="n">
        <v>0</v>
      </c>
      <c r="I1245" t="n">
        <v>0</v>
      </c>
      <c r="J1245" t="n">
        <v>1</v>
      </c>
      <c r="K1245" t="n">
        <v>0</v>
      </c>
      <c r="L1245" t="n">
        <v>0</v>
      </c>
      <c r="M1245" t="n">
        <v>0</v>
      </c>
      <c r="N1245" t="n">
        <v>0</v>
      </c>
      <c r="O1245" t="n">
        <v>1</v>
      </c>
      <c r="P1245" t="n">
        <v>0</v>
      </c>
      <c r="Q1245" t="n">
        <v>1</v>
      </c>
      <c r="R1245" s="2" t="inlineStr">
        <is>
          <t>Hapalopilus aurantiacus</t>
        </is>
      </c>
      <c r="S1245">
        <f>HYPERLINK("https://klasma.github.io/Logging_2280/artfynd/A 8921-2024 artfynd.xlsx", "A 8921-2024")</f>
        <v/>
      </c>
      <c r="T1245">
        <f>HYPERLINK("https://klasma.github.io/Logging_2280/kartor/A 8921-2024 karta.png", "A 8921-2024")</f>
        <v/>
      </c>
      <c r="V1245">
        <f>HYPERLINK("https://klasma.github.io/Logging_2280/klagomål/A 8921-2024 FSC-klagomål.docx", "A 8921-2024")</f>
        <v/>
      </c>
      <c r="W1245">
        <f>HYPERLINK("https://klasma.github.io/Logging_2280/klagomålsmail/A 8921-2024 FSC-klagomål mail.docx", "A 8921-2024")</f>
        <v/>
      </c>
      <c r="X1245">
        <f>HYPERLINK("https://klasma.github.io/Logging_2280/tillsyn/A 8921-2024 tillsynsbegäran.docx", "A 8921-2024")</f>
        <v/>
      </c>
      <c r="Y1245">
        <f>HYPERLINK("https://klasma.github.io/Logging_2280/tillsynsmail/A 8921-2024 tillsynsbegäran mail.docx", "A 8921-2024")</f>
        <v/>
      </c>
    </row>
    <row r="1246" ht="15" customHeight="1">
      <c r="A1246" t="inlineStr">
        <is>
          <t>A 8903-2024</t>
        </is>
      </c>
      <c r="B1246" s="1" t="n">
        <v>45355</v>
      </c>
      <c r="C1246" s="1" t="n">
        <v>45657</v>
      </c>
      <c r="D1246" t="inlineStr">
        <is>
          <t>VÄSTERNORRLANDS LÄN</t>
        </is>
      </c>
      <c r="E1246" t="inlineStr">
        <is>
          <t>SOLLEFTEÅ</t>
        </is>
      </c>
      <c r="G1246" t="n">
        <v>1.7</v>
      </c>
      <c r="H1246" t="n">
        <v>0</v>
      </c>
      <c r="I1246" t="n">
        <v>1</v>
      </c>
      <c r="J1246" t="n">
        <v>0</v>
      </c>
      <c r="K1246" t="n">
        <v>0</v>
      </c>
      <c r="L1246" t="n">
        <v>0</v>
      </c>
      <c r="M1246" t="n">
        <v>0</v>
      </c>
      <c r="N1246" t="n">
        <v>0</v>
      </c>
      <c r="O1246" t="n">
        <v>0</v>
      </c>
      <c r="P1246" t="n">
        <v>0</v>
      </c>
      <c r="Q1246" t="n">
        <v>1</v>
      </c>
      <c r="R1246" s="2" t="inlineStr">
        <is>
          <t>Strutbräken</t>
        </is>
      </c>
      <c r="S1246">
        <f>HYPERLINK("https://klasma.github.io/Logging_2283/artfynd/A 8903-2024 artfynd.xlsx", "A 8903-2024")</f>
        <v/>
      </c>
      <c r="T1246">
        <f>HYPERLINK("https://klasma.github.io/Logging_2283/kartor/A 8903-2024 karta.png", "A 8903-2024")</f>
        <v/>
      </c>
      <c r="V1246">
        <f>HYPERLINK("https://klasma.github.io/Logging_2283/klagomål/A 8903-2024 FSC-klagomål.docx", "A 8903-2024")</f>
        <v/>
      </c>
      <c r="W1246">
        <f>HYPERLINK("https://klasma.github.io/Logging_2283/klagomålsmail/A 8903-2024 FSC-klagomål mail.docx", "A 8903-2024")</f>
        <v/>
      </c>
      <c r="X1246">
        <f>HYPERLINK("https://klasma.github.io/Logging_2283/tillsyn/A 8903-2024 tillsynsbegäran.docx", "A 8903-2024")</f>
        <v/>
      </c>
      <c r="Y1246">
        <f>HYPERLINK("https://klasma.github.io/Logging_2283/tillsynsmail/A 8903-2024 tillsynsbegäran mail.docx", "A 8903-2024")</f>
        <v/>
      </c>
    </row>
    <row r="1247" ht="15" customHeight="1">
      <c r="A1247" t="inlineStr">
        <is>
          <t>A 8641-2024</t>
        </is>
      </c>
      <c r="B1247" s="1" t="n">
        <v>45356</v>
      </c>
      <c r="C1247" s="1" t="n">
        <v>45657</v>
      </c>
      <c r="D1247" t="inlineStr">
        <is>
          <t>VÄSTERNORRLANDS LÄN</t>
        </is>
      </c>
      <c r="E1247" t="inlineStr">
        <is>
          <t>ÅNGE</t>
        </is>
      </c>
      <c r="F1247" t="inlineStr">
        <is>
          <t>SCA</t>
        </is>
      </c>
      <c r="G1247" t="n">
        <v>14.8</v>
      </c>
      <c r="H1247" t="n">
        <v>0</v>
      </c>
      <c r="I1247" t="n">
        <v>0</v>
      </c>
      <c r="J1247" t="n">
        <v>1</v>
      </c>
      <c r="K1247" t="n">
        <v>0</v>
      </c>
      <c r="L1247" t="n">
        <v>0</v>
      </c>
      <c r="M1247" t="n">
        <v>0</v>
      </c>
      <c r="N1247" t="n">
        <v>0</v>
      </c>
      <c r="O1247" t="n">
        <v>1</v>
      </c>
      <c r="P1247" t="n">
        <v>0</v>
      </c>
      <c r="Q1247" t="n">
        <v>1</v>
      </c>
      <c r="R1247" s="2" t="inlineStr">
        <is>
          <t>Dvärgbägarlav</t>
        </is>
      </c>
      <c r="S1247">
        <f>HYPERLINK("https://klasma.github.io/Logging_2260/artfynd/A 8641-2024 artfynd.xlsx", "A 8641-2024")</f>
        <v/>
      </c>
      <c r="T1247">
        <f>HYPERLINK("https://klasma.github.io/Logging_2260/kartor/A 8641-2024 karta.png", "A 8641-2024")</f>
        <v/>
      </c>
      <c r="V1247">
        <f>HYPERLINK("https://klasma.github.io/Logging_2260/klagomål/A 8641-2024 FSC-klagomål.docx", "A 8641-2024")</f>
        <v/>
      </c>
      <c r="W1247">
        <f>HYPERLINK("https://klasma.github.io/Logging_2260/klagomålsmail/A 8641-2024 FSC-klagomål mail.docx", "A 8641-2024")</f>
        <v/>
      </c>
      <c r="X1247">
        <f>HYPERLINK("https://klasma.github.io/Logging_2260/tillsyn/A 8641-2024 tillsynsbegäran.docx", "A 8641-2024")</f>
        <v/>
      </c>
      <c r="Y1247">
        <f>HYPERLINK("https://klasma.github.io/Logging_2260/tillsynsmail/A 8641-2024 tillsynsbegäran mail.docx", "A 8641-2024")</f>
        <v/>
      </c>
    </row>
    <row r="1248" ht="15" customHeight="1">
      <c r="A1248" t="inlineStr">
        <is>
          <t>A 8998-2024</t>
        </is>
      </c>
      <c r="B1248" s="1" t="n">
        <v>45356</v>
      </c>
      <c r="C1248" s="1" t="n">
        <v>45657</v>
      </c>
      <c r="D1248" t="inlineStr">
        <is>
          <t>VÄSTERNORRLANDS LÄN</t>
        </is>
      </c>
      <c r="E1248" t="inlineStr">
        <is>
          <t>TIMRÅ</t>
        </is>
      </c>
      <c r="G1248" t="n">
        <v>2.1</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8998-2024 artfynd.xlsx", "A 8998-2024")</f>
        <v/>
      </c>
      <c r="T1248">
        <f>HYPERLINK("https://klasma.github.io/Logging_2262/kartor/A 8998-2024 karta.png", "A 8998-2024")</f>
        <v/>
      </c>
      <c r="V1248">
        <f>HYPERLINK("https://klasma.github.io/Logging_2262/klagomål/A 8998-2024 FSC-klagomål.docx", "A 8998-2024")</f>
        <v/>
      </c>
      <c r="W1248">
        <f>HYPERLINK("https://klasma.github.io/Logging_2262/klagomålsmail/A 8998-2024 FSC-klagomål mail.docx", "A 8998-2024")</f>
        <v/>
      </c>
      <c r="X1248">
        <f>HYPERLINK("https://klasma.github.io/Logging_2262/tillsyn/A 8998-2024 tillsynsbegäran.docx", "A 8998-2024")</f>
        <v/>
      </c>
      <c r="Y1248">
        <f>HYPERLINK("https://klasma.github.io/Logging_2262/tillsynsmail/A 8998-2024 tillsynsbegäran mail.docx", "A 8998-2024")</f>
        <v/>
      </c>
    </row>
    <row r="1249" ht="15" customHeight="1">
      <c r="A1249" t="inlineStr">
        <is>
          <t>A 9114-2024</t>
        </is>
      </c>
      <c r="B1249" s="1" t="n">
        <v>45358</v>
      </c>
      <c r="C1249" s="1" t="n">
        <v>45657</v>
      </c>
      <c r="D1249" t="inlineStr">
        <is>
          <t>VÄSTERNORRLANDS LÄN</t>
        </is>
      </c>
      <c r="E1249" t="inlineStr">
        <is>
          <t>HÄRNÖSAND</t>
        </is>
      </c>
      <c r="F1249" t="inlineStr">
        <is>
          <t>SCA</t>
        </is>
      </c>
      <c r="G1249" t="n">
        <v>6.3</v>
      </c>
      <c r="H1249" t="n">
        <v>1</v>
      </c>
      <c r="I1249" t="n">
        <v>0</v>
      </c>
      <c r="J1249" t="n">
        <v>0</v>
      </c>
      <c r="K1249" t="n">
        <v>1</v>
      </c>
      <c r="L1249" t="n">
        <v>0</v>
      </c>
      <c r="M1249" t="n">
        <v>0</v>
      </c>
      <c r="N1249" t="n">
        <v>0</v>
      </c>
      <c r="O1249" t="n">
        <v>1</v>
      </c>
      <c r="P1249" t="n">
        <v>1</v>
      </c>
      <c r="Q1249" t="n">
        <v>1</v>
      </c>
      <c r="R1249" s="2" t="inlineStr">
        <is>
          <t>Knärot</t>
        </is>
      </c>
      <c r="S1249">
        <f>HYPERLINK("https://klasma.github.io/Logging_2280/artfynd/A 9114-2024 artfynd.xlsx", "A 9114-2024")</f>
        <v/>
      </c>
      <c r="T1249">
        <f>HYPERLINK("https://klasma.github.io/Logging_2280/kartor/A 9114-2024 karta.png", "A 9114-2024")</f>
        <v/>
      </c>
      <c r="U1249">
        <f>HYPERLINK("https://klasma.github.io/Logging_2280/knärot/A 9114-2024 karta knärot.png", "A 9114-2024")</f>
        <v/>
      </c>
      <c r="V1249">
        <f>HYPERLINK("https://klasma.github.io/Logging_2280/klagomål/A 9114-2024 FSC-klagomål.docx", "A 9114-2024")</f>
        <v/>
      </c>
      <c r="W1249">
        <f>HYPERLINK("https://klasma.github.io/Logging_2280/klagomålsmail/A 9114-2024 FSC-klagomål mail.docx", "A 9114-2024")</f>
        <v/>
      </c>
      <c r="X1249">
        <f>HYPERLINK("https://klasma.github.io/Logging_2280/tillsyn/A 9114-2024 tillsynsbegäran.docx", "A 9114-2024")</f>
        <v/>
      </c>
      <c r="Y1249">
        <f>HYPERLINK("https://klasma.github.io/Logging_2280/tillsynsmail/A 9114-2024 tillsynsbegäran mail.docx", "A 9114-2024")</f>
        <v/>
      </c>
    </row>
    <row r="1250" ht="15" customHeight="1">
      <c r="A1250" t="inlineStr">
        <is>
          <t>A 9818-2024</t>
        </is>
      </c>
      <c r="B1250" s="1" t="n">
        <v>45363</v>
      </c>
      <c r="C1250" s="1" t="n">
        <v>45657</v>
      </c>
      <c r="D1250" t="inlineStr">
        <is>
          <t>VÄSTERNORRLANDS LÄN</t>
        </is>
      </c>
      <c r="E1250" t="inlineStr">
        <is>
          <t>SOLLEFTEÅ</t>
        </is>
      </c>
      <c r="F1250" t="inlineStr">
        <is>
          <t>SCA</t>
        </is>
      </c>
      <c r="G1250" t="n">
        <v>3.8</v>
      </c>
      <c r="H1250" t="n">
        <v>0</v>
      </c>
      <c r="I1250" t="n">
        <v>0</v>
      </c>
      <c r="J1250" t="n">
        <v>1</v>
      </c>
      <c r="K1250" t="n">
        <v>0</v>
      </c>
      <c r="L1250" t="n">
        <v>0</v>
      </c>
      <c r="M1250" t="n">
        <v>0</v>
      </c>
      <c r="N1250" t="n">
        <v>0</v>
      </c>
      <c r="O1250" t="n">
        <v>1</v>
      </c>
      <c r="P1250" t="n">
        <v>0</v>
      </c>
      <c r="Q1250" t="n">
        <v>1</v>
      </c>
      <c r="R1250" s="2" t="inlineStr">
        <is>
          <t>Motaggsvamp</t>
        </is>
      </c>
      <c r="S1250">
        <f>HYPERLINK("https://klasma.github.io/Logging_2283/artfynd/A 9818-2024 artfynd.xlsx", "A 9818-2024")</f>
        <v/>
      </c>
      <c r="T1250">
        <f>HYPERLINK("https://klasma.github.io/Logging_2283/kartor/A 9818-2024 karta.png", "A 9818-2024")</f>
        <v/>
      </c>
      <c r="U1250">
        <f>HYPERLINK("https://klasma.github.io/Logging_2283/knärot/A 9818-2024 karta knärot.png", "A 9818-2024")</f>
        <v/>
      </c>
      <c r="V1250">
        <f>HYPERLINK("https://klasma.github.io/Logging_2283/klagomål/A 9818-2024 FSC-klagomål.docx", "A 9818-2024")</f>
        <v/>
      </c>
      <c r="W1250">
        <f>HYPERLINK("https://klasma.github.io/Logging_2283/klagomålsmail/A 9818-2024 FSC-klagomål mail.docx", "A 9818-2024")</f>
        <v/>
      </c>
      <c r="X1250">
        <f>HYPERLINK("https://klasma.github.io/Logging_2283/tillsyn/A 9818-2024 tillsynsbegäran.docx", "A 9818-2024")</f>
        <v/>
      </c>
      <c r="Y1250">
        <f>HYPERLINK("https://klasma.github.io/Logging_2283/tillsynsmail/A 9818-2024 tillsynsbegäran mail.docx", "A 9818-2024")</f>
        <v/>
      </c>
    </row>
    <row r="1251" ht="15" customHeight="1">
      <c r="A1251" t="inlineStr">
        <is>
          <t>A 10854-2024</t>
        </is>
      </c>
      <c r="B1251" s="1" t="n">
        <v>45370</v>
      </c>
      <c r="C1251" s="1" t="n">
        <v>45657</v>
      </c>
      <c r="D1251" t="inlineStr">
        <is>
          <t>VÄSTERNORRLANDS LÄN</t>
        </is>
      </c>
      <c r="E1251" t="inlineStr">
        <is>
          <t>SOLLEFTEÅ</t>
        </is>
      </c>
      <c r="F1251" t="inlineStr">
        <is>
          <t>SCA</t>
        </is>
      </c>
      <c r="G1251" t="n">
        <v>2.8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10854-2024 artfynd.xlsx", "A 10854-2024")</f>
        <v/>
      </c>
      <c r="T1251">
        <f>HYPERLINK("https://klasma.github.io/Logging_2283/kartor/A 10854-2024 karta.png", "A 10854-2024")</f>
        <v/>
      </c>
      <c r="V1251">
        <f>HYPERLINK("https://klasma.github.io/Logging_2283/klagomål/A 10854-2024 FSC-klagomål.docx", "A 10854-2024")</f>
        <v/>
      </c>
      <c r="W1251">
        <f>HYPERLINK("https://klasma.github.io/Logging_2283/klagomålsmail/A 10854-2024 FSC-klagomål mail.docx", "A 10854-2024")</f>
        <v/>
      </c>
      <c r="X1251">
        <f>HYPERLINK("https://klasma.github.io/Logging_2283/tillsyn/A 10854-2024 tillsynsbegäran.docx", "A 10854-2024")</f>
        <v/>
      </c>
      <c r="Y1251">
        <f>HYPERLINK("https://klasma.github.io/Logging_2283/tillsynsmail/A 10854-2024 tillsynsbegäran mail.docx", "A 10854-2024")</f>
        <v/>
      </c>
      <c r="Z1251">
        <f>HYPERLINK("https://klasma.github.io/Logging_2283/fåglar/A 10854-2024 prioriterade fågelarter.docx", "A 10854-2024")</f>
        <v/>
      </c>
    </row>
    <row r="1252" ht="15" customHeight="1">
      <c r="A1252" t="inlineStr">
        <is>
          <t>A 11086-2024</t>
        </is>
      </c>
      <c r="B1252" s="1" t="n">
        <v>45370</v>
      </c>
      <c r="C1252" s="1" t="n">
        <v>45657</v>
      </c>
      <c r="D1252" t="inlineStr">
        <is>
          <t>VÄSTERNORRLANDS LÄN</t>
        </is>
      </c>
      <c r="E1252" t="inlineStr">
        <is>
          <t>KRAMFORS</t>
        </is>
      </c>
      <c r="F1252" t="inlineStr">
        <is>
          <t>SCA</t>
        </is>
      </c>
      <c r="G1252" t="n">
        <v>10.1</v>
      </c>
      <c r="H1252" t="n">
        <v>1</v>
      </c>
      <c r="I1252" t="n">
        <v>0</v>
      </c>
      <c r="J1252" t="n">
        <v>1</v>
      </c>
      <c r="K1252" t="n">
        <v>0</v>
      </c>
      <c r="L1252" t="n">
        <v>0</v>
      </c>
      <c r="M1252" t="n">
        <v>0</v>
      </c>
      <c r="N1252" t="n">
        <v>0</v>
      </c>
      <c r="O1252" t="n">
        <v>1</v>
      </c>
      <c r="P1252" t="n">
        <v>0</v>
      </c>
      <c r="Q1252" t="n">
        <v>1</v>
      </c>
      <c r="R1252" s="2" t="inlineStr">
        <is>
          <t>Utter</t>
        </is>
      </c>
      <c r="S1252">
        <f>HYPERLINK("https://klasma.github.io/Logging_2282/artfynd/A 11086-2024 artfynd.xlsx", "A 11086-2024")</f>
        <v/>
      </c>
      <c r="T1252">
        <f>HYPERLINK("https://klasma.github.io/Logging_2282/kartor/A 11086-2024 karta.png", "A 11086-2024")</f>
        <v/>
      </c>
      <c r="V1252">
        <f>HYPERLINK("https://klasma.github.io/Logging_2282/klagomål/A 11086-2024 FSC-klagomål.docx", "A 11086-2024")</f>
        <v/>
      </c>
      <c r="W1252">
        <f>HYPERLINK("https://klasma.github.io/Logging_2282/klagomålsmail/A 11086-2024 FSC-klagomål mail.docx", "A 11086-2024")</f>
        <v/>
      </c>
      <c r="X1252">
        <f>HYPERLINK("https://klasma.github.io/Logging_2282/tillsyn/A 11086-2024 tillsynsbegäran.docx", "A 11086-2024")</f>
        <v/>
      </c>
      <c r="Y1252">
        <f>HYPERLINK("https://klasma.github.io/Logging_2282/tillsynsmail/A 11086-2024 tillsynsbegäran mail.docx", "A 11086-2024")</f>
        <v/>
      </c>
    </row>
    <row r="1253" ht="15" customHeight="1">
      <c r="A1253" t="inlineStr">
        <is>
          <t>A 11546-2024</t>
        </is>
      </c>
      <c r="B1253" s="1" t="n">
        <v>45372</v>
      </c>
      <c r="C1253" s="1" t="n">
        <v>45657</v>
      </c>
      <c r="D1253" t="inlineStr">
        <is>
          <t>VÄSTERNORRLANDS LÄN</t>
        </is>
      </c>
      <c r="E1253" t="inlineStr">
        <is>
          <t>HÄRNÖSAND</t>
        </is>
      </c>
      <c r="F1253" t="inlineStr">
        <is>
          <t>SCA</t>
        </is>
      </c>
      <c r="G1253" t="n">
        <v>3.1</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11546-2024 artfynd.xlsx", "A 11546-2024")</f>
        <v/>
      </c>
      <c r="T1253">
        <f>HYPERLINK("https://klasma.github.io/Logging_2280/kartor/A 11546-2024 karta.png", "A 11546-2024")</f>
        <v/>
      </c>
      <c r="V1253">
        <f>HYPERLINK("https://klasma.github.io/Logging_2280/klagomål/A 11546-2024 FSC-klagomål.docx", "A 11546-2024")</f>
        <v/>
      </c>
      <c r="W1253">
        <f>HYPERLINK("https://klasma.github.io/Logging_2280/klagomålsmail/A 11546-2024 FSC-klagomål mail.docx", "A 11546-2024")</f>
        <v/>
      </c>
      <c r="X1253">
        <f>HYPERLINK("https://klasma.github.io/Logging_2280/tillsyn/A 11546-2024 tillsynsbegäran.docx", "A 11546-2024")</f>
        <v/>
      </c>
      <c r="Y1253">
        <f>HYPERLINK("https://klasma.github.io/Logging_2280/tillsynsmail/A 11546-2024 tillsynsbegäran mail.docx", "A 11546-2024")</f>
        <v/>
      </c>
    </row>
    <row r="1254" ht="15" customHeight="1">
      <c r="A1254" t="inlineStr">
        <is>
          <t>A 11681-2024</t>
        </is>
      </c>
      <c r="B1254" s="1" t="n">
        <v>45373</v>
      </c>
      <c r="C1254" s="1" t="n">
        <v>45657</v>
      </c>
      <c r="D1254" t="inlineStr">
        <is>
          <t>VÄSTERNORRLANDS LÄN</t>
        </is>
      </c>
      <c r="E1254" t="inlineStr">
        <is>
          <t>SUNDSVALL</t>
        </is>
      </c>
      <c r="F1254" t="inlineStr">
        <is>
          <t>Holmen skog AB</t>
        </is>
      </c>
      <c r="G1254" t="n">
        <v>9</v>
      </c>
      <c r="H1254" t="n">
        <v>1</v>
      </c>
      <c r="I1254" t="n">
        <v>0</v>
      </c>
      <c r="J1254" t="n">
        <v>0</v>
      </c>
      <c r="K1254" t="n">
        <v>0</v>
      </c>
      <c r="L1254" t="n">
        <v>0</v>
      </c>
      <c r="M1254" t="n">
        <v>0</v>
      </c>
      <c r="N1254" t="n">
        <v>0</v>
      </c>
      <c r="O1254" t="n">
        <v>0</v>
      </c>
      <c r="P1254" t="n">
        <v>0</v>
      </c>
      <c r="Q1254" t="n">
        <v>1</v>
      </c>
      <c r="R1254" s="2" t="inlineStr">
        <is>
          <t>Tjäder</t>
        </is>
      </c>
      <c r="S1254">
        <f>HYPERLINK("https://klasma.github.io/Logging_2281/artfynd/A 11681-2024 artfynd.xlsx", "A 11681-2024")</f>
        <v/>
      </c>
      <c r="T1254">
        <f>HYPERLINK("https://klasma.github.io/Logging_2281/kartor/A 11681-2024 karta.png", "A 11681-2024")</f>
        <v/>
      </c>
      <c r="V1254">
        <f>HYPERLINK("https://klasma.github.io/Logging_2281/klagomål/A 11681-2024 FSC-klagomål.docx", "A 11681-2024")</f>
        <v/>
      </c>
      <c r="W1254">
        <f>HYPERLINK("https://klasma.github.io/Logging_2281/klagomålsmail/A 11681-2024 FSC-klagomål mail.docx", "A 11681-2024")</f>
        <v/>
      </c>
      <c r="X1254">
        <f>HYPERLINK("https://klasma.github.io/Logging_2281/tillsyn/A 11681-2024 tillsynsbegäran.docx", "A 11681-2024")</f>
        <v/>
      </c>
      <c r="Y1254">
        <f>HYPERLINK("https://klasma.github.io/Logging_2281/tillsynsmail/A 11681-2024 tillsynsbegäran mail.docx", "A 11681-2024")</f>
        <v/>
      </c>
      <c r="Z1254">
        <f>HYPERLINK("https://klasma.github.io/Logging_2281/fåglar/A 11681-2024 prioriterade fågelarter.docx", "A 11681-2024")</f>
        <v/>
      </c>
    </row>
    <row r="1255" ht="15" customHeight="1">
      <c r="A1255" t="inlineStr">
        <is>
          <t>A 11934-2024</t>
        </is>
      </c>
      <c r="B1255" s="1" t="n">
        <v>45376</v>
      </c>
      <c r="C1255" s="1" t="n">
        <v>45657</v>
      </c>
      <c r="D1255" t="inlineStr">
        <is>
          <t>VÄSTERNORRLANDS LÄN</t>
        </is>
      </c>
      <c r="E1255" t="inlineStr">
        <is>
          <t>ÖRNSKÖLDSVIK</t>
        </is>
      </c>
      <c r="F1255" t="inlineStr">
        <is>
          <t>Holmen skog AB</t>
        </is>
      </c>
      <c r="G1255" t="n">
        <v>3.5</v>
      </c>
      <c r="H1255" t="n">
        <v>1</v>
      </c>
      <c r="I1255" t="n">
        <v>1</v>
      </c>
      <c r="J1255" t="n">
        <v>0</v>
      </c>
      <c r="K1255" t="n">
        <v>0</v>
      </c>
      <c r="L1255" t="n">
        <v>0</v>
      </c>
      <c r="M1255" t="n">
        <v>0</v>
      </c>
      <c r="N1255" t="n">
        <v>0</v>
      </c>
      <c r="O1255" t="n">
        <v>0</v>
      </c>
      <c r="P1255" t="n">
        <v>0</v>
      </c>
      <c r="Q1255" t="n">
        <v>1</v>
      </c>
      <c r="R1255" s="2" t="inlineStr">
        <is>
          <t>Lappranunkel</t>
        </is>
      </c>
      <c r="S1255">
        <f>HYPERLINK("https://klasma.github.io/Logging_2284/artfynd/A 11934-2024 artfynd.xlsx", "A 11934-2024")</f>
        <v/>
      </c>
      <c r="T1255">
        <f>HYPERLINK("https://klasma.github.io/Logging_2284/kartor/A 11934-2024 karta.png", "A 11934-2024")</f>
        <v/>
      </c>
      <c r="V1255">
        <f>HYPERLINK("https://klasma.github.io/Logging_2284/klagomål/A 11934-2024 FSC-klagomål.docx", "A 11934-2024")</f>
        <v/>
      </c>
      <c r="W1255">
        <f>HYPERLINK("https://klasma.github.io/Logging_2284/klagomålsmail/A 11934-2024 FSC-klagomål mail.docx", "A 11934-2024")</f>
        <v/>
      </c>
      <c r="X1255">
        <f>HYPERLINK("https://klasma.github.io/Logging_2284/tillsyn/A 11934-2024 tillsynsbegäran.docx", "A 11934-2024")</f>
        <v/>
      </c>
      <c r="Y1255">
        <f>HYPERLINK("https://klasma.github.io/Logging_2284/tillsynsmail/A 11934-2024 tillsynsbegäran mail.docx", "A 11934-2024")</f>
        <v/>
      </c>
    </row>
    <row r="1256" ht="15" customHeight="1">
      <c r="A1256" t="inlineStr">
        <is>
          <t>A 12371-2024</t>
        </is>
      </c>
      <c r="B1256" s="1" t="n">
        <v>45378</v>
      </c>
      <c r="C1256" s="1" t="n">
        <v>45657</v>
      </c>
      <c r="D1256" t="inlineStr">
        <is>
          <t>VÄSTERNORRLANDS LÄN</t>
        </is>
      </c>
      <c r="E1256" t="inlineStr">
        <is>
          <t>SOLLEFTEÅ</t>
        </is>
      </c>
      <c r="F1256" t="inlineStr">
        <is>
          <t>SCA</t>
        </is>
      </c>
      <c r="G1256" t="n">
        <v>1.2</v>
      </c>
      <c r="H1256" t="n">
        <v>0</v>
      </c>
      <c r="I1256" t="n">
        <v>0</v>
      </c>
      <c r="J1256" t="n">
        <v>1</v>
      </c>
      <c r="K1256" t="n">
        <v>0</v>
      </c>
      <c r="L1256" t="n">
        <v>0</v>
      </c>
      <c r="M1256" t="n">
        <v>0</v>
      </c>
      <c r="N1256" t="n">
        <v>0</v>
      </c>
      <c r="O1256" t="n">
        <v>1</v>
      </c>
      <c r="P1256" t="n">
        <v>0</v>
      </c>
      <c r="Q1256" t="n">
        <v>1</v>
      </c>
      <c r="R1256" s="2" t="inlineStr">
        <is>
          <t>Rosenticka</t>
        </is>
      </c>
      <c r="S1256">
        <f>HYPERLINK("https://klasma.github.io/Logging_2283/artfynd/A 12371-2024 artfynd.xlsx", "A 12371-2024")</f>
        <v/>
      </c>
      <c r="T1256">
        <f>HYPERLINK("https://klasma.github.io/Logging_2283/kartor/A 12371-2024 karta.png", "A 12371-2024")</f>
        <v/>
      </c>
      <c r="V1256">
        <f>HYPERLINK("https://klasma.github.io/Logging_2283/klagomål/A 12371-2024 FSC-klagomål.docx", "A 12371-2024")</f>
        <v/>
      </c>
      <c r="W1256">
        <f>HYPERLINK("https://klasma.github.io/Logging_2283/klagomålsmail/A 12371-2024 FSC-klagomål mail.docx", "A 12371-2024")</f>
        <v/>
      </c>
      <c r="X1256">
        <f>HYPERLINK("https://klasma.github.io/Logging_2283/tillsyn/A 12371-2024 tillsynsbegäran.docx", "A 12371-2024")</f>
        <v/>
      </c>
      <c r="Y1256">
        <f>HYPERLINK("https://klasma.github.io/Logging_2283/tillsynsmail/A 12371-2024 tillsynsbegäran mail.docx", "A 12371-2024")</f>
        <v/>
      </c>
    </row>
    <row r="1257" ht="15" customHeight="1">
      <c r="A1257" t="inlineStr">
        <is>
          <t>A 12566-2024</t>
        </is>
      </c>
      <c r="B1257" s="1" t="n">
        <v>45379</v>
      </c>
      <c r="C1257" s="1" t="n">
        <v>45657</v>
      </c>
      <c r="D1257" t="inlineStr">
        <is>
          <t>VÄSTERNORRLANDS LÄN</t>
        </is>
      </c>
      <c r="E1257" t="inlineStr">
        <is>
          <t>HÄRNÖSAND</t>
        </is>
      </c>
      <c r="G1257" t="n">
        <v>9.6</v>
      </c>
      <c r="H1257" t="n">
        <v>1</v>
      </c>
      <c r="I1257" t="n">
        <v>0</v>
      </c>
      <c r="J1257" t="n">
        <v>0</v>
      </c>
      <c r="K1257" t="n">
        <v>0</v>
      </c>
      <c r="L1257" t="n">
        <v>0</v>
      </c>
      <c r="M1257" t="n">
        <v>0</v>
      </c>
      <c r="N1257" t="n">
        <v>0</v>
      </c>
      <c r="O1257" t="n">
        <v>0</v>
      </c>
      <c r="P1257" t="n">
        <v>0</v>
      </c>
      <c r="Q1257" t="n">
        <v>1</v>
      </c>
      <c r="R1257" s="2" t="inlineStr">
        <is>
          <t>Blåsippa</t>
        </is>
      </c>
      <c r="S1257">
        <f>HYPERLINK("https://klasma.github.io/Logging_2280/artfynd/A 12566-2024 artfynd.xlsx", "A 12566-2024")</f>
        <v/>
      </c>
      <c r="T1257">
        <f>HYPERLINK("https://klasma.github.io/Logging_2280/kartor/A 12566-2024 karta.png", "A 12566-2024")</f>
        <v/>
      </c>
      <c r="V1257">
        <f>HYPERLINK("https://klasma.github.io/Logging_2280/klagomål/A 12566-2024 FSC-klagomål.docx", "A 12566-2024")</f>
        <v/>
      </c>
      <c r="W1257">
        <f>HYPERLINK("https://klasma.github.io/Logging_2280/klagomålsmail/A 12566-2024 FSC-klagomål mail.docx", "A 12566-2024")</f>
        <v/>
      </c>
      <c r="X1257">
        <f>HYPERLINK("https://klasma.github.io/Logging_2280/tillsyn/A 12566-2024 tillsynsbegäran.docx", "A 12566-2024")</f>
        <v/>
      </c>
      <c r="Y1257">
        <f>HYPERLINK("https://klasma.github.io/Logging_2280/tillsynsmail/A 12566-2024 tillsynsbegäran mail.docx", "A 12566-2024")</f>
        <v/>
      </c>
    </row>
    <row r="1258" ht="15" customHeight="1">
      <c r="A1258" t="inlineStr">
        <is>
          <t>A 13934-2024</t>
        </is>
      </c>
      <c r="B1258" s="1" t="n">
        <v>45391</v>
      </c>
      <c r="C1258" s="1" t="n">
        <v>45657</v>
      </c>
      <c r="D1258" t="inlineStr">
        <is>
          <t>VÄSTERNORRLANDS LÄN</t>
        </is>
      </c>
      <c r="E1258" t="inlineStr">
        <is>
          <t>ÅNGE</t>
        </is>
      </c>
      <c r="F1258" t="inlineStr">
        <is>
          <t>SCA</t>
        </is>
      </c>
      <c r="G1258" t="n">
        <v>5.8</v>
      </c>
      <c r="H1258" t="n">
        <v>0</v>
      </c>
      <c r="I1258" t="n">
        <v>0</v>
      </c>
      <c r="J1258" t="n">
        <v>1</v>
      </c>
      <c r="K1258" t="n">
        <v>0</v>
      </c>
      <c r="L1258" t="n">
        <v>0</v>
      </c>
      <c r="M1258" t="n">
        <v>0</v>
      </c>
      <c r="N1258" t="n">
        <v>0</v>
      </c>
      <c r="O1258" t="n">
        <v>1</v>
      </c>
      <c r="P1258" t="n">
        <v>0</v>
      </c>
      <c r="Q1258" t="n">
        <v>1</v>
      </c>
      <c r="R1258" s="2" t="inlineStr">
        <is>
          <t>Ullticka</t>
        </is>
      </c>
      <c r="S1258">
        <f>HYPERLINK("https://klasma.github.io/Logging_2260/artfynd/A 13934-2024 artfynd.xlsx", "A 13934-2024")</f>
        <v/>
      </c>
      <c r="T1258">
        <f>HYPERLINK("https://klasma.github.io/Logging_2260/kartor/A 13934-2024 karta.png", "A 13934-2024")</f>
        <v/>
      </c>
      <c r="V1258">
        <f>HYPERLINK("https://klasma.github.io/Logging_2260/klagomål/A 13934-2024 FSC-klagomål.docx", "A 13934-2024")</f>
        <v/>
      </c>
      <c r="W1258">
        <f>HYPERLINK("https://klasma.github.io/Logging_2260/klagomålsmail/A 13934-2024 FSC-klagomål mail.docx", "A 13934-2024")</f>
        <v/>
      </c>
      <c r="X1258">
        <f>HYPERLINK("https://klasma.github.io/Logging_2260/tillsyn/A 13934-2024 tillsynsbegäran.docx", "A 13934-2024")</f>
        <v/>
      </c>
      <c r="Y1258">
        <f>HYPERLINK("https://klasma.github.io/Logging_2260/tillsynsmail/A 13934-2024 tillsynsbegäran mail.docx", "A 13934-2024")</f>
        <v/>
      </c>
    </row>
    <row r="1259" ht="15" customHeight="1">
      <c r="A1259" t="inlineStr">
        <is>
          <t>A 14168-2024</t>
        </is>
      </c>
      <c r="B1259" s="1" t="n">
        <v>45392</v>
      </c>
      <c r="C1259" s="1" t="n">
        <v>45657</v>
      </c>
      <c r="D1259" t="inlineStr">
        <is>
          <t>VÄSTERNORRLANDS LÄN</t>
        </is>
      </c>
      <c r="E1259" t="inlineStr">
        <is>
          <t>TIMRÅ</t>
        </is>
      </c>
      <c r="F1259" t="inlineStr">
        <is>
          <t>SCA</t>
        </is>
      </c>
      <c r="G1259" t="n">
        <v>6.3</v>
      </c>
      <c r="H1259" t="n">
        <v>0</v>
      </c>
      <c r="I1259" t="n">
        <v>1</v>
      </c>
      <c r="J1259" t="n">
        <v>0</v>
      </c>
      <c r="K1259" t="n">
        <v>0</v>
      </c>
      <c r="L1259" t="n">
        <v>0</v>
      </c>
      <c r="M1259" t="n">
        <v>0</v>
      </c>
      <c r="N1259" t="n">
        <v>0</v>
      </c>
      <c r="O1259" t="n">
        <v>0</v>
      </c>
      <c r="P1259" t="n">
        <v>0</v>
      </c>
      <c r="Q1259" t="n">
        <v>1</v>
      </c>
      <c r="R1259" s="2" t="inlineStr">
        <is>
          <t>Vedticka</t>
        </is>
      </c>
      <c r="S1259">
        <f>HYPERLINK("https://klasma.github.io/Logging_2262/artfynd/A 14168-2024 artfynd.xlsx", "A 14168-2024")</f>
        <v/>
      </c>
      <c r="T1259">
        <f>HYPERLINK("https://klasma.github.io/Logging_2262/kartor/A 14168-2024 karta.png", "A 14168-2024")</f>
        <v/>
      </c>
      <c r="V1259">
        <f>HYPERLINK("https://klasma.github.io/Logging_2262/klagomål/A 14168-2024 FSC-klagomål.docx", "A 14168-2024")</f>
        <v/>
      </c>
      <c r="W1259">
        <f>HYPERLINK("https://klasma.github.io/Logging_2262/klagomålsmail/A 14168-2024 FSC-klagomål mail.docx", "A 14168-2024")</f>
        <v/>
      </c>
      <c r="X1259">
        <f>HYPERLINK("https://klasma.github.io/Logging_2262/tillsyn/A 14168-2024 tillsynsbegäran.docx", "A 14168-2024")</f>
        <v/>
      </c>
      <c r="Y1259">
        <f>HYPERLINK("https://klasma.github.io/Logging_2262/tillsynsmail/A 14168-2024 tillsynsbegäran mail.docx", "A 14168-2024")</f>
        <v/>
      </c>
    </row>
    <row r="1260" ht="15" customHeight="1">
      <c r="A1260" t="inlineStr">
        <is>
          <t>A 14367-2024</t>
        </is>
      </c>
      <c r="B1260" s="1" t="n">
        <v>45393</v>
      </c>
      <c r="C1260" s="1" t="n">
        <v>45657</v>
      </c>
      <c r="D1260" t="inlineStr">
        <is>
          <t>VÄSTERNORRLANDS LÄN</t>
        </is>
      </c>
      <c r="E1260" t="inlineStr">
        <is>
          <t>SOLLEFTEÅ</t>
        </is>
      </c>
      <c r="F1260" t="inlineStr">
        <is>
          <t>SCA</t>
        </is>
      </c>
      <c r="G1260" t="n">
        <v>2</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14367-2024 artfynd.xlsx", "A 14367-2024")</f>
        <v/>
      </c>
      <c r="T1260">
        <f>HYPERLINK("https://klasma.github.io/Logging_2283/kartor/A 14367-2024 karta.png", "A 14367-2024")</f>
        <v/>
      </c>
      <c r="V1260">
        <f>HYPERLINK("https://klasma.github.io/Logging_2283/klagomål/A 14367-2024 FSC-klagomål.docx", "A 14367-2024")</f>
        <v/>
      </c>
      <c r="W1260">
        <f>HYPERLINK("https://klasma.github.io/Logging_2283/klagomålsmail/A 14367-2024 FSC-klagomål mail.docx", "A 14367-2024")</f>
        <v/>
      </c>
      <c r="X1260">
        <f>HYPERLINK("https://klasma.github.io/Logging_2283/tillsyn/A 14367-2024 tillsynsbegäran.docx", "A 14367-2024")</f>
        <v/>
      </c>
      <c r="Y1260">
        <f>HYPERLINK("https://klasma.github.io/Logging_2283/tillsynsmail/A 14367-2024 tillsynsbegäran mail.docx", "A 14367-2024")</f>
        <v/>
      </c>
    </row>
    <row r="1261" ht="15" customHeight="1">
      <c r="A1261" t="inlineStr">
        <is>
          <t>A 14582-2024</t>
        </is>
      </c>
      <c r="B1261" s="1" t="n">
        <v>45394</v>
      </c>
      <c r="C1261" s="1" t="n">
        <v>45657</v>
      </c>
      <c r="D1261" t="inlineStr">
        <is>
          <t>VÄSTERNORRLANDS LÄN</t>
        </is>
      </c>
      <c r="E1261" t="inlineStr">
        <is>
          <t>HÄRNÖSAND</t>
        </is>
      </c>
      <c r="F1261" t="inlineStr">
        <is>
          <t>SCA</t>
        </is>
      </c>
      <c r="G1261" t="n">
        <v>4.1</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14582-2024 artfynd.xlsx", "A 14582-2024")</f>
        <v/>
      </c>
      <c r="T1261">
        <f>HYPERLINK("https://klasma.github.io/Logging_2280/kartor/A 14582-2024 karta.png", "A 14582-2024")</f>
        <v/>
      </c>
      <c r="V1261">
        <f>HYPERLINK("https://klasma.github.io/Logging_2280/klagomål/A 14582-2024 FSC-klagomål.docx", "A 14582-2024")</f>
        <v/>
      </c>
      <c r="W1261">
        <f>HYPERLINK("https://klasma.github.io/Logging_2280/klagomålsmail/A 14582-2024 FSC-klagomål mail.docx", "A 14582-2024")</f>
        <v/>
      </c>
      <c r="X1261">
        <f>HYPERLINK("https://klasma.github.io/Logging_2280/tillsyn/A 14582-2024 tillsynsbegäran.docx", "A 14582-2024")</f>
        <v/>
      </c>
      <c r="Y1261">
        <f>HYPERLINK("https://klasma.github.io/Logging_2280/tillsynsmail/A 14582-2024 tillsynsbegäran mail.docx", "A 14582-2024")</f>
        <v/>
      </c>
    </row>
    <row r="1262" ht="15" customHeight="1">
      <c r="A1262" t="inlineStr">
        <is>
          <t>A 14805-2024</t>
        </is>
      </c>
      <c r="B1262" s="1" t="n">
        <v>45397</v>
      </c>
      <c r="C1262" s="1" t="n">
        <v>45657</v>
      </c>
      <c r="D1262" t="inlineStr">
        <is>
          <t>VÄSTERNORRLANDS LÄN</t>
        </is>
      </c>
      <c r="E1262" t="inlineStr">
        <is>
          <t>SOLLEFTEÅ</t>
        </is>
      </c>
      <c r="F1262" t="inlineStr">
        <is>
          <t>SCA</t>
        </is>
      </c>
      <c r="G1262" t="n">
        <v>3.5</v>
      </c>
      <c r="H1262" t="n">
        <v>0</v>
      </c>
      <c r="I1262" t="n">
        <v>0</v>
      </c>
      <c r="J1262" t="n">
        <v>1</v>
      </c>
      <c r="K1262" t="n">
        <v>0</v>
      </c>
      <c r="L1262" t="n">
        <v>0</v>
      </c>
      <c r="M1262" t="n">
        <v>0</v>
      </c>
      <c r="N1262" t="n">
        <v>0</v>
      </c>
      <c r="O1262" t="n">
        <v>1</v>
      </c>
      <c r="P1262" t="n">
        <v>0</v>
      </c>
      <c r="Q1262" t="n">
        <v>1</v>
      </c>
      <c r="R1262" s="2" t="inlineStr">
        <is>
          <t>Dvärgbägarlav</t>
        </is>
      </c>
      <c r="S1262">
        <f>HYPERLINK("https://klasma.github.io/Logging_2283/artfynd/A 14805-2024 artfynd.xlsx", "A 14805-2024")</f>
        <v/>
      </c>
      <c r="T1262">
        <f>HYPERLINK("https://klasma.github.io/Logging_2283/kartor/A 14805-2024 karta.png", "A 14805-2024")</f>
        <v/>
      </c>
      <c r="V1262">
        <f>HYPERLINK("https://klasma.github.io/Logging_2283/klagomål/A 14805-2024 FSC-klagomål.docx", "A 14805-2024")</f>
        <v/>
      </c>
      <c r="W1262">
        <f>HYPERLINK("https://klasma.github.io/Logging_2283/klagomålsmail/A 14805-2024 FSC-klagomål mail.docx", "A 14805-2024")</f>
        <v/>
      </c>
      <c r="X1262">
        <f>HYPERLINK("https://klasma.github.io/Logging_2283/tillsyn/A 14805-2024 tillsynsbegäran.docx", "A 14805-2024")</f>
        <v/>
      </c>
      <c r="Y1262">
        <f>HYPERLINK("https://klasma.github.io/Logging_2283/tillsynsmail/A 14805-2024 tillsynsbegäran mail.docx", "A 14805-2024")</f>
        <v/>
      </c>
    </row>
    <row r="1263" ht="15" customHeight="1">
      <c r="A1263" t="inlineStr">
        <is>
          <t>A 14885-2024</t>
        </is>
      </c>
      <c r="B1263" s="1" t="n">
        <v>45398</v>
      </c>
      <c r="C1263" s="1" t="n">
        <v>45657</v>
      </c>
      <c r="D1263" t="inlineStr">
        <is>
          <t>VÄSTERNORRLANDS LÄN</t>
        </is>
      </c>
      <c r="E1263" t="inlineStr">
        <is>
          <t>SOLLEFTEÅ</t>
        </is>
      </c>
      <c r="G1263" t="n">
        <v>5.8</v>
      </c>
      <c r="H1263" t="n">
        <v>1</v>
      </c>
      <c r="I1263" t="n">
        <v>0</v>
      </c>
      <c r="J1263" t="n">
        <v>0</v>
      </c>
      <c r="K1263" t="n">
        <v>0</v>
      </c>
      <c r="L1263" t="n">
        <v>0</v>
      </c>
      <c r="M1263" t="n">
        <v>0</v>
      </c>
      <c r="N1263" t="n">
        <v>0</v>
      </c>
      <c r="O1263" t="n">
        <v>0</v>
      </c>
      <c r="P1263" t="n">
        <v>0</v>
      </c>
      <c r="Q1263" t="n">
        <v>1</v>
      </c>
      <c r="R1263" s="2" t="inlineStr">
        <is>
          <t>Pärluggla</t>
        </is>
      </c>
      <c r="S1263">
        <f>HYPERLINK("https://klasma.github.io/Logging_2283/artfynd/A 14885-2024 artfynd.xlsx", "A 14885-2024")</f>
        <v/>
      </c>
      <c r="T1263">
        <f>HYPERLINK("https://klasma.github.io/Logging_2283/kartor/A 14885-2024 karta.png", "A 14885-2024")</f>
        <v/>
      </c>
      <c r="V1263">
        <f>HYPERLINK("https://klasma.github.io/Logging_2283/klagomål/A 14885-2024 FSC-klagomål.docx", "A 14885-2024")</f>
        <v/>
      </c>
      <c r="W1263">
        <f>HYPERLINK("https://klasma.github.io/Logging_2283/klagomålsmail/A 14885-2024 FSC-klagomål mail.docx", "A 14885-2024")</f>
        <v/>
      </c>
      <c r="X1263">
        <f>HYPERLINK("https://klasma.github.io/Logging_2283/tillsyn/A 14885-2024 tillsynsbegäran.docx", "A 14885-2024")</f>
        <v/>
      </c>
      <c r="Y1263">
        <f>HYPERLINK("https://klasma.github.io/Logging_2283/tillsynsmail/A 14885-2024 tillsynsbegäran mail.docx", "A 14885-2024")</f>
        <v/>
      </c>
      <c r="Z1263">
        <f>HYPERLINK("https://klasma.github.io/Logging_2283/fåglar/A 14885-2024 prioriterade fågelarter.docx", "A 14885-2024")</f>
        <v/>
      </c>
    </row>
    <row r="1264" ht="15" customHeight="1">
      <c r="A1264" t="inlineStr">
        <is>
          <t>A 15151-2024</t>
        </is>
      </c>
      <c r="B1264" s="1" t="n">
        <v>45400</v>
      </c>
      <c r="C1264" s="1" t="n">
        <v>45657</v>
      </c>
      <c r="D1264" t="inlineStr">
        <is>
          <t>VÄSTERNORRLANDS LÄN</t>
        </is>
      </c>
      <c r="E1264" t="inlineStr">
        <is>
          <t>SUNDSVALL</t>
        </is>
      </c>
      <c r="F1264" t="inlineStr">
        <is>
          <t>Naturvårdsverket</t>
        </is>
      </c>
      <c r="G1264" t="n">
        <v>17.2</v>
      </c>
      <c r="H1264" t="n">
        <v>1</v>
      </c>
      <c r="I1264" t="n">
        <v>0</v>
      </c>
      <c r="J1264" t="n">
        <v>0</v>
      </c>
      <c r="K1264" t="n">
        <v>1</v>
      </c>
      <c r="L1264" t="n">
        <v>0</v>
      </c>
      <c r="M1264" t="n">
        <v>0</v>
      </c>
      <c r="N1264" t="n">
        <v>0</v>
      </c>
      <c r="O1264" t="n">
        <v>1</v>
      </c>
      <c r="P1264" t="n">
        <v>1</v>
      </c>
      <c r="Q1264" t="n">
        <v>1</v>
      </c>
      <c r="R1264" s="2" t="inlineStr">
        <is>
          <t>Knärot</t>
        </is>
      </c>
      <c r="S1264">
        <f>HYPERLINK("https://klasma.github.io/Logging_2281/artfynd/A 15151-2024 artfynd.xlsx", "A 15151-2024")</f>
        <v/>
      </c>
      <c r="T1264">
        <f>HYPERLINK("https://klasma.github.io/Logging_2281/kartor/A 15151-2024 karta.png", "A 15151-2024")</f>
        <v/>
      </c>
      <c r="U1264">
        <f>HYPERLINK("https://klasma.github.io/Logging_2281/knärot/A 15151-2024 karta knärot.png", "A 15151-2024")</f>
        <v/>
      </c>
      <c r="V1264">
        <f>HYPERLINK("https://klasma.github.io/Logging_2281/klagomål/A 15151-2024 FSC-klagomål.docx", "A 15151-2024")</f>
        <v/>
      </c>
      <c r="W1264">
        <f>HYPERLINK("https://klasma.github.io/Logging_2281/klagomålsmail/A 15151-2024 FSC-klagomål mail.docx", "A 15151-2024")</f>
        <v/>
      </c>
      <c r="X1264">
        <f>HYPERLINK("https://klasma.github.io/Logging_2281/tillsyn/A 15151-2024 tillsynsbegäran.docx", "A 15151-2024")</f>
        <v/>
      </c>
      <c r="Y1264">
        <f>HYPERLINK("https://klasma.github.io/Logging_2281/tillsynsmail/A 15151-2024 tillsynsbegäran mail.docx", "A 15151-2024")</f>
        <v/>
      </c>
    </row>
    <row r="1265" ht="15" customHeight="1">
      <c r="A1265" t="inlineStr">
        <is>
          <t>A 15376-2024</t>
        </is>
      </c>
      <c r="B1265" s="1" t="n">
        <v>45400</v>
      </c>
      <c r="C1265" s="1" t="n">
        <v>45657</v>
      </c>
      <c r="D1265" t="inlineStr">
        <is>
          <t>VÄSTERNORRLANDS LÄN</t>
        </is>
      </c>
      <c r="E1265" t="inlineStr">
        <is>
          <t>SUNDSVALL</t>
        </is>
      </c>
      <c r="F1265" t="inlineStr">
        <is>
          <t>Naturvårdsverket</t>
        </is>
      </c>
      <c r="G1265" t="n">
        <v>1.2</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15376-2024 artfynd.xlsx", "A 15376-2024")</f>
        <v/>
      </c>
      <c r="T1265">
        <f>HYPERLINK("https://klasma.github.io/Logging_2281/kartor/A 15376-2024 karta.png", "A 15376-2024")</f>
        <v/>
      </c>
      <c r="V1265">
        <f>HYPERLINK("https://klasma.github.io/Logging_2281/klagomål/A 15376-2024 FSC-klagomål.docx", "A 15376-2024")</f>
        <v/>
      </c>
      <c r="W1265">
        <f>HYPERLINK("https://klasma.github.io/Logging_2281/klagomålsmail/A 15376-2024 FSC-klagomål mail.docx", "A 15376-2024")</f>
        <v/>
      </c>
      <c r="X1265">
        <f>HYPERLINK("https://klasma.github.io/Logging_2281/tillsyn/A 15376-2024 tillsynsbegäran.docx", "A 15376-2024")</f>
        <v/>
      </c>
      <c r="Y1265">
        <f>HYPERLINK("https://klasma.github.io/Logging_2281/tillsynsmail/A 15376-2024 tillsynsbegäran mail.docx", "A 15376-2024")</f>
        <v/>
      </c>
    </row>
    <row r="1266" ht="15" customHeight="1">
      <c r="A1266" t="inlineStr">
        <is>
          <t>A 15477-2024</t>
        </is>
      </c>
      <c r="B1266" s="1" t="n">
        <v>45401</v>
      </c>
      <c r="C1266" s="1" t="n">
        <v>45657</v>
      </c>
      <c r="D1266" t="inlineStr">
        <is>
          <t>VÄSTERNORRLANDS LÄN</t>
        </is>
      </c>
      <c r="E1266" t="inlineStr">
        <is>
          <t>TIMRÅ</t>
        </is>
      </c>
      <c r="G1266" t="n">
        <v>2.1</v>
      </c>
      <c r="H1266" t="n">
        <v>0</v>
      </c>
      <c r="I1266" t="n">
        <v>0</v>
      </c>
      <c r="J1266" t="n">
        <v>1</v>
      </c>
      <c r="K1266" t="n">
        <v>0</v>
      </c>
      <c r="L1266" t="n">
        <v>0</v>
      </c>
      <c r="M1266" t="n">
        <v>0</v>
      </c>
      <c r="N1266" t="n">
        <v>0</v>
      </c>
      <c r="O1266" t="n">
        <v>1</v>
      </c>
      <c r="P1266" t="n">
        <v>0</v>
      </c>
      <c r="Q1266" t="n">
        <v>1</v>
      </c>
      <c r="R1266" s="2" t="inlineStr">
        <is>
          <t>Tallticka</t>
        </is>
      </c>
      <c r="S1266">
        <f>HYPERLINK("https://klasma.github.io/Logging_2262/artfynd/A 15477-2024 artfynd.xlsx", "A 15477-2024")</f>
        <v/>
      </c>
      <c r="T1266">
        <f>HYPERLINK("https://klasma.github.io/Logging_2262/kartor/A 15477-2024 karta.png", "A 15477-2024")</f>
        <v/>
      </c>
      <c r="V1266">
        <f>HYPERLINK("https://klasma.github.io/Logging_2262/klagomål/A 15477-2024 FSC-klagomål.docx", "A 15477-2024")</f>
        <v/>
      </c>
      <c r="W1266">
        <f>HYPERLINK("https://klasma.github.io/Logging_2262/klagomålsmail/A 15477-2024 FSC-klagomål mail.docx", "A 15477-2024")</f>
        <v/>
      </c>
      <c r="X1266">
        <f>HYPERLINK("https://klasma.github.io/Logging_2262/tillsyn/A 15477-2024 tillsynsbegäran.docx", "A 15477-2024")</f>
        <v/>
      </c>
      <c r="Y1266">
        <f>HYPERLINK("https://klasma.github.io/Logging_2262/tillsynsmail/A 15477-2024 tillsynsbegäran mail.docx", "A 15477-2024")</f>
        <v/>
      </c>
    </row>
    <row r="1267" ht="15" customHeight="1">
      <c r="A1267" t="inlineStr">
        <is>
          <t>A 15862-2024</t>
        </is>
      </c>
      <c r="B1267" s="1" t="n">
        <v>45404</v>
      </c>
      <c r="C1267" s="1" t="n">
        <v>45657</v>
      </c>
      <c r="D1267" t="inlineStr">
        <is>
          <t>VÄSTERNORRLANDS LÄN</t>
        </is>
      </c>
      <c r="E1267" t="inlineStr">
        <is>
          <t>SOLLEFTEÅ</t>
        </is>
      </c>
      <c r="F1267" t="inlineStr">
        <is>
          <t>SCA</t>
        </is>
      </c>
      <c r="G1267" t="n">
        <v>10.1</v>
      </c>
      <c r="H1267" t="n">
        <v>0</v>
      </c>
      <c r="I1267" t="n">
        <v>0</v>
      </c>
      <c r="J1267" t="n">
        <v>1</v>
      </c>
      <c r="K1267" t="n">
        <v>0</v>
      </c>
      <c r="L1267" t="n">
        <v>0</v>
      </c>
      <c r="M1267" t="n">
        <v>0</v>
      </c>
      <c r="N1267" t="n">
        <v>0</v>
      </c>
      <c r="O1267" t="n">
        <v>1</v>
      </c>
      <c r="P1267" t="n">
        <v>0</v>
      </c>
      <c r="Q1267" t="n">
        <v>1</v>
      </c>
      <c r="R1267" s="2" t="inlineStr">
        <is>
          <t>Lunglav</t>
        </is>
      </c>
      <c r="S1267">
        <f>HYPERLINK("https://klasma.github.io/Logging_2283/artfynd/A 15862-2024 artfynd.xlsx", "A 15862-2024")</f>
        <v/>
      </c>
      <c r="T1267">
        <f>HYPERLINK("https://klasma.github.io/Logging_2283/kartor/A 15862-2024 karta.png", "A 15862-2024")</f>
        <v/>
      </c>
      <c r="V1267">
        <f>HYPERLINK("https://klasma.github.io/Logging_2283/klagomål/A 15862-2024 FSC-klagomål.docx", "A 15862-2024")</f>
        <v/>
      </c>
      <c r="W1267">
        <f>HYPERLINK("https://klasma.github.io/Logging_2283/klagomålsmail/A 15862-2024 FSC-klagomål mail.docx", "A 15862-2024")</f>
        <v/>
      </c>
      <c r="X1267">
        <f>HYPERLINK("https://klasma.github.io/Logging_2283/tillsyn/A 15862-2024 tillsynsbegäran.docx", "A 15862-2024")</f>
        <v/>
      </c>
      <c r="Y1267">
        <f>HYPERLINK("https://klasma.github.io/Logging_2283/tillsynsmail/A 15862-2024 tillsynsbegäran mail.docx", "A 15862-2024")</f>
        <v/>
      </c>
    </row>
    <row r="1268" ht="15" customHeight="1">
      <c r="A1268" t="inlineStr">
        <is>
          <t>A 16877-2024</t>
        </is>
      </c>
      <c r="B1268" s="1" t="n">
        <v>45411</v>
      </c>
      <c r="C1268" s="1" t="n">
        <v>45657</v>
      </c>
      <c r="D1268" t="inlineStr">
        <is>
          <t>VÄSTERNORRLANDS LÄN</t>
        </is>
      </c>
      <c r="E1268" t="inlineStr">
        <is>
          <t>ÖRNSKÖLDSVIK</t>
        </is>
      </c>
      <c r="F1268" t="inlineStr">
        <is>
          <t>Holmen skog AB</t>
        </is>
      </c>
      <c r="G1268" t="n">
        <v>2.1</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16877-2024 artfynd.xlsx", "A 16877-2024")</f>
        <v/>
      </c>
      <c r="T1268">
        <f>HYPERLINK("https://klasma.github.io/Logging_2284/kartor/A 16877-2024 karta.png", "A 16877-2024")</f>
        <v/>
      </c>
      <c r="V1268">
        <f>HYPERLINK("https://klasma.github.io/Logging_2284/klagomål/A 16877-2024 FSC-klagomål.docx", "A 16877-2024")</f>
        <v/>
      </c>
      <c r="W1268">
        <f>HYPERLINK("https://klasma.github.io/Logging_2284/klagomålsmail/A 16877-2024 FSC-klagomål mail.docx", "A 16877-2024")</f>
        <v/>
      </c>
      <c r="X1268">
        <f>HYPERLINK("https://klasma.github.io/Logging_2284/tillsyn/A 16877-2024 tillsynsbegäran.docx", "A 16877-2024")</f>
        <v/>
      </c>
      <c r="Y1268">
        <f>HYPERLINK("https://klasma.github.io/Logging_2284/tillsynsmail/A 16877-2024 tillsynsbegäran mail.docx", "A 16877-2024")</f>
        <v/>
      </c>
    </row>
    <row r="1269" ht="15" customHeight="1">
      <c r="A1269" t="inlineStr">
        <is>
          <t>A 18006-2024</t>
        </is>
      </c>
      <c r="B1269" s="1" t="n">
        <v>45419</v>
      </c>
      <c r="C1269" s="1" t="n">
        <v>45657</v>
      </c>
      <c r="D1269" t="inlineStr">
        <is>
          <t>VÄSTERNORRLANDS LÄN</t>
        </is>
      </c>
      <c r="E1269" t="inlineStr">
        <is>
          <t>ÅNGE</t>
        </is>
      </c>
      <c r="F1269" t="inlineStr">
        <is>
          <t>SCA</t>
        </is>
      </c>
      <c r="G1269" t="n">
        <v>14.7</v>
      </c>
      <c r="H1269" t="n">
        <v>0</v>
      </c>
      <c r="I1269" t="n">
        <v>0</v>
      </c>
      <c r="J1269" t="n">
        <v>1</v>
      </c>
      <c r="K1269" t="n">
        <v>0</v>
      </c>
      <c r="L1269" t="n">
        <v>0</v>
      </c>
      <c r="M1269" t="n">
        <v>0</v>
      </c>
      <c r="N1269" t="n">
        <v>0</v>
      </c>
      <c r="O1269" t="n">
        <v>1</v>
      </c>
      <c r="P1269" t="n">
        <v>0</v>
      </c>
      <c r="Q1269" t="n">
        <v>1</v>
      </c>
      <c r="R1269" s="2" t="inlineStr">
        <is>
          <t>Skrovlig flatbagge</t>
        </is>
      </c>
      <c r="S1269">
        <f>HYPERLINK("https://klasma.github.io/Logging_2260/artfynd/A 18006-2024 artfynd.xlsx", "A 18006-2024")</f>
        <v/>
      </c>
      <c r="T1269">
        <f>HYPERLINK("https://klasma.github.io/Logging_2260/kartor/A 18006-2024 karta.png", "A 18006-2024")</f>
        <v/>
      </c>
      <c r="V1269">
        <f>HYPERLINK("https://klasma.github.io/Logging_2260/klagomål/A 18006-2024 FSC-klagomål.docx", "A 18006-2024")</f>
        <v/>
      </c>
      <c r="W1269">
        <f>HYPERLINK("https://klasma.github.io/Logging_2260/klagomålsmail/A 18006-2024 FSC-klagomål mail.docx", "A 18006-2024")</f>
        <v/>
      </c>
      <c r="X1269">
        <f>HYPERLINK("https://klasma.github.io/Logging_2260/tillsyn/A 18006-2024 tillsynsbegäran.docx", "A 18006-2024")</f>
        <v/>
      </c>
      <c r="Y1269">
        <f>HYPERLINK("https://klasma.github.io/Logging_2260/tillsynsmail/A 18006-2024 tillsynsbegäran mail.docx", "A 18006-2024")</f>
        <v/>
      </c>
    </row>
    <row r="1270" ht="15" customHeight="1">
      <c r="A1270" t="inlineStr">
        <is>
          <t>A 18613-2024</t>
        </is>
      </c>
      <c r="B1270" s="1" t="n">
        <v>45425</v>
      </c>
      <c r="C1270" s="1" t="n">
        <v>45657</v>
      </c>
      <c r="D1270" t="inlineStr">
        <is>
          <t>VÄSTERNORRLANDS LÄN</t>
        </is>
      </c>
      <c r="E1270" t="inlineStr">
        <is>
          <t>SOLLEFTEÅ</t>
        </is>
      </c>
      <c r="F1270" t="inlineStr">
        <is>
          <t>SCA</t>
        </is>
      </c>
      <c r="G1270" t="n">
        <v>4.9</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18613-2024 artfynd.xlsx", "A 18613-2024")</f>
        <v/>
      </c>
      <c r="T1270">
        <f>HYPERLINK("https://klasma.github.io/Logging_2283/kartor/A 18613-2024 karta.png", "A 18613-2024")</f>
        <v/>
      </c>
      <c r="V1270">
        <f>HYPERLINK("https://klasma.github.io/Logging_2283/klagomål/A 18613-2024 FSC-klagomål.docx", "A 18613-2024")</f>
        <v/>
      </c>
      <c r="W1270">
        <f>HYPERLINK("https://klasma.github.io/Logging_2283/klagomålsmail/A 18613-2024 FSC-klagomål mail.docx", "A 18613-2024")</f>
        <v/>
      </c>
      <c r="X1270">
        <f>HYPERLINK("https://klasma.github.io/Logging_2283/tillsyn/A 18613-2024 tillsynsbegäran.docx", "A 18613-2024")</f>
        <v/>
      </c>
      <c r="Y1270">
        <f>HYPERLINK("https://klasma.github.io/Logging_2283/tillsynsmail/A 18613-2024 tillsynsbegäran mail.docx", "A 18613-2024")</f>
        <v/>
      </c>
    </row>
    <row r="1271" ht="15" customHeight="1">
      <c r="A1271" t="inlineStr">
        <is>
          <t>A 18625-2024</t>
        </is>
      </c>
      <c r="B1271" s="1" t="n">
        <v>45425</v>
      </c>
      <c r="C1271" s="1" t="n">
        <v>45657</v>
      </c>
      <c r="D1271" t="inlineStr">
        <is>
          <t>VÄSTERNORRLANDS LÄN</t>
        </is>
      </c>
      <c r="E1271" t="inlineStr">
        <is>
          <t>ÅNGE</t>
        </is>
      </c>
      <c r="F1271" t="inlineStr">
        <is>
          <t>SCA</t>
        </is>
      </c>
      <c r="G1271" t="n">
        <v>2.6</v>
      </c>
      <c r="H1271" t="n">
        <v>1</v>
      </c>
      <c r="I1271" t="n">
        <v>1</v>
      </c>
      <c r="J1271" t="n">
        <v>0</v>
      </c>
      <c r="K1271" t="n">
        <v>0</v>
      </c>
      <c r="L1271" t="n">
        <v>0</v>
      </c>
      <c r="M1271" t="n">
        <v>0</v>
      </c>
      <c r="N1271" t="n">
        <v>0</v>
      </c>
      <c r="O1271" t="n">
        <v>0</v>
      </c>
      <c r="P1271" t="n">
        <v>0</v>
      </c>
      <c r="Q1271" t="n">
        <v>1</v>
      </c>
      <c r="R1271" s="2" t="inlineStr">
        <is>
          <t>Tvåblad</t>
        </is>
      </c>
      <c r="S1271">
        <f>HYPERLINK("https://klasma.github.io/Logging_2260/artfynd/A 18625-2024 artfynd.xlsx", "A 18625-2024")</f>
        <v/>
      </c>
      <c r="T1271">
        <f>HYPERLINK("https://klasma.github.io/Logging_2260/kartor/A 18625-2024 karta.png", "A 18625-2024")</f>
        <v/>
      </c>
      <c r="V1271">
        <f>HYPERLINK("https://klasma.github.io/Logging_2260/klagomål/A 18625-2024 FSC-klagomål.docx", "A 18625-2024")</f>
        <v/>
      </c>
      <c r="W1271">
        <f>HYPERLINK("https://klasma.github.io/Logging_2260/klagomålsmail/A 18625-2024 FSC-klagomål mail.docx", "A 18625-2024")</f>
        <v/>
      </c>
      <c r="X1271">
        <f>HYPERLINK("https://klasma.github.io/Logging_2260/tillsyn/A 18625-2024 tillsynsbegäran.docx", "A 18625-2024")</f>
        <v/>
      </c>
      <c r="Y1271">
        <f>HYPERLINK("https://klasma.github.io/Logging_2260/tillsynsmail/A 18625-2024 tillsynsbegäran mail.docx", "A 18625-2024")</f>
        <v/>
      </c>
    </row>
    <row r="1272" ht="15" customHeight="1">
      <c r="A1272" t="inlineStr">
        <is>
          <t>A 19085-2024</t>
        </is>
      </c>
      <c r="B1272" s="1" t="n">
        <v>45428</v>
      </c>
      <c r="C1272" s="1" t="n">
        <v>45657</v>
      </c>
      <c r="D1272" t="inlineStr">
        <is>
          <t>VÄSTERNORRLANDS LÄN</t>
        </is>
      </c>
      <c r="E1272" t="inlineStr">
        <is>
          <t>SUNDSVALL</t>
        </is>
      </c>
      <c r="F1272" t="inlineStr">
        <is>
          <t>SCA</t>
        </is>
      </c>
      <c r="G1272" t="n">
        <v>5.5</v>
      </c>
      <c r="H1272" t="n">
        <v>1</v>
      </c>
      <c r="I1272" t="n">
        <v>0</v>
      </c>
      <c r="J1272" t="n">
        <v>0</v>
      </c>
      <c r="K1272" t="n">
        <v>0</v>
      </c>
      <c r="L1272" t="n">
        <v>0</v>
      </c>
      <c r="M1272" t="n">
        <v>0</v>
      </c>
      <c r="N1272" t="n">
        <v>0</v>
      </c>
      <c r="O1272" t="n">
        <v>0</v>
      </c>
      <c r="P1272" t="n">
        <v>0</v>
      </c>
      <c r="Q1272" t="n">
        <v>1</v>
      </c>
      <c r="R1272" s="2" t="inlineStr">
        <is>
          <t>Blåsippa</t>
        </is>
      </c>
      <c r="S1272">
        <f>HYPERLINK("https://klasma.github.io/Logging_2281/artfynd/A 19085-2024 artfynd.xlsx", "A 19085-2024")</f>
        <v/>
      </c>
      <c r="T1272">
        <f>HYPERLINK("https://klasma.github.io/Logging_2281/kartor/A 19085-2024 karta.png", "A 19085-2024")</f>
        <v/>
      </c>
      <c r="V1272">
        <f>HYPERLINK("https://klasma.github.io/Logging_2281/klagomål/A 19085-2024 FSC-klagomål.docx", "A 19085-2024")</f>
        <v/>
      </c>
      <c r="W1272">
        <f>HYPERLINK("https://klasma.github.io/Logging_2281/klagomålsmail/A 19085-2024 FSC-klagomål mail.docx", "A 19085-2024")</f>
        <v/>
      </c>
      <c r="X1272">
        <f>HYPERLINK("https://klasma.github.io/Logging_2281/tillsyn/A 19085-2024 tillsynsbegäran.docx", "A 19085-2024")</f>
        <v/>
      </c>
      <c r="Y1272">
        <f>HYPERLINK("https://klasma.github.io/Logging_2281/tillsynsmail/A 19085-2024 tillsynsbegäran mail.docx", "A 19085-2024")</f>
        <v/>
      </c>
    </row>
    <row r="1273" ht="15" customHeight="1">
      <c r="A1273" t="inlineStr">
        <is>
          <t>A 20517-2024</t>
        </is>
      </c>
      <c r="B1273" s="1" t="n">
        <v>45435</v>
      </c>
      <c r="C1273" s="1" t="n">
        <v>45657</v>
      </c>
      <c r="D1273" t="inlineStr">
        <is>
          <t>VÄSTERNORRLANDS LÄN</t>
        </is>
      </c>
      <c r="E1273" t="inlineStr">
        <is>
          <t>SUNDSVALL</t>
        </is>
      </c>
      <c r="G1273" t="n">
        <v>4.6</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20517-2024 artfynd.xlsx", "A 20517-2024")</f>
        <v/>
      </c>
      <c r="T1273">
        <f>HYPERLINK("https://klasma.github.io/Logging_2281/kartor/A 20517-2024 karta.png", "A 20517-2024")</f>
        <v/>
      </c>
      <c r="V1273">
        <f>HYPERLINK("https://klasma.github.io/Logging_2281/klagomål/A 20517-2024 FSC-klagomål.docx", "A 20517-2024")</f>
        <v/>
      </c>
      <c r="W1273">
        <f>HYPERLINK("https://klasma.github.io/Logging_2281/klagomålsmail/A 20517-2024 FSC-klagomål mail.docx", "A 20517-2024")</f>
        <v/>
      </c>
      <c r="X1273">
        <f>HYPERLINK("https://klasma.github.io/Logging_2281/tillsyn/A 20517-2024 tillsynsbegäran.docx", "A 20517-2024")</f>
        <v/>
      </c>
      <c r="Y1273">
        <f>HYPERLINK("https://klasma.github.io/Logging_2281/tillsynsmail/A 20517-2024 tillsynsbegäran mail.docx", "A 20517-2024")</f>
        <v/>
      </c>
    </row>
    <row r="1274" ht="15" customHeight="1">
      <c r="A1274" t="inlineStr">
        <is>
          <t>A 20350-2024</t>
        </is>
      </c>
      <c r="B1274" s="1" t="n">
        <v>45435</v>
      </c>
      <c r="C1274" s="1" t="n">
        <v>45657</v>
      </c>
      <c r="D1274" t="inlineStr">
        <is>
          <t>VÄSTERNORRLANDS LÄN</t>
        </is>
      </c>
      <c r="E1274" t="inlineStr">
        <is>
          <t>TIMRÅ</t>
        </is>
      </c>
      <c r="F1274" t="inlineStr">
        <is>
          <t>SCA</t>
        </is>
      </c>
      <c r="G1274" t="n">
        <v>6.9</v>
      </c>
      <c r="H1274" t="n">
        <v>0</v>
      </c>
      <c r="I1274" t="n">
        <v>0</v>
      </c>
      <c r="J1274" t="n">
        <v>1</v>
      </c>
      <c r="K1274" t="n">
        <v>0</v>
      </c>
      <c r="L1274" t="n">
        <v>0</v>
      </c>
      <c r="M1274" t="n">
        <v>0</v>
      </c>
      <c r="N1274" t="n">
        <v>0</v>
      </c>
      <c r="O1274" t="n">
        <v>1</v>
      </c>
      <c r="P1274" t="n">
        <v>0</v>
      </c>
      <c r="Q1274" t="n">
        <v>1</v>
      </c>
      <c r="R1274" s="2" t="inlineStr">
        <is>
          <t>Garnlav</t>
        </is>
      </c>
      <c r="S1274">
        <f>HYPERLINK("https://klasma.github.io/Logging_2262/artfynd/A 20350-2024 artfynd.xlsx", "A 20350-2024")</f>
        <v/>
      </c>
      <c r="T1274">
        <f>HYPERLINK("https://klasma.github.io/Logging_2262/kartor/A 20350-2024 karta.png", "A 20350-2024")</f>
        <v/>
      </c>
      <c r="V1274">
        <f>HYPERLINK("https://klasma.github.io/Logging_2262/klagomål/A 20350-2024 FSC-klagomål.docx", "A 20350-2024")</f>
        <v/>
      </c>
      <c r="W1274">
        <f>HYPERLINK("https://klasma.github.io/Logging_2262/klagomålsmail/A 20350-2024 FSC-klagomål mail.docx", "A 20350-2024")</f>
        <v/>
      </c>
      <c r="X1274">
        <f>HYPERLINK("https://klasma.github.io/Logging_2262/tillsyn/A 20350-2024 tillsynsbegäran.docx", "A 20350-2024")</f>
        <v/>
      </c>
      <c r="Y1274">
        <f>HYPERLINK("https://klasma.github.io/Logging_2262/tillsynsmail/A 20350-2024 tillsynsbegäran mail.docx", "A 20350-2024")</f>
        <v/>
      </c>
    </row>
    <row r="1275" ht="15" customHeight="1">
      <c r="A1275" t="inlineStr">
        <is>
          <t>A 20785-2024</t>
        </is>
      </c>
      <c r="B1275" s="1" t="n">
        <v>45437</v>
      </c>
      <c r="C1275" s="1" t="n">
        <v>45657</v>
      </c>
      <c r="D1275" t="inlineStr">
        <is>
          <t>VÄSTERNORRLANDS LÄN</t>
        </is>
      </c>
      <c r="E1275" t="inlineStr">
        <is>
          <t>TIMRÅ</t>
        </is>
      </c>
      <c r="F1275" t="inlineStr">
        <is>
          <t>SCA</t>
        </is>
      </c>
      <c r="G1275" t="n">
        <v>3.4</v>
      </c>
      <c r="H1275" t="n">
        <v>0</v>
      </c>
      <c r="I1275" t="n">
        <v>0</v>
      </c>
      <c r="J1275" t="n">
        <v>1</v>
      </c>
      <c r="K1275" t="n">
        <v>0</v>
      </c>
      <c r="L1275" t="n">
        <v>0</v>
      </c>
      <c r="M1275" t="n">
        <v>0</v>
      </c>
      <c r="N1275" t="n">
        <v>0</v>
      </c>
      <c r="O1275" t="n">
        <v>1</v>
      </c>
      <c r="P1275" t="n">
        <v>0</v>
      </c>
      <c r="Q1275" t="n">
        <v>1</v>
      </c>
      <c r="R1275" s="2" t="inlineStr">
        <is>
          <t>Rosenticka</t>
        </is>
      </c>
      <c r="S1275">
        <f>HYPERLINK("https://klasma.github.io/Logging_2262/artfynd/A 20785-2024 artfynd.xlsx", "A 20785-2024")</f>
        <v/>
      </c>
      <c r="T1275">
        <f>HYPERLINK("https://klasma.github.io/Logging_2262/kartor/A 20785-2024 karta.png", "A 20785-2024")</f>
        <v/>
      </c>
      <c r="V1275">
        <f>HYPERLINK("https://klasma.github.io/Logging_2262/klagomål/A 20785-2024 FSC-klagomål.docx", "A 20785-2024")</f>
        <v/>
      </c>
      <c r="W1275">
        <f>HYPERLINK("https://klasma.github.io/Logging_2262/klagomålsmail/A 20785-2024 FSC-klagomål mail.docx", "A 20785-2024")</f>
        <v/>
      </c>
      <c r="X1275">
        <f>HYPERLINK("https://klasma.github.io/Logging_2262/tillsyn/A 20785-2024 tillsynsbegäran.docx", "A 20785-2024")</f>
        <v/>
      </c>
      <c r="Y1275">
        <f>HYPERLINK("https://klasma.github.io/Logging_2262/tillsynsmail/A 20785-2024 tillsynsbegäran mail.docx", "A 20785-2024")</f>
        <v/>
      </c>
    </row>
    <row r="1276" ht="15" customHeight="1">
      <c r="A1276" t="inlineStr">
        <is>
          <t>A 21090-2024</t>
        </is>
      </c>
      <c r="B1276" s="1" t="n">
        <v>45439</v>
      </c>
      <c r="C1276" s="1" t="n">
        <v>45657</v>
      </c>
      <c r="D1276" t="inlineStr">
        <is>
          <t>VÄSTERNORRLANDS LÄN</t>
        </is>
      </c>
      <c r="E1276" t="inlineStr">
        <is>
          <t>ÅNGE</t>
        </is>
      </c>
      <c r="F1276" t="inlineStr">
        <is>
          <t>SCA</t>
        </is>
      </c>
      <c r="G1276" t="n">
        <v>1.9</v>
      </c>
      <c r="H1276" t="n">
        <v>0</v>
      </c>
      <c r="I1276" t="n">
        <v>0</v>
      </c>
      <c r="J1276" t="n">
        <v>1</v>
      </c>
      <c r="K1276" t="n">
        <v>0</v>
      </c>
      <c r="L1276" t="n">
        <v>0</v>
      </c>
      <c r="M1276" t="n">
        <v>0</v>
      </c>
      <c r="N1276" t="n">
        <v>0</v>
      </c>
      <c r="O1276" t="n">
        <v>1</v>
      </c>
      <c r="P1276" t="n">
        <v>0</v>
      </c>
      <c r="Q1276" t="n">
        <v>1</v>
      </c>
      <c r="R1276" s="2" t="inlineStr">
        <is>
          <t>Rosenticka</t>
        </is>
      </c>
      <c r="S1276">
        <f>HYPERLINK("https://klasma.github.io/Logging_2260/artfynd/A 21090-2024 artfynd.xlsx", "A 21090-2024")</f>
        <v/>
      </c>
      <c r="T1276">
        <f>HYPERLINK("https://klasma.github.io/Logging_2260/kartor/A 21090-2024 karta.png", "A 21090-2024")</f>
        <v/>
      </c>
      <c r="V1276">
        <f>HYPERLINK("https://klasma.github.io/Logging_2260/klagomål/A 21090-2024 FSC-klagomål.docx", "A 21090-2024")</f>
        <v/>
      </c>
      <c r="W1276">
        <f>HYPERLINK("https://klasma.github.io/Logging_2260/klagomålsmail/A 21090-2024 FSC-klagomål mail.docx", "A 21090-2024")</f>
        <v/>
      </c>
      <c r="X1276">
        <f>HYPERLINK("https://klasma.github.io/Logging_2260/tillsyn/A 21090-2024 tillsynsbegäran.docx", "A 21090-2024")</f>
        <v/>
      </c>
      <c r="Y1276">
        <f>HYPERLINK("https://klasma.github.io/Logging_2260/tillsynsmail/A 21090-2024 tillsynsbegäran mail.docx", "A 21090-2024")</f>
        <v/>
      </c>
    </row>
    <row r="1277" ht="15" customHeight="1">
      <c r="A1277" t="inlineStr">
        <is>
          <t>A 20914-2024</t>
        </is>
      </c>
      <c r="B1277" s="1" t="n">
        <v>45439</v>
      </c>
      <c r="C1277" s="1" t="n">
        <v>45657</v>
      </c>
      <c r="D1277" t="inlineStr">
        <is>
          <t>VÄSTERNORRLANDS LÄN</t>
        </is>
      </c>
      <c r="E1277" t="inlineStr">
        <is>
          <t>ÅNGE</t>
        </is>
      </c>
      <c r="F1277" t="inlineStr">
        <is>
          <t>Sveaskog</t>
        </is>
      </c>
      <c r="G1277" t="n">
        <v>4.6</v>
      </c>
      <c r="H1277" t="n">
        <v>0</v>
      </c>
      <c r="I1277" t="n">
        <v>0</v>
      </c>
      <c r="J1277" t="n">
        <v>1</v>
      </c>
      <c r="K1277" t="n">
        <v>0</v>
      </c>
      <c r="L1277" t="n">
        <v>0</v>
      </c>
      <c r="M1277" t="n">
        <v>0</v>
      </c>
      <c r="N1277" t="n">
        <v>0</v>
      </c>
      <c r="O1277" t="n">
        <v>1</v>
      </c>
      <c r="P1277" t="n">
        <v>0</v>
      </c>
      <c r="Q1277" t="n">
        <v>1</v>
      </c>
      <c r="R1277" s="2" t="inlineStr">
        <is>
          <t>Garnlav</t>
        </is>
      </c>
      <c r="S1277">
        <f>HYPERLINK("https://klasma.github.io/Logging_2260/artfynd/A 20914-2024 artfynd.xlsx", "A 20914-2024")</f>
        <v/>
      </c>
      <c r="T1277">
        <f>HYPERLINK("https://klasma.github.io/Logging_2260/kartor/A 20914-2024 karta.png", "A 20914-2024")</f>
        <v/>
      </c>
      <c r="V1277">
        <f>HYPERLINK("https://klasma.github.io/Logging_2260/klagomål/A 20914-2024 FSC-klagomål.docx", "A 20914-2024")</f>
        <v/>
      </c>
      <c r="W1277">
        <f>HYPERLINK("https://klasma.github.io/Logging_2260/klagomålsmail/A 20914-2024 FSC-klagomål mail.docx", "A 20914-2024")</f>
        <v/>
      </c>
      <c r="X1277">
        <f>HYPERLINK("https://klasma.github.io/Logging_2260/tillsyn/A 20914-2024 tillsynsbegäran.docx", "A 20914-2024")</f>
        <v/>
      </c>
      <c r="Y1277">
        <f>HYPERLINK("https://klasma.github.io/Logging_2260/tillsynsmail/A 20914-2024 tillsynsbegäran mail.docx", "A 20914-2024")</f>
        <v/>
      </c>
    </row>
    <row r="1278" ht="15" customHeight="1">
      <c r="A1278" t="inlineStr">
        <is>
          <t>A 21323-2024</t>
        </is>
      </c>
      <c r="B1278" s="1" t="n">
        <v>45440</v>
      </c>
      <c r="C1278" s="1" t="n">
        <v>45657</v>
      </c>
      <c r="D1278" t="inlineStr">
        <is>
          <t>VÄSTERNORRLANDS LÄN</t>
        </is>
      </c>
      <c r="E1278" t="inlineStr">
        <is>
          <t>ÖRNSKÖLDSVIK</t>
        </is>
      </c>
      <c r="F1278" t="inlineStr">
        <is>
          <t>Holmen skog AB</t>
        </is>
      </c>
      <c r="G1278" t="n">
        <v>1.5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21323-2024 artfynd.xlsx", "A 21323-2024")</f>
        <v/>
      </c>
      <c r="T1278">
        <f>HYPERLINK("https://klasma.github.io/Logging_2284/kartor/A 21323-2024 karta.png", "A 21323-2024")</f>
        <v/>
      </c>
      <c r="V1278">
        <f>HYPERLINK("https://klasma.github.io/Logging_2284/klagomål/A 21323-2024 FSC-klagomål.docx", "A 21323-2024")</f>
        <v/>
      </c>
      <c r="W1278">
        <f>HYPERLINK("https://klasma.github.io/Logging_2284/klagomålsmail/A 21323-2024 FSC-klagomål mail.docx", "A 21323-2024")</f>
        <v/>
      </c>
      <c r="X1278">
        <f>HYPERLINK("https://klasma.github.io/Logging_2284/tillsyn/A 21323-2024 tillsynsbegäran.docx", "A 21323-2024")</f>
        <v/>
      </c>
      <c r="Y1278">
        <f>HYPERLINK("https://klasma.github.io/Logging_2284/tillsynsmail/A 21323-2024 tillsynsbegäran mail.docx", "A 21323-2024")</f>
        <v/>
      </c>
      <c r="Z1278">
        <f>HYPERLINK("https://klasma.github.io/Logging_2284/fåglar/A 21323-2024 prioriterade fågelarter.docx", "A 21323-2024")</f>
        <v/>
      </c>
    </row>
    <row r="1279" ht="15" customHeight="1">
      <c r="A1279" t="inlineStr">
        <is>
          <t>A 21845-2024</t>
        </is>
      </c>
      <c r="B1279" s="1" t="n">
        <v>45442</v>
      </c>
      <c r="C1279" s="1" t="n">
        <v>45657</v>
      </c>
      <c r="D1279" t="inlineStr">
        <is>
          <t>VÄSTERNORRLANDS LÄN</t>
        </is>
      </c>
      <c r="E1279" t="inlineStr">
        <is>
          <t>TIMRÅ</t>
        </is>
      </c>
      <c r="F1279" t="inlineStr">
        <is>
          <t>SCA</t>
        </is>
      </c>
      <c r="G1279" t="n">
        <v>14.7</v>
      </c>
      <c r="H1279" t="n">
        <v>0</v>
      </c>
      <c r="I1279" t="n">
        <v>0</v>
      </c>
      <c r="J1279" t="n">
        <v>1</v>
      </c>
      <c r="K1279" t="n">
        <v>0</v>
      </c>
      <c r="L1279" t="n">
        <v>0</v>
      </c>
      <c r="M1279" t="n">
        <v>0</v>
      </c>
      <c r="N1279" t="n">
        <v>0</v>
      </c>
      <c r="O1279" t="n">
        <v>1</v>
      </c>
      <c r="P1279" t="n">
        <v>0</v>
      </c>
      <c r="Q1279" t="n">
        <v>1</v>
      </c>
      <c r="R1279" s="2" t="inlineStr">
        <is>
          <t>Lunglav</t>
        </is>
      </c>
      <c r="S1279">
        <f>HYPERLINK("https://klasma.github.io/Logging_2262/artfynd/A 21845-2024 artfynd.xlsx", "A 21845-2024")</f>
        <v/>
      </c>
      <c r="T1279">
        <f>HYPERLINK("https://klasma.github.io/Logging_2262/kartor/A 21845-2024 karta.png", "A 21845-2024")</f>
        <v/>
      </c>
      <c r="V1279">
        <f>HYPERLINK("https://klasma.github.io/Logging_2262/klagomål/A 21845-2024 FSC-klagomål.docx", "A 21845-2024")</f>
        <v/>
      </c>
      <c r="W1279">
        <f>HYPERLINK("https://klasma.github.io/Logging_2262/klagomålsmail/A 21845-2024 FSC-klagomål mail.docx", "A 21845-2024")</f>
        <v/>
      </c>
      <c r="X1279">
        <f>HYPERLINK("https://klasma.github.io/Logging_2262/tillsyn/A 21845-2024 tillsynsbegäran.docx", "A 21845-2024")</f>
        <v/>
      </c>
      <c r="Y1279">
        <f>HYPERLINK("https://klasma.github.io/Logging_2262/tillsynsmail/A 21845-2024 tillsynsbegäran mail.docx", "A 21845-2024")</f>
        <v/>
      </c>
    </row>
    <row r="1280" ht="15" customHeight="1">
      <c r="A1280" t="inlineStr">
        <is>
          <t>A 22454-2024</t>
        </is>
      </c>
      <c r="B1280" s="1" t="n">
        <v>45447</v>
      </c>
      <c r="C1280" s="1" t="n">
        <v>45657</v>
      </c>
      <c r="D1280" t="inlineStr">
        <is>
          <t>VÄSTERNORRLANDS LÄN</t>
        </is>
      </c>
      <c r="E1280" t="inlineStr">
        <is>
          <t>SOLLEFTEÅ</t>
        </is>
      </c>
      <c r="F1280" t="inlineStr">
        <is>
          <t>SCA</t>
        </is>
      </c>
      <c r="G1280" t="n">
        <v>9</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22454-2024 artfynd.xlsx", "A 22454-2024")</f>
        <v/>
      </c>
      <c r="T1280">
        <f>HYPERLINK("https://klasma.github.io/Logging_2283/kartor/A 22454-2024 karta.png", "A 22454-2024")</f>
        <v/>
      </c>
      <c r="V1280">
        <f>HYPERLINK("https://klasma.github.io/Logging_2283/klagomål/A 22454-2024 FSC-klagomål.docx", "A 22454-2024")</f>
        <v/>
      </c>
      <c r="W1280">
        <f>HYPERLINK("https://klasma.github.io/Logging_2283/klagomålsmail/A 22454-2024 FSC-klagomål mail.docx", "A 22454-2024")</f>
        <v/>
      </c>
      <c r="X1280">
        <f>HYPERLINK("https://klasma.github.io/Logging_2283/tillsyn/A 22454-2024 tillsynsbegäran.docx", "A 22454-2024")</f>
        <v/>
      </c>
      <c r="Y1280">
        <f>HYPERLINK("https://klasma.github.io/Logging_2283/tillsynsmail/A 22454-2024 tillsynsbegäran mail.docx", "A 22454-2024")</f>
        <v/>
      </c>
    </row>
    <row r="1281" ht="15" customHeight="1">
      <c r="A1281" t="inlineStr">
        <is>
          <t>A 23552-2024</t>
        </is>
      </c>
      <c r="B1281" s="1" t="n">
        <v>45454</v>
      </c>
      <c r="C1281" s="1" t="n">
        <v>45657</v>
      </c>
      <c r="D1281" t="inlineStr">
        <is>
          <t>VÄSTERNORRLANDS LÄN</t>
        </is>
      </c>
      <c r="E1281" t="inlineStr">
        <is>
          <t>SOLLEFTEÅ</t>
        </is>
      </c>
      <c r="F1281" t="inlineStr">
        <is>
          <t>SCA</t>
        </is>
      </c>
      <c r="G1281" t="n">
        <v>1.2</v>
      </c>
      <c r="H1281" t="n">
        <v>0</v>
      </c>
      <c r="I1281" t="n">
        <v>0</v>
      </c>
      <c r="J1281" t="n">
        <v>1</v>
      </c>
      <c r="K1281" t="n">
        <v>0</v>
      </c>
      <c r="L1281" t="n">
        <v>0</v>
      </c>
      <c r="M1281" t="n">
        <v>0</v>
      </c>
      <c r="N1281" t="n">
        <v>0</v>
      </c>
      <c r="O1281" t="n">
        <v>1</v>
      </c>
      <c r="P1281" t="n">
        <v>0</v>
      </c>
      <c r="Q1281" t="n">
        <v>1</v>
      </c>
      <c r="R1281" s="2" t="inlineStr">
        <is>
          <t>Lunglav</t>
        </is>
      </c>
      <c r="S1281">
        <f>HYPERLINK("https://klasma.github.io/Logging_2283/artfynd/A 23552-2024 artfynd.xlsx", "A 23552-2024")</f>
        <v/>
      </c>
      <c r="T1281">
        <f>HYPERLINK("https://klasma.github.io/Logging_2283/kartor/A 23552-2024 karta.png", "A 23552-2024")</f>
        <v/>
      </c>
      <c r="V1281">
        <f>HYPERLINK("https://klasma.github.io/Logging_2283/klagomål/A 23552-2024 FSC-klagomål.docx", "A 23552-2024")</f>
        <v/>
      </c>
      <c r="W1281">
        <f>HYPERLINK("https://klasma.github.io/Logging_2283/klagomålsmail/A 23552-2024 FSC-klagomål mail.docx", "A 23552-2024")</f>
        <v/>
      </c>
      <c r="X1281">
        <f>HYPERLINK("https://klasma.github.io/Logging_2283/tillsyn/A 23552-2024 tillsynsbegäran.docx", "A 23552-2024")</f>
        <v/>
      </c>
      <c r="Y1281">
        <f>HYPERLINK("https://klasma.github.io/Logging_2283/tillsynsmail/A 23552-2024 tillsynsbegäran mail.docx", "A 23552-2024")</f>
        <v/>
      </c>
    </row>
    <row r="1282" ht="15" customHeight="1">
      <c r="A1282" t="inlineStr">
        <is>
          <t>A 24799-2024</t>
        </is>
      </c>
      <c r="B1282" s="1" t="n">
        <v>45460</v>
      </c>
      <c r="C1282" s="1" t="n">
        <v>45657</v>
      </c>
      <c r="D1282" t="inlineStr">
        <is>
          <t>VÄSTERNORRLANDS LÄN</t>
        </is>
      </c>
      <c r="E1282" t="inlineStr">
        <is>
          <t>ÅNGE</t>
        </is>
      </c>
      <c r="F1282" t="inlineStr">
        <is>
          <t>SCA</t>
        </is>
      </c>
      <c r="G1282" t="n">
        <v>2.8</v>
      </c>
      <c r="H1282" t="n">
        <v>1</v>
      </c>
      <c r="I1282" t="n">
        <v>0</v>
      </c>
      <c r="J1282" t="n">
        <v>0</v>
      </c>
      <c r="K1282" t="n">
        <v>1</v>
      </c>
      <c r="L1282" t="n">
        <v>0</v>
      </c>
      <c r="M1282" t="n">
        <v>0</v>
      </c>
      <c r="N1282" t="n">
        <v>0</v>
      </c>
      <c r="O1282" t="n">
        <v>1</v>
      </c>
      <c r="P1282" t="n">
        <v>1</v>
      </c>
      <c r="Q1282" t="n">
        <v>1</v>
      </c>
      <c r="R1282" s="2" t="inlineStr">
        <is>
          <t>Doftticka</t>
        </is>
      </c>
      <c r="S1282">
        <f>HYPERLINK("https://klasma.github.io/Logging_2260/artfynd/A 24799-2024 artfynd.xlsx", "A 24799-2024")</f>
        <v/>
      </c>
      <c r="T1282">
        <f>HYPERLINK("https://klasma.github.io/Logging_2260/kartor/A 24799-2024 karta.png", "A 24799-2024")</f>
        <v/>
      </c>
      <c r="V1282">
        <f>HYPERLINK("https://klasma.github.io/Logging_2260/klagomål/A 24799-2024 FSC-klagomål.docx", "A 24799-2024")</f>
        <v/>
      </c>
      <c r="W1282">
        <f>HYPERLINK("https://klasma.github.io/Logging_2260/klagomålsmail/A 24799-2024 FSC-klagomål mail.docx", "A 24799-2024")</f>
        <v/>
      </c>
      <c r="X1282">
        <f>HYPERLINK("https://klasma.github.io/Logging_2260/tillsyn/A 24799-2024 tillsynsbegäran.docx", "A 24799-2024")</f>
        <v/>
      </c>
      <c r="Y1282">
        <f>HYPERLINK("https://klasma.github.io/Logging_2260/tillsynsmail/A 24799-2024 tillsynsbegäran mail.docx", "A 24799-2024")</f>
        <v/>
      </c>
    </row>
    <row r="1283" ht="15" customHeight="1">
      <c r="A1283" t="inlineStr">
        <is>
          <t>A 25380-2024</t>
        </is>
      </c>
      <c r="B1283" s="1" t="n">
        <v>45463</v>
      </c>
      <c r="C1283" s="1" t="n">
        <v>45657</v>
      </c>
      <c r="D1283" t="inlineStr">
        <is>
          <t>VÄSTERNORRLANDS LÄN</t>
        </is>
      </c>
      <c r="E1283" t="inlineStr">
        <is>
          <t>SUNDSVALL</t>
        </is>
      </c>
      <c r="F1283" t="inlineStr">
        <is>
          <t>SCA</t>
        </is>
      </c>
      <c r="G1283" t="n">
        <v>3.3</v>
      </c>
      <c r="H1283" t="n">
        <v>1</v>
      </c>
      <c r="I1283" t="n">
        <v>0</v>
      </c>
      <c r="J1283" t="n">
        <v>1</v>
      </c>
      <c r="K1283" t="n">
        <v>0</v>
      </c>
      <c r="L1283" t="n">
        <v>0</v>
      </c>
      <c r="M1283" t="n">
        <v>0</v>
      </c>
      <c r="N1283" t="n">
        <v>0</v>
      </c>
      <c r="O1283" t="n">
        <v>1</v>
      </c>
      <c r="P1283" t="n">
        <v>0</v>
      </c>
      <c r="Q1283" t="n">
        <v>1</v>
      </c>
      <c r="R1283" s="2" t="inlineStr">
        <is>
          <t>Nordfladdermus</t>
        </is>
      </c>
      <c r="S1283">
        <f>HYPERLINK("https://klasma.github.io/Logging_2281/artfynd/A 25380-2024 artfynd.xlsx", "A 25380-2024")</f>
        <v/>
      </c>
      <c r="T1283">
        <f>HYPERLINK("https://klasma.github.io/Logging_2281/kartor/A 25380-2024 karta.png", "A 25380-2024")</f>
        <v/>
      </c>
      <c r="V1283">
        <f>HYPERLINK("https://klasma.github.io/Logging_2281/klagomål/A 25380-2024 FSC-klagomål.docx", "A 25380-2024")</f>
        <v/>
      </c>
      <c r="W1283">
        <f>HYPERLINK("https://klasma.github.io/Logging_2281/klagomålsmail/A 25380-2024 FSC-klagomål mail.docx", "A 25380-2024")</f>
        <v/>
      </c>
      <c r="X1283">
        <f>HYPERLINK("https://klasma.github.io/Logging_2281/tillsyn/A 25380-2024 tillsynsbegäran.docx", "A 25380-2024")</f>
        <v/>
      </c>
      <c r="Y1283">
        <f>HYPERLINK("https://klasma.github.io/Logging_2281/tillsynsmail/A 25380-2024 tillsynsbegäran mail.docx", "A 25380-2024")</f>
        <v/>
      </c>
    </row>
    <row r="1284" ht="15" customHeight="1">
      <c r="A1284" t="inlineStr">
        <is>
          <t>A 25705-2024</t>
        </is>
      </c>
      <c r="B1284" s="1" t="n">
        <v>45464</v>
      </c>
      <c r="C1284" s="1" t="n">
        <v>45657</v>
      </c>
      <c r="D1284" t="inlineStr">
        <is>
          <t>VÄSTERNORRLANDS LÄN</t>
        </is>
      </c>
      <c r="E1284" t="inlineStr">
        <is>
          <t>ÅNGE</t>
        </is>
      </c>
      <c r="F1284" t="inlineStr">
        <is>
          <t>SCA</t>
        </is>
      </c>
      <c r="G1284" t="n">
        <v>10.6</v>
      </c>
      <c r="H1284" t="n">
        <v>1</v>
      </c>
      <c r="I1284" t="n">
        <v>1</v>
      </c>
      <c r="J1284" t="n">
        <v>0</v>
      </c>
      <c r="K1284" t="n">
        <v>0</v>
      </c>
      <c r="L1284" t="n">
        <v>0</v>
      </c>
      <c r="M1284" t="n">
        <v>0</v>
      </c>
      <c r="N1284" t="n">
        <v>0</v>
      </c>
      <c r="O1284" t="n">
        <v>0</v>
      </c>
      <c r="P1284" t="n">
        <v>0</v>
      </c>
      <c r="Q1284" t="n">
        <v>1</v>
      </c>
      <c r="R1284" s="2" t="inlineStr">
        <is>
          <t>Korallrot</t>
        </is>
      </c>
      <c r="S1284">
        <f>HYPERLINK("https://klasma.github.io/Logging_2260/artfynd/A 25705-2024 artfynd.xlsx", "A 25705-2024")</f>
        <v/>
      </c>
      <c r="T1284">
        <f>HYPERLINK("https://klasma.github.io/Logging_2260/kartor/A 25705-2024 karta.png", "A 25705-2024")</f>
        <v/>
      </c>
      <c r="V1284">
        <f>HYPERLINK("https://klasma.github.io/Logging_2260/klagomål/A 25705-2024 FSC-klagomål.docx", "A 25705-2024")</f>
        <v/>
      </c>
      <c r="W1284">
        <f>HYPERLINK("https://klasma.github.io/Logging_2260/klagomålsmail/A 25705-2024 FSC-klagomål mail.docx", "A 25705-2024")</f>
        <v/>
      </c>
      <c r="X1284">
        <f>HYPERLINK("https://klasma.github.io/Logging_2260/tillsyn/A 25705-2024 tillsynsbegäran.docx", "A 25705-2024")</f>
        <v/>
      </c>
      <c r="Y1284">
        <f>HYPERLINK("https://klasma.github.io/Logging_2260/tillsynsmail/A 25705-2024 tillsynsbegäran mail.docx", "A 25705-2024")</f>
        <v/>
      </c>
    </row>
    <row r="1285" ht="15" customHeight="1">
      <c r="A1285" t="inlineStr">
        <is>
          <t>A 26178-2024</t>
        </is>
      </c>
      <c r="B1285" s="1" t="n">
        <v>45468</v>
      </c>
      <c r="C1285" s="1" t="n">
        <v>45657</v>
      </c>
      <c r="D1285" t="inlineStr">
        <is>
          <t>VÄSTERNORRLANDS LÄN</t>
        </is>
      </c>
      <c r="E1285" t="inlineStr">
        <is>
          <t>SUNDSVALL</t>
        </is>
      </c>
      <c r="G1285" t="n">
        <v>11.7</v>
      </c>
      <c r="H1285" t="n">
        <v>1</v>
      </c>
      <c r="I1285" t="n">
        <v>0</v>
      </c>
      <c r="J1285" t="n">
        <v>1</v>
      </c>
      <c r="K1285" t="n">
        <v>0</v>
      </c>
      <c r="L1285" t="n">
        <v>0</v>
      </c>
      <c r="M1285" t="n">
        <v>0</v>
      </c>
      <c r="N1285" t="n">
        <v>0</v>
      </c>
      <c r="O1285" t="n">
        <v>1</v>
      </c>
      <c r="P1285" t="n">
        <v>0</v>
      </c>
      <c r="Q1285" t="n">
        <v>1</v>
      </c>
      <c r="R1285" s="2" t="inlineStr">
        <is>
          <t>Pilgrimsfalk</t>
        </is>
      </c>
      <c r="S1285">
        <f>HYPERLINK("https://klasma.github.io/Logging_2281/artfynd/A 26178-2024 artfynd.xlsx", "A 26178-2024")</f>
        <v/>
      </c>
      <c r="T1285">
        <f>HYPERLINK("https://klasma.github.io/Logging_2281/kartor/A 26178-2024 karta.png", "A 26178-2024")</f>
        <v/>
      </c>
      <c r="V1285">
        <f>HYPERLINK("https://klasma.github.io/Logging_2281/klagomål/A 26178-2024 FSC-klagomål.docx", "A 26178-2024")</f>
        <v/>
      </c>
      <c r="W1285">
        <f>HYPERLINK("https://klasma.github.io/Logging_2281/klagomålsmail/A 26178-2024 FSC-klagomål mail.docx", "A 26178-2024")</f>
        <v/>
      </c>
      <c r="X1285">
        <f>HYPERLINK("https://klasma.github.io/Logging_2281/tillsyn/A 26178-2024 tillsynsbegäran.docx", "A 26178-2024")</f>
        <v/>
      </c>
      <c r="Y1285">
        <f>HYPERLINK("https://klasma.github.io/Logging_2281/tillsynsmail/A 26178-2024 tillsynsbegäran mail.docx", "A 26178-2024")</f>
        <v/>
      </c>
      <c r="Z1285">
        <f>HYPERLINK("https://klasma.github.io/Logging_2281/fåglar/A 26178-2024 prioriterade fågelarter.docx", "A 26178-2024")</f>
        <v/>
      </c>
    </row>
    <row r="1286" ht="15" customHeight="1">
      <c r="A1286" t="inlineStr">
        <is>
          <t>A 26080-2024</t>
        </is>
      </c>
      <c r="B1286" s="1" t="n">
        <v>45468</v>
      </c>
      <c r="C1286" s="1" t="n">
        <v>45657</v>
      </c>
      <c r="D1286" t="inlineStr">
        <is>
          <t>VÄSTERNORRLANDS LÄN</t>
        </is>
      </c>
      <c r="E1286" t="inlineStr">
        <is>
          <t>SUNDSVALL</t>
        </is>
      </c>
      <c r="G1286" t="n">
        <v>18.8</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26080-2024 artfynd.xlsx", "A 26080-2024")</f>
        <v/>
      </c>
      <c r="T1286">
        <f>HYPERLINK("https://klasma.github.io/Logging_2281/kartor/A 26080-2024 karta.png", "A 26080-2024")</f>
        <v/>
      </c>
      <c r="V1286">
        <f>HYPERLINK("https://klasma.github.io/Logging_2281/klagomål/A 26080-2024 FSC-klagomål.docx", "A 26080-2024")</f>
        <v/>
      </c>
      <c r="W1286">
        <f>HYPERLINK("https://klasma.github.io/Logging_2281/klagomålsmail/A 26080-2024 FSC-klagomål mail.docx", "A 26080-2024")</f>
        <v/>
      </c>
      <c r="X1286">
        <f>HYPERLINK("https://klasma.github.io/Logging_2281/tillsyn/A 26080-2024 tillsynsbegäran.docx", "A 26080-2024")</f>
        <v/>
      </c>
      <c r="Y1286">
        <f>HYPERLINK("https://klasma.github.io/Logging_2281/tillsynsmail/A 26080-2024 tillsynsbegäran mail.docx", "A 26080-2024")</f>
        <v/>
      </c>
    </row>
    <row r="1287" ht="15" customHeight="1">
      <c r="A1287" t="inlineStr">
        <is>
          <t>A 27308-2024</t>
        </is>
      </c>
      <c r="B1287" s="1" t="n">
        <v>45471</v>
      </c>
      <c r="C1287" s="1" t="n">
        <v>45657</v>
      </c>
      <c r="D1287" t="inlineStr">
        <is>
          <t>VÄSTERNORRLANDS LÄN</t>
        </is>
      </c>
      <c r="E1287" t="inlineStr">
        <is>
          <t>ÅNGE</t>
        </is>
      </c>
      <c r="F1287" t="inlineStr">
        <is>
          <t>SCA</t>
        </is>
      </c>
      <c r="G1287" t="n">
        <v>15.9</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27308-2024 artfynd.xlsx", "A 27308-2024")</f>
        <v/>
      </c>
      <c r="T1287">
        <f>HYPERLINK("https://klasma.github.io/Logging_2260/kartor/A 27308-2024 karta.png", "A 27308-2024")</f>
        <v/>
      </c>
      <c r="V1287">
        <f>HYPERLINK("https://klasma.github.io/Logging_2260/klagomål/A 27308-2024 FSC-klagomål.docx", "A 27308-2024")</f>
        <v/>
      </c>
      <c r="W1287">
        <f>HYPERLINK("https://klasma.github.io/Logging_2260/klagomålsmail/A 27308-2024 FSC-klagomål mail.docx", "A 27308-2024")</f>
        <v/>
      </c>
      <c r="X1287">
        <f>HYPERLINK("https://klasma.github.io/Logging_2260/tillsyn/A 27308-2024 tillsynsbegäran.docx", "A 27308-2024")</f>
        <v/>
      </c>
      <c r="Y1287">
        <f>HYPERLINK("https://klasma.github.io/Logging_2260/tillsynsmail/A 27308-2024 tillsynsbegäran mail.docx", "A 27308-2024")</f>
        <v/>
      </c>
    </row>
    <row r="1288" ht="15" customHeight="1">
      <c r="A1288" t="inlineStr">
        <is>
          <t>A 27309-2024</t>
        </is>
      </c>
      <c r="B1288" s="1" t="n">
        <v>45471</v>
      </c>
      <c r="C1288" s="1" t="n">
        <v>45657</v>
      </c>
      <c r="D1288" t="inlineStr">
        <is>
          <t>VÄSTERNORRLANDS LÄN</t>
        </is>
      </c>
      <c r="E1288" t="inlineStr">
        <is>
          <t>SOLLEFTEÅ</t>
        </is>
      </c>
      <c r="F1288" t="inlineStr">
        <is>
          <t>SCA</t>
        </is>
      </c>
      <c r="G1288" t="n">
        <v>39.2</v>
      </c>
      <c r="H1288" t="n">
        <v>1</v>
      </c>
      <c r="I1288" t="n">
        <v>0</v>
      </c>
      <c r="J1288" t="n">
        <v>1</v>
      </c>
      <c r="K1288" t="n">
        <v>0</v>
      </c>
      <c r="L1288" t="n">
        <v>0</v>
      </c>
      <c r="M1288" t="n">
        <v>0</v>
      </c>
      <c r="N1288" t="n">
        <v>0</v>
      </c>
      <c r="O1288" t="n">
        <v>1</v>
      </c>
      <c r="P1288" t="n">
        <v>0</v>
      </c>
      <c r="Q1288" t="n">
        <v>1</v>
      </c>
      <c r="R1288" s="2" t="inlineStr">
        <is>
          <t>Nordfladdermus</t>
        </is>
      </c>
      <c r="S1288">
        <f>HYPERLINK("https://klasma.github.io/Logging_2283/artfynd/A 27309-2024 artfynd.xlsx", "A 27309-2024")</f>
        <v/>
      </c>
      <c r="T1288">
        <f>HYPERLINK("https://klasma.github.io/Logging_2283/kartor/A 27309-2024 karta.png", "A 27309-2024")</f>
        <v/>
      </c>
      <c r="V1288">
        <f>HYPERLINK("https://klasma.github.io/Logging_2283/klagomål/A 27309-2024 FSC-klagomål.docx", "A 27309-2024")</f>
        <v/>
      </c>
      <c r="W1288">
        <f>HYPERLINK("https://klasma.github.io/Logging_2283/klagomålsmail/A 27309-2024 FSC-klagomål mail.docx", "A 27309-2024")</f>
        <v/>
      </c>
      <c r="X1288">
        <f>HYPERLINK("https://klasma.github.io/Logging_2283/tillsyn/A 27309-2024 tillsynsbegäran.docx", "A 27309-2024")</f>
        <v/>
      </c>
      <c r="Y1288">
        <f>HYPERLINK("https://klasma.github.io/Logging_2283/tillsynsmail/A 27309-2024 tillsynsbegäran mail.docx", "A 27309-2024")</f>
        <v/>
      </c>
    </row>
    <row r="1289" ht="15" customHeight="1">
      <c r="A1289" t="inlineStr">
        <is>
          <t>A 27320-2024</t>
        </is>
      </c>
      <c r="B1289" s="1" t="n">
        <v>45471</v>
      </c>
      <c r="C1289" s="1" t="n">
        <v>45657</v>
      </c>
      <c r="D1289" t="inlineStr">
        <is>
          <t>VÄSTERNORRLANDS LÄN</t>
        </is>
      </c>
      <c r="E1289" t="inlineStr">
        <is>
          <t>SUNDSVALL</t>
        </is>
      </c>
      <c r="F1289" t="inlineStr">
        <is>
          <t>SCA</t>
        </is>
      </c>
      <c r="G1289" t="n">
        <v>4</v>
      </c>
      <c r="H1289" t="n">
        <v>0</v>
      </c>
      <c r="I1289" t="n">
        <v>0</v>
      </c>
      <c r="J1289" t="n">
        <v>1</v>
      </c>
      <c r="K1289" t="n">
        <v>0</v>
      </c>
      <c r="L1289" t="n">
        <v>0</v>
      </c>
      <c r="M1289" t="n">
        <v>0</v>
      </c>
      <c r="N1289" t="n">
        <v>0</v>
      </c>
      <c r="O1289" t="n">
        <v>1</v>
      </c>
      <c r="P1289" t="n">
        <v>0</v>
      </c>
      <c r="Q1289" t="n">
        <v>1</v>
      </c>
      <c r="R1289" s="2" t="inlineStr">
        <is>
          <t>Småflikig brosklav</t>
        </is>
      </c>
      <c r="S1289">
        <f>HYPERLINK("https://klasma.github.io/Logging_2281/artfynd/A 27320-2024 artfynd.xlsx", "A 27320-2024")</f>
        <v/>
      </c>
      <c r="T1289">
        <f>HYPERLINK("https://klasma.github.io/Logging_2281/kartor/A 27320-2024 karta.png", "A 27320-2024")</f>
        <v/>
      </c>
      <c r="V1289">
        <f>HYPERLINK("https://klasma.github.io/Logging_2281/klagomål/A 27320-2024 FSC-klagomål.docx", "A 27320-2024")</f>
        <v/>
      </c>
      <c r="W1289">
        <f>HYPERLINK("https://klasma.github.io/Logging_2281/klagomålsmail/A 27320-2024 FSC-klagomål mail.docx", "A 27320-2024")</f>
        <v/>
      </c>
      <c r="X1289">
        <f>HYPERLINK("https://klasma.github.io/Logging_2281/tillsyn/A 27320-2024 tillsynsbegäran.docx", "A 27320-2024")</f>
        <v/>
      </c>
      <c r="Y1289">
        <f>HYPERLINK("https://klasma.github.io/Logging_2281/tillsynsmail/A 27320-2024 tillsynsbegäran mail.docx", "A 27320-2024")</f>
        <v/>
      </c>
    </row>
    <row r="1290" ht="15" customHeight="1">
      <c r="A1290" t="inlineStr">
        <is>
          <t>A 28512-2024</t>
        </is>
      </c>
      <c r="B1290" s="1" t="n">
        <v>45477</v>
      </c>
      <c r="C1290" s="1" t="n">
        <v>45657</v>
      </c>
      <c r="D1290" t="inlineStr">
        <is>
          <t>VÄSTERNORRLANDS LÄN</t>
        </is>
      </c>
      <c r="E1290" t="inlineStr">
        <is>
          <t>HÄRNÖSAND</t>
        </is>
      </c>
      <c r="G1290" t="n">
        <v>5.8</v>
      </c>
      <c r="H1290" t="n">
        <v>0</v>
      </c>
      <c r="I1290" t="n">
        <v>1</v>
      </c>
      <c r="J1290" t="n">
        <v>0</v>
      </c>
      <c r="K1290" t="n">
        <v>0</v>
      </c>
      <c r="L1290" t="n">
        <v>0</v>
      </c>
      <c r="M1290" t="n">
        <v>0</v>
      </c>
      <c r="N1290" t="n">
        <v>0</v>
      </c>
      <c r="O1290" t="n">
        <v>0</v>
      </c>
      <c r="P1290" t="n">
        <v>0</v>
      </c>
      <c r="Q1290" t="n">
        <v>1</v>
      </c>
      <c r="R1290" s="2" t="inlineStr">
        <is>
          <t>Scharlakansvårskål agg.</t>
        </is>
      </c>
      <c r="S1290">
        <f>HYPERLINK("https://klasma.github.io/Logging_2280/artfynd/A 28512-2024 artfynd.xlsx", "A 28512-2024")</f>
        <v/>
      </c>
      <c r="T1290">
        <f>HYPERLINK("https://klasma.github.io/Logging_2280/kartor/A 28512-2024 karta.png", "A 28512-2024")</f>
        <v/>
      </c>
      <c r="V1290">
        <f>HYPERLINK("https://klasma.github.io/Logging_2280/klagomål/A 28512-2024 FSC-klagomål.docx", "A 28512-2024")</f>
        <v/>
      </c>
      <c r="W1290">
        <f>HYPERLINK("https://klasma.github.io/Logging_2280/klagomålsmail/A 28512-2024 FSC-klagomål mail.docx", "A 28512-2024")</f>
        <v/>
      </c>
      <c r="X1290">
        <f>HYPERLINK("https://klasma.github.io/Logging_2280/tillsyn/A 28512-2024 tillsynsbegäran.docx", "A 28512-2024")</f>
        <v/>
      </c>
      <c r="Y1290">
        <f>HYPERLINK("https://klasma.github.io/Logging_2280/tillsynsmail/A 28512-2024 tillsynsbegäran mail.docx", "A 28512-2024")</f>
        <v/>
      </c>
    </row>
    <row r="1291" ht="15" customHeight="1">
      <c r="A1291" t="inlineStr">
        <is>
          <t>A 29260-2024</t>
        </is>
      </c>
      <c r="B1291" s="1" t="n">
        <v>45482</v>
      </c>
      <c r="C1291" s="1" t="n">
        <v>45657</v>
      </c>
      <c r="D1291" t="inlineStr">
        <is>
          <t>VÄSTERNORRLANDS LÄN</t>
        </is>
      </c>
      <c r="E1291" t="inlineStr">
        <is>
          <t>SOLLEFTEÅ</t>
        </is>
      </c>
      <c r="F1291" t="inlineStr">
        <is>
          <t>SCA</t>
        </is>
      </c>
      <c r="G1291" t="n">
        <v>21.2</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29260-2024 artfynd.xlsx", "A 29260-2024")</f>
        <v/>
      </c>
      <c r="T1291">
        <f>HYPERLINK("https://klasma.github.io/Logging_2283/kartor/A 29260-2024 karta.png", "A 29260-2024")</f>
        <v/>
      </c>
      <c r="V1291">
        <f>HYPERLINK("https://klasma.github.io/Logging_2283/klagomål/A 29260-2024 FSC-klagomål.docx", "A 29260-2024")</f>
        <v/>
      </c>
      <c r="W1291">
        <f>HYPERLINK("https://klasma.github.io/Logging_2283/klagomålsmail/A 29260-2024 FSC-klagomål mail.docx", "A 29260-2024")</f>
        <v/>
      </c>
      <c r="X1291">
        <f>HYPERLINK("https://klasma.github.io/Logging_2283/tillsyn/A 29260-2024 tillsynsbegäran.docx", "A 29260-2024")</f>
        <v/>
      </c>
      <c r="Y1291">
        <f>HYPERLINK("https://klasma.github.io/Logging_2283/tillsynsmail/A 29260-2024 tillsynsbegäran mail.docx", "A 29260-2024")</f>
        <v/>
      </c>
    </row>
    <row r="1292" ht="15" customHeight="1">
      <c r="A1292" t="inlineStr">
        <is>
          <t>A 29692-2024</t>
        </is>
      </c>
      <c r="B1292" s="1" t="n">
        <v>45484</v>
      </c>
      <c r="C1292" s="1" t="n">
        <v>45657</v>
      </c>
      <c r="D1292" t="inlineStr">
        <is>
          <t>VÄSTERNORRLANDS LÄN</t>
        </is>
      </c>
      <c r="E1292" t="inlineStr">
        <is>
          <t>SOLLEFTEÅ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HYPERLINK("https://klasma.github.io/Logging_2283/artfynd/A 29692-2024 artfynd.xlsx", "A 29692-2024")</f>
        <v/>
      </c>
      <c r="T1292">
        <f>HYPERLINK("https://klasma.github.io/Logging_2283/kartor/A 29692-2024 karta.png", "A 29692-2024")</f>
        <v/>
      </c>
      <c r="V1292">
        <f>HYPERLINK("https://klasma.github.io/Logging_2283/klagomål/A 29692-2024 FSC-klagomål.docx", "A 29692-2024")</f>
        <v/>
      </c>
      <c r="W1292">
        <f>HYPERLINK("https://klasma.github.io/Logging_2283/klagomålsmail/A 29692-2024 FSC-klagomål mail.docx", "A 29692-2024")</f>
        <v/>
      </c>
      <c r="X1292">
        <f>HYPERLINK("https://klasma.github.io/Logging_2283/tillsyn/A 29692-2024 tillsynsbegäran.docx", "A 29692-2024")</f>
        <v/>
      </c>
      <c r="Y1292">
        <f>HYPERLINK("https://klasma.github.io/Logging_2283/tillsynsmail/A 29692-2024 tillsynsbegäran mail.docx", "A 29692-2024")</f>
        <v/>
      </c>
    </row>
    <row r="1293" ht="15" customHeight="1">
      <c r="A1293" t="inlineStr">
        <is>
          <t>A 29533-2024</t>
        </is>
      </c>
      <c r="B1293" s="1" t="n">
        <v>45484</v>
      </c>
      <c r="C1293" s="1" t="n">
        <v>45657</v>
      </c>
      <c r="D1293" t="inlineStr">
        <is>
          <t>VÄSTERNORRLANDS LÄN</t>
        </is>
      </c>
      <c r="E1293" t="inlineStr">
        <is>
          <t>ÖRNSKÖLDSVIK</t>
        </is>
      </c>
      <c r="G1293" t="n">
        <v>5.2</v>
      </c>
      <c r="H1293" t="n">
        <v>1</v>
      </c>
      <c r="I1293" t="n">
        <v>0</v>
      </c>
      <c r="J1293" t="n">
        <v>1</v>
      </c>
      <c r="K1293" t="n">
        <v>0</v>
      </c>
      <c r="L1293" t="n">
        <v>0</v>
      </c>
      <c r="M1293" t="n">
        <v>0</v>
      </c>
      <c r="N1293" t="n">
        <v>0</v>
      </c>
      <c r="O1293" t="n">
        <v>1</v>
      </c>
      <c r="P1293" t="n">
        <v>0</v>
      </c>
      <c r="Q1293" t="n">
        <v>1</v>
      </c>
      <c r="R1293" s="2" t="inlineStr">
        <is>
          <t>Utter</t>
        </is>
      </c>
      <c r="S1293">
        <f>HYPERLINK("https://klasma.github.io/Logging_2284/artfynd/A 29533-2024 artfynd.xlsx", "A 29533-2024")</f>
        <v/>
      </c>
      <c r="T1293">
        <f>HYPERLINK("https://klasma.github.io/Logging_2284/kartor/A 29533-2024 karta.png", "A 29533-2024")</f>
        <v/>
      </c>
      <c r="V1293">
        <f>HYPERLINK("https://klasma.github.io/Logging_2284/klagomål/A 29533-2024 FSC-klagomål.docx", "A 29533-2024")</f>
        <v/>
      </c>
      <c r="W1293">
        <f>HYPERLINK("https://klasma.github.io/Logging_2284/klagomålsmail/A 29533-2024 FSC-klagomål mail.docx", "A 29533-2024")</f>
        <v/>
      </c>
      <c r="X1293">
        <f>HYPERLINK("https://klasma.github.io/Logging_2284/tillsyn/A 29533-2024 tillsynsbegäran.docx", "A 29533-2024")</f>
        <v/>
      </c>
      <c r="Y1293">
        <f>HYPERLINK("https://klasma.github.io/Logging_2284/tillsynsmail/A 29533-2024 tillsynsbegäran mail.docx", "A 29533-2024")</f>
        <v/>
      </c>
    </row>
    <row r="1294" ht="15" customHeight="1">
      <c r="A1294" t="inlineStr">
        <is>
          <t>A 30482-2024</t>
        </is>
      </c>
      <c r="B1294" s="1" t="n">
        <v>45492</v>
      </c>
      <c r="C1294" s="1" t="n">
        <v>45657</v>
      </c>
      <c r="D1294" t="inlineStr">
        <is>
          <t>VÄSTERNORRLANDS LÄN</t>
        </is>
      </c>
      <c r="E1294" t="inlineStr">
        <is>
          <t>ÅNGE</t>
        </is>
      </c>
      <c r="F1294" t="inlineStr">
        <is>
          <t>SCA</t>
        </is>
      </c>
      <c r="G1294" t="n">
        <v>4.3</v>
      </c>
      <c r="H1294" t="n">
        <v>1</v>
      </c>
      <c r="I1294" t="n">
        <v>1</v>
      </c>
      <c r="J1294" t="n">
        <v>0</v>
      </c>
      <c r="K1294" t="n">
        <v>0</v>
      </c>
      <c r="L1294" t="n">
        <v>0</v>
      </c>
      <c r="M1294" t="n">
        <v>0</v>
      </c>
      <c r="N1294" t="n">
        <v>0</v>
      </c>
      <c r="O1294" t="n">
        <v>0</v>
      </c>
      <c r="P1294" t="n">
        <v>0</v>
      </c>
      <c r="Q1294" t="n">
        <v>1</v>
      </c>
      <c r="R1294" s="2" t="inlineStr">
        <is>
          <t>Plattlummer</t>
        </is>
      </c>
      <c r="S1294">
        <f>HYPERLINK("https://klasma.github.io/Logging_2260/artfynd/A 30482-2024 artfynd.xlsx", "A 30482-2024")</f>
        <v/>
      </c>
      <c r="T1294">
        <f>HYPERLINK("https://klasma.github.io/Logging_2260/kartor/A 30482-2024 karta.png", "A 30482-2024")</f>
        <v/>
      </c>
      <c r="U1294">
        <f>HYPERLINK("https://klasma.github.io/Logging_2260/knärot/A 30482-2024 karta knärot.png", "A 30482-2024")</f>
        <v/>
      </c>
      <c r="V1294">
        <f>HYPERLINK("https://klasma.github.io/Logging_2260/klagomål/A 30482-2024 FSC-klagomål.docx", "A 30482-2024")</f>
        <v/>
      </c>
      <c r="W1294">
        <f>HYPERLINK("https://klasma.github.io/Logging_2260/klagomålsmail/A 30482-2024 FSC-klagomål mail.docx", "A 30482-2024")</f>
        <v/>
      </c>
      <c r="X1294">
        <f>HYPERLINK("https://klasma.github.io/Logging_2260/tillsyn/A 30482-2024 tillsynsbegäran.docx", "A 30482-2024")</f>
        <v/>
      </c>
      <c r="Y1294">
        <f>HYPERLINK("https://klasma.github.io/Logging_2260/tillsynsmail/A 30482-2024 tillsynsbegäran mail.docx", "A 30482-2024")</f>
        <v/>
      </c>
    </row>
    <row r="1295" ht="15" customHeight="1">
      <c r="A1295" t="inlineStr">
        <is>
          <t>A 31544-2024</t>
        </is>
      </c>
      <c r="B1295" s="1" t="n">
        <v>45505</v>
      </c>
      <c r="C1295" s="1" t="n">
        <v>45657</v>
      </c>
      <c r="D1295" t="inlineStr">
        <is>
          <t>VÄSTERNORRLANDS LÄN</t>
        </is>
      </c>
      <c r="E1295" t="inlineStr">
        <is>
          <t>ÅNGE</t>
        </is>
      </c>
      <c r="F1295" t="inlineStr">
        <is>
          <t>SCA</t>
        </is>
      </c>
      <c r="G1295" t="n">
        <v>3.5</v>
      </c>
      <c r="H1295" t="n">
        <v>0</v>
      </c>
      <c r="I1295" t="n">
        <v>0</v>
      </c>
      <c r="J1295" t="n">
        <v>1</v>
      </c>
      <c r="K1295" t="n">
        <v>0</v>
      </c>
      <c r="L1295" t="n">
        <v>0</v>
      </c>
      <c r="M1295" t="n">
        <v>0</v>
      </c>
      <c r="N1295" t="n">
        <v>0</v>
      </c>
      <c r="O1295" t="n">
        <v>1</v>
      </c>
      <c r="P1295" t="n">
        <v>0</v>
      </c>
      <c r="Q1295" t="n">
        <v>1</v>
      </c>
      <c r="R1295" s="2" t="inlineStr">
        <is>
          <t>Granticka</t>
        </is>
      </c>
      <c r="S1295">
        <f>HYPERLINK("https://klasma.github.io/Logging_2260/artfynd/A 31544-2024 artfynd.xlsx", "A 31544-2024")</f>
        <v/>
      </c>
      <c r="T1295">
        <f>HYPERLINK("https://klasma.github.io/Logging_2260/kartor/A 31544-2024 karta.png", "A 31544-2024")</f>
        <v/>
      </c>
      <c r="V1295">
        <f>HYPERLINK("https://klasma.github.io/Logging_2260/klagomål/A 31544-2024 FSC-klagomål.docx", "A 31544-2024")</f>
        <v/>
      </c>
      <c r="W1295">
        <f>HYPERLINK("https://klasma.github.io/Logging_2260/klagomålsmail/A 31544-2024 FSC-klagomål mail.docx", "A 31544-2024")</f>
        <v/>
      </c>
      <c r="X1295">
        <f>HYPERLINK("https://klasma.github.io/Logging_2260/tillsyn/A 31544-2024 tillsynsbegäran.docx", "A 31544-2024")</f>
        <v/>
      </c>
      <c r="Y1295">
        <f>HYPERLINK("https://klasma.github.io/Logging_2260/tillsynsmail/A 31544-2024 tillsynsbegäran mail.docx", "A 31544-2024")</f>
        <v/>
      </c>
    </row>
    <row r="1296" ht="15" customHeight="1">
      <c r="A1296" t="inlineStr">
        <is>
          <t>A 31510-2024</t>
        </is>
      </c>
      <c r="B1296" s="1" t="n">
        <v>45505</v>
      </c>
      <c r="C1296" s="1" t="n">
        <v>45657</v>
      </c>
      <c r="D1296" t="inlineStr">
        <is>
          <t>VÄSTERNORRLANDS LÄN</t>
        </is>
      </c>
      <c r="E1296" t="inlineStr">
        <is>
          <t>ÅNGE</t>
        </is>
      </c>
      <c r="F1296" t="inlineStr">
        <is>
          <t>SCA</t>
        </is>
      </c>
      <c r="G1296" t="n">
        <v>6</v>
      </c>
      <c r="H1296" t="n">
        <v>1</v>
      </c>
      <c r="I1296" t="n">
        <v>0</v>
      </c>
      <c r="J1296" t="n">
        <v>0</v>
      </c>
      <c r="K1296" t="n">
        <v>1</v>
      </c>
      <c r="L1296" t="n">
        <v>0</v>
      </c>
      <c r="M1296" t="n">
        <v>0</v>
      </c>
      <c r="N1296" t="n">
        <v>0</v>
      </c>
      <c r="O1296" t="n">
        <v>1</v>
      </c>
      <c r="P1296" t="n">
        <v>1</v>
      </c>
      <c r="Q1296" t="n">
        <v>1</v>
      </c>
      <c r="R1296" s="2" t="inlineStr">
        <is>
          <t>Doftticka</t>
        </is>
      </c>
      <c r="S1296">
        <f>HYPERLINK("https://klasma.github.io/Logging_2260/artfynd/A 31510-2024 artfynd.xlsx", "A 31510-2024")</f>
        <v/>
      </c>
      <c r="T1296">
        <f>HYPERLINK("https://klasma.github.io/Logging_2260/kartor/A 31510-2024 karta.png", "A 31510-2024")</f>
        <v/>
      </c>
      <c r="V1296">
        <f>HYPERLINK("https://klasma.github.io/Logging_2260/klagomål/A 31510-2024 FSC-klagomål.docx", "A 31510-2024")</f>
        <v/>
      </c>
      <c r="W1296">
        <f>HYPERLINK("https://klasma.github.io/Logging_2260/klagomålsmail/A 31510-2024 FSC-klagomål mail.docx", "A 31510-2024")</f>
        <v/>
      </c>
      <c r="X1296">
        <f>HYPERLINK("https://klasma.github.io/Logging_2260/tillsyn/A 31510-2024 tillsynsbegäran.docx", "A 31510-2024")</f>
        <v/>
      </c>
      <c r="Y1296">
        <f>HYPERLINK("https://klasma.github.io/Logging_2260/tillsynsmail/A 31510-2024 tillsynsbegäran mail.docx", "A 31510-2024")</f>
        <v/>
      </c>
    </row>
    <row r="1297" ht="15" customHeight="1">
      <c r="A1297" t="inlineStr">
        <is>
          <t>A 31678-2024</t>
        </is>
      </c>
      <c r="B1297" s="1" t="n">
        <v>45506</v>
      </c>
      <c r="C1297" s="1" t="n">
        <v>45657</v>
      </c>
      <c r="D1297" t="inlineStr">
        <is>
          <t>VÄSTERNORRLANDS LÄN</t>
        </is>
      </c>
      <c r="E1297" t="inlineStr">
        <is>
          <t>SUNDSVALL</t>
        </is>
      </c>
      <c r="F1297" t="inlineStr">
        <is>
          <t>SCA</t>
        </is>
      </c>
      <c r="G1297" t="n">
        <v>4.5</v>
      </c>
      <c r="H1297" t="n">
        <v>0</v>
      </c>
      <c r="I1297" t="n">
        <v>1</v>
      </c>
      <c r="J1297" t="n">
        <v>0</v>
      </c>
      <c r="K1297" t="n">
        <v>0</v>
      </c>
      <c r="L1297" t="n">
        <v>0</v>
      </c>
      <c r="M1297" t="n">
        <v>0</v>
      </c>
      <c r="N1297" t="n">
        <v>0</v>
      </c>
      <c r="O1297" t="n">
        <v>0</v>
      </c>
      <c r="P1297" t="n">
        <v>0</v>
      </c>
      <c r="Q1297" t="n">
        <v>1</v>
      </c>
      <c r="R1297" s="2" t="inlineStr">
        <is>
          <t>Rävticka</t>
        </is>
      </c>
      <c r="S1297">
        <f>HYPERLINK("https://klasma.github.io/Logging_2281/artfynd/A 31678-2024 artfynd.xlsx", "A 31678-2024")</f>
        <v/>
      </c>
      <c r="T1297">
        <f>HYPERLINK("https://klasma.github.io/Logging_2281/kartor/A 31678-2024 karta.png", "A 31678-2024")</f>
        <v/>
      </c>
      <c r="V1297">
        <f>HYPERLINK("https://klasma.github.io/Logging_2281/klagomål/A 31678-2024 FSC-klagomål.docx", "A 31678-2024")</f>
        <v/>
      </c>
      <c r="W1297">
        <f>HYPERLINK("https://klasma.github.io/Logging_2281/klagomålsmail/A 31678-2024 FSC-klagomål mail.docx", "A 31678-2024")</f>
        <v/>
      </c>
      <c r="X1297">
        <f>HYPERLINK("https://klasma.github.io/Logging_2281/tillsyn/A 31678-2024 tillsynsbegäran.docx", "A 31678-2024")</f>
        <v/>
      </c>
      <c r="Y1297">
        <f>HYPERLINK("https://klasma.github.io/Logging_2281/tillsynsmail/A 31678-2024 tillsynsbegäran mail.docx", "A 31678-2024")</f>
        <v/>
      </c>
    </row>
    <row r="1298" ht="15" customHeight="1">
      <c r="A1298" t="inlineStr">
        <is>
          <t>A 31775-2024</t>
        </is>
      </c>
      <c r="B1298" s="1" t="n">
        <v>45509</v>
      </c>
      <c r="C1298" s="1" t="n">
        <v>45657</v>
      </c>
      <c r="D1298" t="inlineStr">
        <is>
          <t>VÄSTERNORRLANDS LÄN</t>
        </is>
      </c>
      <c r="E1298" t="inlineStr">
        <is>
          <t>ÖRNSKÖLDSVIK</t>
        </is>
      </c>
      <c r="F1298" t="inlineStr">
        <is>
          <t>Holmen skog AB</t>
        </is>
      </c>
      <c r="G1298" t="n">
        <v>2.7</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31775-2024 artfynd.xlsx", "A 31775-2024")</f>
        <v/>
      </c>
      <c r="T1298">
        <f>HYPERLINK("https://klasma.github.io/Logging_2284/kartor/A 31775-2024 karta.png", "A 31775-2024")</f>
        <v/>
      </c>
      <c r="V1298">
        <f>HYPERLINK("https://klasma.github.io/Logging_2284/klagomål/A 31775-2024 FSC-klagomål.docx", "A 31775-2024")</f>
        <v/>
      </c>
      <c r="W1298">
        <f>HYPERLINK("https://klasma.github.io/Logging_2284/klagomålsmail/A 31775-2024 FSC-klagomål mail.docx", "A 31775-2024")</f>
        <v/>
      </c>
      <c r="X1298">
        <f>HYPERLINK("https://klasma.github.io/Logging_2284/tillsyn/A 31775-2024 tillsynsbegäran.docx", "A 31775-2024")</f>
        <v/>
      </c>
      <c r="Y1298">
        <f>HYPERLINK("https://klasma.github.io/Logging_2284/tillsynsmail/A 31775-2024 tillsynsbegäran mail.docx", "A 31775-2024")</f>
        <v/>
      </c>
    </row>
    <row r="1299" ht="15" customHeight="1">
      <c r="A1299" t="inlineStr">
        <is>
          <t>A 31882-2024</t>
        </is>
      </c>
      <c r="B1299" s="1" t="n">
        <v>45510</v>
      </c>
      <c r="C1299" s="1" t="n">
        <v>45657</v>
      </c>
      <c r="D1299" t="inlineStr">
        <is>
          <t>VÄSTERNORRLANDS LÄN</t>
        </is>
      </c>
      <c r="E1299" t="inlineStr">
        <is>
          <t>ÖRNSKÖLDSVIK</t>
        </is>
      </c>
      <c r="F1299" t="inlineStr">
        <is>
          <t>SCA</t>
        </is>
      </c>
      <c r="G1299" t="n">
        <v>9.1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31882-2024 artfynd.xlsx", "A 31882-2024")</f>
        <v/>
      </c>
      <c r="T1299">
        <f>HYPERLINK("https://klasma.github.io/Logging_2284/kartor/A 31882-2024 karta.png", "A 31882-2024")</f>
        <v/>
      </c>
      <c r="V1299">
        <f>HYPERLINK("https://klasma.github.io/Logging_2284/klagomål/A 31882-2024 FSC-klagomål.docx", "A 31882-2024")</f>
        <v/>
      </c>
      <c r="W1299">
        <f>HYPERLINK("https://klasma.github.io/Logging_2284/klagomålsmail/A 31882-2024 FSC-klagomål mail.docx", "A 31882-2024")</f>
        <v/>
      </c>
      <c r="X1299">
        <f>HYPERLINK("https://klasma.github.io/Logging_2284/tillsyn/A 31882-2024 tillsynsbegäran.docx", "A 31882-2024")</f>
        <v/>
      </c>
      <c r="Y1299">
        <f>HYPERLINK("https://klasma.github.io/Logging_2284/tillsynsmail/A 31882-2024 tillsynsbegäran mail.docx", "A 31882-2024")</f>
        <v/>
      </c>
      <c r="Z1299">
        <f>HYPERLINK("https://klasma.github.io/Logging_2284/fåglar/A 31882-2024 prioriterade fågelarter.docx", "A 31882-2024")</f>
        <v/>
      </c>
    </row>
    <row r="1300" ht="15" customHeight="1">
      <c r="A1300" t="inlineStr">
        <is>
          <t>A 31878-2024</t>
        </is>
      </c>
      <c r="B1300" s="1" t="n">
        <v>45509</v>
      </c>
      <c r="C1300" s="1" t="n">
        <v>45657</v>
      </c>
      <c r="D1300" t="inlineStr">
        <is>
          <t>VÄSTERNORRLANDS LÄN</t>
        </is>
      </c>
      <c r="E1300" t="inlineStr">
        <is>
          <t>ÅNGE</t>
        </is>
      </c>
      <c r="F1300" t="inlineStr">
        <is>
          <t>SCA</t>
        </is>
      </c>
      <c r="G1300" t="n">
        <v>5.1</v>
      </c>
      <c r="H1300" t="n">
        <v>0</v>
      </c>
      <c r="I1300" t="n">
        <v>1</v>
      </c>
      <c r="J1300" t="n">
        <v>0</v>
      </c>
      <c r="K1300" t="n">
        <v>0</v>
      </c>
      <c r="L1300" t="n">
        <v>0</v>
      </c>
      <c r="M1300" t="n">
        <v>0</v>
      </c>
      <c r="N1300" t="n">
        <v>0</v>
      </c>
      <c r="O1300" t="n">
        <v>0</v>
      </c>
      <c r="P1300" t="n">
        <v>0</v>
      </c>
      <c r="Q1300" t="n">
        <v>1</v>
      </c>
      <c r="R1300" s="2" t="inlineStr">
        <is>
          <t>Grönpyrola</t>
        </is>
      </c>
      <c r="S1300">
        <f>HYPERLINK("https://klasma.github.io/Logging_2260/artfynd/A 31878-2024 artfynd.xlsx", "A 31878-2024")</f>
        <v/>
      </c>
      <c r="T1300">
        <f>HYPERLINK("https://klasma.github.io/Logging_2260/kartor/A 31878-2024 karta.png", "A 31878-2024")</f>
        <v/>
      </c>
      <c r="V1300">
        <f>HYPERLINK("https://klasma.github.io/Logging_2260/klagomål/A 31878-2024 FSC-klagomål.docx", "A 31878-2024")</f>
        <v/>
      </c>
      <c r="W1300">
        <f>HYPERLINK("https://klasma.github.io/Logging_2260/klagomålsmail/A 31878-2024 FSC-klagomål mail.docx", "A 31878-2024")</f>
        <v/>
      </c>
      <c r="X1300">
        <f>HYPERLINK("https://klasma.github.io/Logging_2260/tillsyn/A 31878-2024 tillsynsbegäran.docx", "A 31878-2024")</f>
        <v/>
      </c>
      <c r="Y1300">
        <f>HYPERLINK("https://klasma.github.io/Logging_2260/tillsynsmail/A 31878-2024 tillsynsbegäran mail.docx", "A 31878-2024")</f>
        <v/>
      </c>
    </row>
    <row r="1301" ht="15" customHeight="1">
      <c r="A1301" t="inlineStr">
        <is>
          <t>A 31877-2024</t>
        </is>
      </c>
      <c r="B1301" s="1" t="n">
        <v>45509</v>
      </c>
      <c r="C1301" s="1" t="n">
        <v>45657</v>
      </c>
      <c r="D1301" t="inlineStr">
        <is>
          <t>VÄSTERNORRLANDS LÄN</t>
        </is>
      </c>
      <c r="E1301" t="inlineStr">
        <is>
          <t>ÅNGE</t>
        </is>
      </c>
      <c r="F1301" t="inlineStr">
        <is>
          <t>SCA</t>
        </is>
      </c>
      <c r="G1301" t="n">
        <v>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31877-2024 artfynd.xlsx", "A 31877-2024")</f>
        <v/>
      </c>
      <c r="T1301">
        <f>HYPERLINK("https://klasma.github.io/Logging_2260/kartor/A 31877-2024 karta.png", "A 31877-2024")</f>
        <v/>
      </c>
      <c r="U1301">
        <f>HYPERLINK("https://klasma.github.io/Logging_2260/knärot/A 31877-2024 karta knärot.png", "A 31877-2024")</f>
        <v/>
      </c>
      <c r="V1301">
        <f>HYPERLINK("https://klasma.github.io/Logging_2260/klagomål/A 31877-2024 FSC-klagomål.docx", "A 31877-2024")</f>
        <v/>
      </c>
      <c r="W1301">
        <f>HYPERLINK("https://klasma.github.io/Logging_2260/klagomålsmail/A 31877-2024 FSC-klagomål mail.docx", "A 31877-2024")</f>
        <v/>
      </c>
      <c r="X1301">
        <f>HYPERLINK("https://klasma.github.io/Logging_2260/tillsyn/A 31877-2024 tillsynsbegäran.docx", "A 31877-2024")</f>
        <v/>
      </c>
      <c r="Y1301">
        <f>HYPERLINK("https://klasma.github.io/Logging_2260/tillsynsmail/A 31877-2024 tillsynsbegäran mail.docx", "A 31877-2024")</f>
        <v/>
      </c>
    </row>
    <row r="1302" ht="15" customHeight="1">
      <c r="A1302" t="inlineStr">
        <is>
          <t>A 32052-2024</t>
        </is>
      </c>
      <c r="B1302" s="1" t="n">
        <v>45511</v>
      </c>
      <c r="C1302" s="1" t="n">
        <v>45657</v>
      </c>
      <c r="D1302" t="inlineStr">
        <is>
          <t>VÄSTERNORRLANDS LÄN</t>
        </is>
      </c>
      <c r="E1302" t="inlineStr">
        <is>
          <t>SOLLEFTEÅ</t>
        </is>
      </c>
      <c r="F1302" t="inlineStr">
        <is>
          <t>SCA</t>
        </is>
      </c>
      <c r="G1302" t="n">
        <v>8</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32052-2024 artfynd.xlsx", "A 32052-2024")</f>
        <v/>
      </c>
      <c r="T1302">
        <f>HYPERLINK("https://klasma.github.io/Logging_2283/kartor/A 32052-2024 karta.png", "A 32052-2024")</f>
        <v/>
      </c>
      <c r="V1302">
        <f>HYPERLINK("https://klasma.github.io/Logging_2283/klagomål/A 32052-2024 FSC-klagomål.docx", "A 32052-2024")</f>
        <v/>
      </c>
      <c r="W1302">
        <f>HYPERLINK("https://klasma.github.io/Logging_2283/klagomålsmail/A 32052-2024 FSC-klagomål mail.docx", "A 32052-2024")</f>
        <v/>
      </c>
      <c r="X1302">
        <f>HYPERLINK("https://klasma.github.io/Logging_2283/tillsyn/A 32052-2024 tillsynsbegäran.docx", "A 32052-2024")</f>
        <v/>
      </c>
      <c r="Y1302">
        <f>HYPERLINK("https://klasma.github.io/Logging_2283/tillsynsmail/A 32052-2024 tillsynsbegäran mail.docx", "A 32052-2024")</f>
        <v/>
      </c>
    </row>
    <row r="1303" ht="15" customHeight="1">
      <c r="A1303" t="inlineStr">
        <is>
          <t>A 32317-2024</t>
        </is>
      </c>
      <c r="B1303" s="1" t="n">
        <v>45512</v>
      </c>
      <c r="C1303" s="1" t="n">
        <v>45657</v>
      </c>
      <c r="D1303" t="inlineStr">
        <is>
          <t>VÄSTERNORRLANDS LÄN</t>
        </is>
      </c>
      <c r="E1303" t="inlineStr">
        <is>
          <t>ÖRNSKÖLDSVIK</t>
        </is>
      </c>
      <c r="F1303" t="inlineStr">
        <is>
          <t>Holmen skog AB</t>
        </is>
      </c>
      <c r="G1303" t="n">
        <v>5.6</v>
      </c>
      <c r="H1303" t="n">
        <v>0</v>
      </c>
      <c r="I1303" t="n">
        <v>0</v>
      </c>
      <c r="J1303" t="n">
        <v>1</v>
      </c>
      <c r="K1303" t="n">
        <v>0</v>
      </c>
      <c r="L1303" t="n">
        <v>0</v>
      </c>
      <c r="M1303" t="n">
        <v>0</v>
      </c>
      <c r="N1303" t="n">
        <v>0</v>
      </c>
      <c r="O1303" t="n">
        <v>1</v>
      </c>
      <c r="P1303" t="n">
        <v>0</v>
      </c>
      <c r="Q1303" t="n">
        <v>1</v>
      </c>
      <c r="R1303" s="2" t="inlineStr">
        <is>
          <t>Tallticka</t>
        </is>
      </c>
      <c r="S1303">
        <f>HYPERLINK("https://klasma.github.io/Logging_2284/artfynd/A 32317-2024 artfynd.xlsx", "A 32317-2024")</f>
        <v/>
      </c>
      <c r="T1303">
        <f>HYPERLINK("https://klasma.github.io/Logging_2284/kartor/A 32317-2024 karta.png", "A 32317-2024")</f>
        <v/>
      </c>
      <c r="V1303">
        <f>HYPERLINK("https://klasma.github.io/Logging_2284/klagomål/A 32317-2024 FSC-klagomål.docx", "A 32317-2024")</f>
        <v/>
      </c>
      <c r="W1303">
        <f>HYPERLINK("https://klasma.github.io/Logging_2284/klagomålsmail/A 32317-2024 FSC-klagomål mail.docx", "A 32317-2024")</f>
        <v/>
      </c>
      <c r="X1303">
        <f>HYPERLINK("https://klasma.github.io/Logging_2284/tillsyn/A 32317-2024 tillsynsbegäran.docx", "A 32317-2024")</f>
        <v/>
      </c>
      <c r="Y1303">
        <f>HYPERLINK("https://klasma.github.io/Logging_2284/tillsynsmail/A 32317-2024 tillsynsbegäran mail.docx", "A 32317-2024")</f>
        <v/>
      </c>
    </row>
    <row r="1304" ht="15" customHeight="1">
      <c r="A1304" t="inlineStr">
        <is>
          <t>A 32457-2024</t>
        </is>
      </c>
      <c r="B1304" s="1" t="n">
        <v>45512</v>
      </c>
      <c r="C1304" s="1" t="n">
        <v>45657</v>
      </c>
      <c r="D1304" t="inlineStr">
        <is>
          <t>VÄSTERNORRLANDS LÄN</t>
        </is>
      </c>
      <c r="E1304" t="inlineStr">
        <is>
          <t>ÅNGE</t>
        </is>
      </c>
      <c r="F1304" t="inlineStr">
        <is>
          <t>SCA</t>
        </is>
      </c>
      <c r="G1304" t="n">
        <v>1.3</v>
      </c>
      <c r="H1304" t="n">
        <v>0</v>
      </c>
      <c r="I1304" t="n">
        <v>0</v>
      </c>
      <c r="J1304" t="n">
        <v>1</v>
      </c>
      <c r="K1304" t="n">
        <v>0</v>
      </c>
      <c r="L1304" t="n">
        <v>0</v>
      </c>
      <c r="M1304" t="n">
        <v>0</v>
      </c>
      <c r="N1304" t="n">
        <v>0</v>
      </c>
      <c r="O1304" t="n">
        <v>1</v>
      </c>
      <c r="P1304" t="n">
        <v>0</v>
      </c>
      <c r="Q1304" t="n">
        <v>1</v>
      </c>
      <c r="R1304" s="2" t="inlineStr">
        <is>
          <t>Ullticka</t>
        </is>
      </c>
      <c r="S1304">
        <f>HYPERLINK("https://klasma.github.io/Logging_2260/artfynd/A 32457-2024 artfynd.xlsx", "A 32457-2024")</f>
        <v/>
      </c>
      <c r="T1304">
        <f>HYPERLINK("https://klasma.github.io/Logging_2260/kartor/A 32457-2024 karta.png", "A 32457-2024")</f>
        <v/>
      </c>
      <c r="V1304">
        <f>HYPERLINK("https://klasma.github.io/Logging_2260/klagomål/A 32457-2024 FSC-klagomål.docx", "A 32457-2024")</f>
        <v/>
      </c>
      <c r="W1304">
        <f>HYPERLINK("https://klasma.github.io/Logging_2260/klagomålsmail/A 32457-2024 FSC-klagomål mail.docx", "A 32457-2024")</f>
        <v/>
      </c>
      <c r="X1304">
        <f>HYPERLINK("https://klasma.github.io/Logging_2260/tillsyn/A 32457-2024 tillsynsbegäran.docx", "A 32457-2024")</f>
        <v/>
      </c>
      <c r="Y1304">
        <f>HYPERLINK("https://klasma.github.io/Logging_2260/tillsynsmail/A 32457-2024 tillsynsbegäran mail.docx", "A 32457-2024")</f>
        <v/>
      </c>
    </row>
    <row r="1305" ht="15" customHeight="1">
      <c r="A1305" t="inlineStr">
        <is>
          <t>A 33309-2024</t>
        </is>
      </c>
      <c r="B1305" s="1" t="n">
        <v>45518</v>
      </c>
      <c r="C1305" s="1" t="n">
        <v>45657</v>
      </c>
      <c r="D1305" t="inlineStr">
        <is>
          <t>VÄSTERNORRLANDS LÄN</t>
        </is>
      </c>
      <c r="E1305" t="inlineStr">
        <is>
          <t>ÅNGE</t>
        </is>
      </c>
      <c r="F1305" t="inlineStr">
        <is>
          <t>SCA</t>
        </is>
      </c>
      <c r="G1305" t="n">
        <v>12.8</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33309-2024 artfynd.xlsx", "A 33309-2024")</f>
        <v/>
      </c>
      <c r="T1305">
        <f>HYPERLINK("https://klasma.github.io/Logging_2260/kartor/A 33309-2024 karta.png", "A 33309-2024")</f>
        <v/>
      </c>
      <c r="U1305">
        <f>HYPERLINK("https://klasma.github.io/Logging_2260/knärot/A 33309-2024 karta knärot.png", "A 33309-2024")</f>
        <v/>
      </c>
      <c r="V1305">
        <f>HYPERLINK("https://klasma.github.io/Logging_2260/klagomål/A 33309-2024 FSC-klagomål.docx", "A 33309-2024")</f>
        <v/>
      </c>
      <c r="W1305">
        <f>HYPERLINK("https://klasma.github.io/Logging_2260/klagomålsmail/A 33309-2024 FSC-klagomål mail.docx", "A 33309-2024")</f>
        <v/>
      </c>
      <c r="X1305">
        <f>HYPERLINK("https://klasma.github.io/Logging_2260/tillsyn/A 33309-2024 tillsynsbegäran.docx", "A 33309-2024")</f>
        <v/>
      </c>
      <c r="Y1305">
        <f>HYPERLINK("https://klasma.github.io/Logging_2260/tillsynsmail/A 33309-2024 tillsynsbegäran mail.docx", "A 33309-2024")</f>
        <v/>
      </c>
    </row>
    <row r="1306" ht="15" customHeight="1">
      <c r="A1306" t="inlineStr">
        <is>
          <t>A 34022-2024</t>
        </is>
      </c>
      <c r="B1306" s="1" t="n">
        <v>45523</v>
      </c>
      <c r="C1306" s="1" t="n">
        <v>45657</v>
      </c>
      <c r="D1306" t="inlineStr">
        <is>
          <t>VÄSTERNORRLANDS LÄN</t>
        </is>
      </c>
      <c r="E1306" t="inlineStr">
        <is>
          <t>ÖRNSKÖLDSVIK</t>
        </is>
      </c>
      <c r="F1306" t="inlineStr">
        <is>
          <t>Holmen skog AB</t>
        </is>
      </c>
      <c r="G1306" t="n">
        <v>6.2</v>
      </c>
      <c r="H1306" t="n">
        <v>1</v>
      </c>
      <c r="I1306" t="n">
        <v>0</v>
      </c>
      <c r="J1306" t="n">
        <v>0</v>
      </c>
      <c r="K1306" t="n">
        <v>0</v>
      </c>
      <c r="L1306" t="n">
        <v>0</v>
      </c>
      <c r="M1306" t="n">
        <v>0</v>
      </c>
      <c r="N1306" t="n">
        <v>0</v>
      </c>
      <c r="O1306" t="n">
        <v>0</v>
      </c>
      <c r="P1306" t="n">
        <v>0</v>
      </c>
      <c r="Q1306" t="n">
        <v>1</v>
      </c>
      <c r="R1306" s="2" t="inlineStr">
        <is>
          <t>Revlummer</t>
        </is>
      </c>
      <c r="S1306">
        <f>HYPERLINK("https://klasma.github.io/Logging_2284/artfynd/A 34022-2024 artfynd.xlsx", "A 34022-2024")</f>
        <v/>
      </c>
      <c r="T1306">
        <f>HYPERLINK("https://klasma.github.io/Logging_2284/kartor/A 34022-2024 karta.png", "A 34022-2024")</f>
        <v/>
      </c>
      <c r="V1306">
        <f>HYPERLINK("https://klasma.github.io/Logging_2284/klagomål/A 34022-2024 FSC-klagomål.docx", "A 34022-2024")</f>
        <v/>
      </c>
      <c r="W1306">
        <f>HYPERLINK("https://klasma.github.io/Logging_2284/klagomålsmail/A 34022-2024 FSC-klagomål mail.docx", "A 34022-2024")</f>
        <v/>
      </c>
      <c r="X1306">
        <f>HYPERLINK("https://klasma.github.io/Logging_2284/tillsyn/A 34022-2024 tillsynsbegäran.docx", "A 34022-2024")</f>
        <v/>
      </c>
      <c r="Y1306">
        <f>HYPERLINK("https://klasma.github.io/Logging_2284/tillsynsmail/A 34022-2024 tillsynsbegäran mail.docx", "A 34022-2024")</f>
        <v/>
      </c>
    </row>
    <row r="1307" ht="15" customHeight="1">
      <c r="A1307" t="inlineStr">
        <is>
          <t>A 34696-2024</t>
        </is>
      </c>
      <c r="B1307" s="1" t="n">
        <v>45526</v>
      </c>
      <c r="C1307" s="1" t="n">
        <v>45657</v>
      </c>
      <c r="D1307" t="inlineStr">
        <is>
          <t>VÄSTERNORRLANDS LÄN</t>
        </is>
      </c>
      <c r="E1307" t="inlineStr">
        <is>
          <t>ÅNGE</t>
        </is>
      </c>
      <c r="G1307" t="n">
        <v>3.6</v>
      </c>
      <c r="H1307" t="n">
        <v>1</v>
      </c>
      <c r="I1307" t="n">
        <v>0</v>
      </c>
      <c r="J1307" t="n">
        <v>0</v>
      </c>
      <c r="K1307" t="n">
        <v>0</v>
      </c>
      <c r="L1307" t="n">
        <v>0</v>
      </c>
      <c r="M1307" t="n">
        <v>0</v>
      </c>
      <c r="N1307" t="n">
        <v>0</v>
      </c>
      <c r="O1307" t="n">
        <v>0</v>
      </c>
      <c r="P1307" t="n">
        <v>0</v>
      </c>
      <c r="Q1307" t="n">
        <v>1</v>
      </c>
      <c r="R1307" s="2" t="inlineStr">
        <is>
          <t>Revlummer</t>
        </is>
      </c>
      <c r="S1307">
        <f>HYPERLINK("https://klasma.github.io/Logging_2260/artfynd/A 34696-2024 artfynd.xlsx", "A 34696-2024")</f>
        <v/>
      </c>
      <c r="T1307">
        <f>HYPERLINK("https://klasma.github.io/Logging_2260/kartor/A 34696-2024 karta.png", "A 34696-2024")</f>
        <v/>
      </c>
      <c r="V1307">
        <f>HYPERLINK("https://klasma.github.io/Logging_2260/klagomål/A 34696-2024 FSC-klagomål.docx", "A 34696-2024")</f>
        <v/>
      </c>
      <c r="W1307">
        <f>HYPERLINK("https://klasma.github.io/Logging_2260/klagomålsmail/A 34696-2024 FSC-klagomål mail.docx", "A 34696-2024")</f>
        <v/>
      </c>
      <c r="X1307">
        <f>HYPERLINK("https://klasma.github.io/Logging_2260/tillsyn/A 34696-2024 tillsynsbegäran.docx", "A 34696-2024")</f>
        <v/>
      </c>
      <c r="Y1307">
        <f>HYPERLINK("https://klasma.github.io/Logging_2260/tillsynsmail/A 34696-2024 tillsynsbegäran mail.docx", "A 34696-2024")</f>
        <v/>
      </c>
    </row>
    <row r="1308" ht="15" customHeight="1">
      <c r="A1308" t="inlineStr">
        <is>
          <t>A 35594-2024</t>
        </is>
      </c>
      <c r="B1308" s="1" t="n">
        <v>45531</v>
      </c>
      <c r="C1308" s="1" t="n">
        <v>45657</v>
      </c>
      <c r="D1308" t="inlineStr">
        <is>
          <t>VÄSTERNORRLANDS LÄN</t>
        </is>
      </c>
      <c r="E1308" t="inlineStr">
        <is>
          <t>ÅNGE</t>
        </is>
      </c>
      <c r="F1308" t="inlineStr">
        <is>
          <t>SCA</t>
        </is>
      </c>
      <c r="G1308" t="n">
        <v>8.4</v>
      </c>
      <c r="H1308" t="n">
        <v>1</v>
      </c>
      <c r="I1308" t="n">
        <v>0</v>
      </c>
      <c r="J1308" t="n">
        <v>0</v>
      </c>
      <c r="K1308" t="n">
        <v>1</v>
      </c>
      <c r="L1308" t="n">
        <v>0</v>
      </c>
      <c r="M1308" t="n">
        <v>0</v>
      </c>
      <c r="N1308" t="n">
        <v>0</v>
      </c>
      <c r="O1308" t="n">
        <v>1</v>
      </c>
      <c r="P1308" t="n">
        <v>1</v>
      </c>
      <c r="Q1308" t="n">
        <v>1</v>
      </c>
      <c r="R1308" s="2" t="inlineStr">
        <is>
          <t>Knärot</t>
        </is>
      </c>
      <c r="S1308">
        <f>HYPERLINK("https://klasma.github.io/Logging_2260/artfynd/A 35594-2024 artfynd.xlsx", "A 35594-2024")</f>
        <v/>
      </c>
      <c r="T1308">
        <f>HYPERLINK("https://klasma.github.io/Logging_2260/kartor/A 35594-2024 karta.png", "A 35594-2024")</f>
        <v/>
      </c>
      <c r="U1308">
        <f>HYPERLINK("https://klasma.github.io/Logging_2260/knärot/A 35594-2024 karta knärot.png", "A 35594-2024")</f>
        <v/>
      </c>
      <c r="V1308">
        <f>HYPERLINK("https://klasma.github.io/Logging_2260/klagomål/A 35594-2024 FSC-klagomål.docx", "A 35594-2024")</f>
        <v/>
      </c>
      <c r="W1308">
        <f>HYPERLINK("https://klasma.github.io/Logging_2260/klagomålsmail/A 35594-2024 FSC-klagomål mail.docx", "A 35594-2024")</f>
        <v/>
      </c>
      <c r="X1308">
        <f>HYPERLINK("https://klasma.github.io/Logging_2260/tillsyn/A 35594-2024 tillsynsbegäran.docx", "A 35594-2024")</f>
        <v/>
      </c>
      <c r="Y1308">
        <f>HYPERLINK("https://klasma.github.io/Logging_2260/tillsynsmail/A 35594-2024 tillsynsbegäran mail.docx", "A 35594-2024")</f>
        <v/>
      </c>
    </row>
    <row r="1309" ht="15" customHeight="1">
      <c r="A1309" t="inlineStr">
        <is>
          <t>A 35876-2024</t>
        </is>
      </c>
      <c r="B1309" s="1" t="n">
        <v>45533</v>
      </c>
      <c r="C1309" s="1" t="n">
        <v>45657</v>
      </c>
      <c r="D1309" t="inlineStr">
        <is>
          <t>VÄSTERNORRLANDS LÄN</t>
        </is>
      </c>
      <c r="E1309" t="inlineStr">
        <is>
          <t>SOLLEFTEÅ</t>
        </is>
      </c>
      <c r="F1309" t="inlineStr">
        <is>
          <t>SCA</t>
        </is>
      </c>
      <c r="G1309" t="n">
        <v>5.8</v>
      </c>
      <c r="H1309" t="n">
        <v>1</v>
      </c>
      <c r="I1309" t="n">
        <v>0</v>
      </c>
      <c r="J1309" t="n">
        <v>0</v>
      </c>
      <c r="K1309" t="n">
        <v>0</v>
      </c>
      <c r="L1309" t="n">
        <v>0</v>
      </c>
      <c r="M1309" t="n">
        <v>0</v>
      </c>
      <c r="N1309" t="n">
        <v>0</v>
      </c>
      <c r="O1309" t="n">
        <v>0</v>
      </c>
      <c r="P1309" t="n">
        <v>0</v>
      </c>
      <c r="Q1309" t="n">
        <v>1</v>
      </c>
      <c r="R1309" s="2" t="inlineStr">
        <is>
          <t>Tjäder</t>
        </is>
      </c>
      <c r="S1309">
        <f>HYPERLINK("https://klasma.github.io/Logging_2283/artfynd/A 35876-2024 artfynd.xlsx", "A 35876-2024")</f>
        <v/>
      </c>
      <c r="T1309">
        <f>HYPERLINK("https://klasma.github.io/Logging_2283/kartor/A 35876-2024 karta.png", "A 35876-2024")</f>
        <v/>
      </c>
      <c r="V1309">
        <f>HYPERLINK("https://klasma.github.io/Logging_2283/klagomål/A 35876-2024 FSC-klagomål.docx", "A 35876-2024")</f>
        <v/>
      </c>
      <c r="W1309">
        <f>HYPERLINK("https://klasma.github.io/Logging_2283/klagomålsmail/A 35876-2024 FSC-klagomål mail.docx", "A 35876-2024")</f>
        <v/>
      </c>
      <c r="X1309">
        <f>HYPERLINK("https://klasma.github.io/Logging_2283/tillsyn/A 35876-2024 tillsynsbegäran.docx", "A 35876-2024")</f>
        <v/>
      </c>
      <c r="Y1309">
        <f>HYPERLINK("https://klasma.github.io/Logging_2283/tillsynsmail/A 35876-2024 tillsynsbegäran mail.docx", "A 35876-2024")</f>
        <v/>
      </c>
      <c r="Z1309">
        <f>HYPERLINK("https://klasma.github.io/Logging_2283/fåglar/A 35876-2024 prioriterade fågelarter.docx", "A 35876-2024")</f>
        <v/>
      </c>
    </row>
    <row r="1310" ht="15" customHeight="1">
      <c r="A1310" t="inlineStr">
        <is>
          <t>A 36116-2024</t>
        </is>
      </c>
      <c r="B1310" s="1" t="n">
        <v>45534</v>
      </c>
      <c r="C1310" s="1" t="n">
        <v>45657</v>
      </c>
      <c r="D1310" t="inlineStr">
        <is>
          <t>VÄSTERNORRLANDS LÄN</t>
        </is>
      </c>
      <c r="E1310" t="inlineStr">
        <is>
          <t>ÅNGE</t>
        </is>
      </c>
      <c r="F1310" t="inlineStr">
        <is>
          <t>Sveaskog</t>
        </is>
      </c>
      <c r="G1310" t="n">
        <v>5.2</v>
      </c>
      <c r="H1310" t="n">
        <v>0</v>
      </c>
      <c r="I1310" t="n">
        <v>1</v>
      </c>
      <c r="J1310" t="n">
        <v>0</v>
      </c>
      <c r="K1310" t="n">
        <v>0</v>
      </c>
      <c r="L1310" t="n">
        <v>0</v>
      </c>
      <c r="M1310" t="n">
        <v>0</v>
      </c>
      <c r="N1310" t="n">
        <v>0</v>
      </c>
      <c r="O1310" t="n">
        <v>0</v>
      </c>
      <c r="P1310" t="n">
        <v>0</v>
      </c>
      <c r="Q1310" t="n">
        <v>1</v>
      </c>
      <c r="R1310" s="2" t="inlineStr">
        <is>
          <t>Dropptaggsvamp</t>
        </is>
      </c>
      <c r="S1310">
        <f>HYPERLINK("https://klasma.github.io/Logging_2260/artfynd/A 36116-2024 artfynd.xlsx", "A 36116-2024")</f>
        <v/>
      </c>
      <c r="T1310">
        <f>HYPERLINK("https://klasma.github.io/Logging_2260/kartor/A 36116-2024 karta.png", "A 36116-2024")</f>
        <v/>
      </c>
      <c r="V1310">
        <f>HYPERLINK("https://klasma.github.io/Logging_2260/klagomål/A 36116-2024 FSC-klagomål.docx", "A 36116-2024")</f>
        <v/>
      </c>
      <c r="W1310">
        <f>HYPERLINK("https://klasma.github.io/Logging_2260/klagomålsmail/A 36116-2024 FSC-klagomål mail.docx", "A 36116-2024")</f>
        <v/>
      </c>
      <c r="X1310">
        <f>HYPERLINK("https://klasma.github.io/Logging_2260/tillsyn/A 36116-2024 tillsynsbegäran.docx", "A 36116-2024")</f>
        <v/>
      </c>
      <c r="Y1310">
        <f>HYPERLINK("https://klasma.github.io/Logging_2260/tillsynsmail/A 36116-2024 tillsynsbegäran mail.docx", "A 36116-2024")</f>
        <v/>
      </c>
    </row>
    <row r="1311" ht="15" customHeight="1">
      <c r="A1311" t="inlineStr">
        <is>
          <t>A 37206-2024</t>
        </is>
      </c>
      <c r="B1311" s="1" t="n">
        <v>45539</v>
      </c>
      <c r="C1311" s="1" t="n">
        <v>45657</v>
      </c>
      <c r="D1311" t="inlineStr">
        <is>
          <t>VÄSTERNORRLANDS LÄN</t>
        </is>
      </c>
      <c r="E1311" t="inlineStr">
        <is>
          <t>SOLLEFTEÅ</t>
        </is>
      </c>
      <c r="F1311" t="inlineStr">
        <is>
          <t>SCA</t>
        </is>
      </c>
      <c r="G1311" t="n">
        <v>3.6</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HYPERLINK("https://klasma.github.io/Logging_2283/artfynd/A 37206-2024 artfynd.xlsx", "A 37206-2024")</f>
        <v/>
      </c>
      <c r="T1311">
        <f>HYPERLINK("https://klasma.github.io/Logging_2283/kartor/A 37206-2024 karta.png", "A 37206-2024")</f>
        <v/>
      </c>
      <c r="V1311">
        <f>HYPERLINK("https://klasma.github.io/Logging_2283/klagomål/A 37206-2024 FSC-klagomål.docx", "A 37206-2024")</f>
        <v/>
      </c>
      <c r="W1311">
        <f>HYPERLINK("https://klasma.github.io/Logging_2283/klagomålsmail/A 37206-2024 FSC-klagomål mail.docx", "A 37206-2024")</f>
        <v/>
      </c>
      <c r="X1311">
        <f>HYPERLINK("https://klasma.github.io/Logging_2283/tillsyn/A 37206-2024 tillsynsbegäran.docx", "A 37206-2024")</f>
        <v/>
      </c>
      <c r="Y1311">
        <f>HYPERLINK("https://klasma.github.io/Logging_2283/tillsynsmail/A 37206-2024 tillsynsbegäran mail.docx", "A 37206-2024")</f>
        <v/>
      </c>
      <c r="Z1311">
        <f>HYPERLINK("https://klasma.github.io/Logging_2283/fåglar/A 37206-2024 prioriterade fågelarter.docx", "A 37206-2024")</f>
        <v/>
      </c>
    </row>
    <row r="1312" ht="15" customHeight="1">
      <c r="A1312" t="inlineStr">
        <is>
          <t>A 37423-2024</t>
        </is>
      </c>
      <c r="B1312" s="1" t="n">
        <v>45540</v>
      </c>
      <c r="C1312" s="1" t="n">
        <v>45657</v>
      </c>
      <c r="D1312" t="inlineStr">
        <is>
          <t>VÄSTERNORRLANDS LÄN</t>
        </is>
      </c>
      <c r="E1312" t="inlineStr">
        <is>
          <t>ÖRNSKÖLDSVIK</t>
        </is>
      </c>
      <c r="G1312" t="n">
        <v>0.7</v>
      </c>
      <c r="H1312" t="n">
        <v>0</v>
      </c>
      <c r="I1312" t="n">
        <v>0</v>
      </c>
      <c r="J1312" t="n">
        <v>1</v>
      </c>
      <c r="K1312" t="n">
        <v>0</v>
      </c>
      <c r="L1312" t="n">
        <v>0</v>
      </c>
      <c r="M1312" t="n">
        <v>0</v>
      </c>
      <c r="N1312" t="n">
        <v>0</v>
      </c>
      <c r="O1312" t="n">
        <v>1</v>
      </c>
      <c r="P1312" t="n">
        <v>0</v>
      </c>
      <c r="Q1312" t="n">
        <v>1</v>
      </c>
      <c r="R1312" s="2" t="inlineStr">
        <is>
          <t>Ullticka</t>
        </is>
      </c>
      <c r="S1312">
        <f>HYPERLINK("https://klasma.github.io/Logging_2284/artfynd/A 37423-2024 artfynd.xlsx", "A 37423-2024")</f>
        <v/>
      </c>
      <c r="T1312">
        <f>HYPERLINK("https://klasma.github.io/Logging_2284/kartor/A 37423-2024 karta.png", "A 37423-2024")</f>
        <v/>
      </c>
      <c r="V1312">
        <f>HYPERLINK("https://klasma.github.io/Logging_2284/klagomål/A 37423-2024 FSC-klagomål.docx", "A 37423-2024")</f>
        <v/>
      </c>
      <c r="W1312">
        <f>HYPERLINK("https://klasma.github.io/Logging_2284/klagomålsmail/A 37423-2024 FSC-klagomål mail.docx", "A 37423-2024")</f>
        <v/>
      </c>
      <c r="X1312">
        <f>HYPERLINK("https://klasma.github.io/Logging_2284/tillsyn/A 37423-2024 tillsynsbegäran.docx", "A 37423-2024")</f>
        <v/>
      </c>
      <c r="Y1312">
        <f>HYPERLINK("https://klasma.github.io/Logging_2284/tillsynsmail/A 37423-2024 tillsynsbegäran mail.docx", "A 37423-2024")</f>
        <v/>
      </c>
    </row>
    <row r="1313" ht="15" customHeight="1">
      <c r="A1313" t="inlineStr">
        <is>
          <t>A 37506-2024</t>
        </is>
      </c>
      <c r="B1313" s="1" t="n">
        <v>45541</v>
      </c>
      <c r="C1313" s="1" t="n">
        <v>45657</v>
      </c>
      <c r="D1313" t="inlineStr">
        <is>
          <t>VÄSTERNORRLANDS LÄN</t>
        </is>
      </c>
      <c r="E1313" t="inlineStr">
        <is>
          <t>ÖRNSKÖLDSVIK</t>
        </is>
      </c>
      <c r="G1313" t="n">
        <v>13.3</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37506-2024 artfynd.xlsx", "A 37506-2024")</f>
        <v/>
      </c>
      <c r="T1313">
        <f>HYPERLINK("https://klasma.github.io/Logging_2284/kartor/A 37506-2024 karta.png", "A 37506-2024")</f>
        <v/>
      </c>
      <c r="V1313">
        <f>HYPERLINK("https://klasma.github.io/Logging_2284/klagomål/A 37506-2024 FSC-klagomål.docx", "A 37506-2024")</f>
        <v/>
      </c>
      <c r="W1313">
        <f>HYPERLINK("https://klasma.github.io/Logging_2284/klagomålsmail/A 37506-2024 FSC-klagomål mail.docx", "A 37506-2024")</f>
        <v/>
      </c>
      <c r="X1313">
        <f>HYPERLINK("https://klasma.github.io/Logging_2284/tillsyn/A 37506-2024 tillsynsbegäran.docx", "A 37506-2024")</f>
        <v/>
      </c>
      <c r="Y1313">
        <f>HYPERLINK("https://klasma.github.io/Logging_2284/tillsynsmail/A 37506-2024 tillsynsbegäran mail.docx", "A 37506-2024")</f>
        <v/>
      </c>
    </row>
    <row r="1314" ht="15" customHeight="1">
      <c r="A1314" t="inlineStr">
        <is>
          <t>A 37914-2024</t>
        </is>
      </c>
      <c r="B1314" s="1" t="n">
        <v>45544</v>
      </c>
      <c r="C1314" s="1" t="n">
        <v>45657</v>
      </c>
      <c r="D1314" t="inlineStr">
        <is>
          <t>VÄSTERNORRLANDS LÄN</t>
        </is>
      </c>
      <c r="E1314" t="inlineStr">
        <is>
          <t>ÅNGE</t>
        </is>
      </c>
      <c r="F1314" t="inlineStr">
        <is>
          <t>SCA</t>
        </is>
      </c>
      <c r="G1314" t="n">
        <v>9</v>
      </c>
      <c r="H1314" t="n">
        <v>0</v>
      </c>
      <c r="I1314" t="n">
        <v>0</v>
      </c>
      <c r="J1314" t="n">
        <v>1</v>
      </c>
      <c r="K1314" t="n">
        <v>0</v>
      </c>
      <c r="L1314" t="n">
        <v>0</v>
      </c>
      <c r="M1314" t="n">
        <v>0</v>
      </c>
      <c r="N1314" t="n">
        <v>0</v>
      </c>
      <c r="O1314" t="n">
        <v>1</v>
      </c>
      <c r="P1314" t="n">
        <v>0</v>
      </c>
      <c r="Q1314" t="n">
        <v>1</v>
      </c>
      <c r="R1314" s="2" t="inlineStr">
        <is>
          <t>Granticka</t>
        </is>
      </c>
      <c r="S1314">
        <f>HYPERLINK("https://klasma.github.io/Logging_2260/artfynd/A 37914-2024 artfynd.xlsx", "A 37914-2024")</f>
        <v/>
      </c>
      <c r="T1314">
        <f>HYPERLINK("https://klasma.github.io/Logging_2260/kartor/A 37914-2024 karta.png", "A 37914-2024")</f>
        <v/>
      </c>
      <c r="V1314">
        <f>HYPERLINK("https://klasma.github.io/Logging_2260/klagomål/A 37914-2024 FSC-klagomål.docx", "A 37914-2024")</f>
        <v/>
      </c>
      <c r="W1314">
        <f>HYPERLINK("https://klasma.github.io/Logging_2260/klagomålsmail/A 37914-2024 FSC-klagomål mail.docx", "A 37914-2024")</f>
        <v/>
      </c>
      <c r="X1314">
        <f>HYPERLINK("https://klasma.github.io/Logging_2260/tillsyn/A 37914-2024 tillsynsbegäran.docx", "A 37914-2024")</f>
        <v/>
      </c>
      <c r="Y1314">
        <f>HYPERLINK("https://klasma.github.io/Logging_2260/tillsynsmail/A 37914-2024 tillsynsbegäran mail.docx", "A 37914-2024")</f>
        <v/>
      </c>
    </row>
    <row r="1315" ht="15" customHeight="1">
      <c r="A1315" t="inlineStr">
        <is>
          <t>A 38442-2024</t>
        </is>
      </c>
      <c r="B1315" s="1" t="n">
        <v>45546</v>
      </c>
      <c r="C1315" s="1" t="n">
        <v>45657</v>
      </c>
      <c r="D1315" t="inlineStr">
        <is>
          <t>VÄSTERNORRLANDS LÄN</t>
        </is>
      </c>
      <c r="E1315" t="inlineStr">
        <is>
          <t>SOLLEFTEÅ</t>
        </is>
      </c>
      <c r="F1315" t="inlineStr">
        <is>
          <t>SCA</t>
        </is>
      </c>
      <c r="G1315" t="n">
        <v>0.7</v>
      </c>
      <c r="H1315" t="n">
        <v>0</v>
      </c>
      <c r="I1315" t="n">
        <v>1</v>
      </c>
      <c r="J1315" t="n">
        <v>0</v>
      </c>
      <c r="K1315" t="n">
        <v>0</v>
      </c>
      <c r="L1315" t="n">
        <v>0</v>
      </c>
      <c r="M1315" t="n">
        <v>0</v>
      </c>
      <c r="N1315" t="n">
        <v>0</v>
      </c>
      <c r="O1315" t="n">
        <v>0</v>
      </c>
      <c r="P1315" t="n">
        <v>0</v>
      </c>
      <c r="Q1315" t="n">
        <v>1</v>
      </c>
      <c r="R1315" s="2" t="inlineStr">
        <is>
          <t>Bollvitmossa</t>
        </is>
      </c>
      <c r="S1315">
        <f>HYPERLINK("https://klasma.github.io/Logging_2283/artfynd/A 38442-2024 artfynd.xlsx", "A 38442-2024")</f>
        <v/>
      </c>
      <c r="T1315">
        <f>HYPERLINK("https://klasma.github.io/Logging_2283/kartor/A 38442-2024 karta.png", "A 38442-2024")</f>
        <v/>
      </c>
      <c r="U1315">
        <f>HYPERLINK("https://klasma.github.io/Logging_2283/knärot/A 38442-2024 karta knärot.png", "A 38442-2024")</f>
        <v/>
      </c>
      <c r="V1315">
        <f>HYPERLINK("https://klasma.github.io/Logging_2283/klagomål/A 38442-2024 FSC-klagomål.docx", "A 38442-2024")</f>
        <v/>
      </c>
      <c r="W1315">
        <f>HYPERLINK("https://klasma.github.io/Logging_2283/klagomålsmail/A 38442-2024 FSC-klagomål mail.docx", "A 38442-2024")</f>
        <v/>
      </c>
      <c r="X1315">
        <f>HYPERLINK("https://klasma.github.io/Logging_2283/tillsyn/A 38442-2024 tillsynsbegäran.docx", "A 38442-2024")</f>
        <v/>
      </c>
      <c r="Y1315">
        <f>HYPERLINK("https://klasma.github.io/Logging_2283/tillsynsmail/A 38442-2024 tillsynsbegäran mail.docx", "A 38442-2024")</f>
        <v/>
      </c>
    </row>
    <row r="1316" ht="15" customHeight="1">
      <c r="A1316" t="inlineStr">
        <is>
          <t>A 38606-2024</t>
        </is>
      </c>
      <c r="B1316" s="1" t="n">
        <v>45546</v>
      </c>
      <c r="C1316" s="1" t="n">
        <v>45657</v>
      </c>
      <c r="D1316" t="inlineStr">
        <is>
          <t>VÄSTERNORRLANDS LÄN</t>
        </is>
      </c>
      <c r="E1316" t="inlineStr">
        <is>
          <t>ÅNGE</t>
        </is>
      </c>
      <c r="F1316" t="inlineStr">
        <is>
          <t>SCA</t>
        </is>
      </c>
      <c r="G1316" t="n">
        <v>2.4</v>
      </c>
      <c r="H1316" t="n">
        <v>0</v>
      </c>
      <c r="I1316" t="n">
        <v>0</v>
      </c>
      <c r="J1316" t="n">
        <v>1</v>
      </c>
      <c r="K1316" t="n">
        <v>0</v>
      </c>
      <c r="L1316" t="n">
        <v>0</v>
      </c>
      <c r="M1316" t="n">
        <v>0</v>
      </c>
      <c r="N1316" t="n">
        <v>0</v>
      </c>
      <c r="O1316" t="n">
        <v>1</v>
      </c>
      <c r="P1316" t="n">
        <v>0</v>
      </c>
      <c r="Q1316" t="n">
        <v>1</v>
      </c>
      <c r="R1316" s="2" t="inlineStr">
        <is>
          <t>Ullticka</t>
        </is>
      </c>
      <c r="S1316">
        <f>HYPERLINK("https://klasma.github.io/Logging_2260/artfynd/A 38606-2024 artfynd.xlsx", "A 38606-2024")</f>
        <v/>
      </c>
      <c r="T1316">
        <f>HYPERLINK("https://klasma.github.io/Logging_2260/kartor/A 38606-2024 karta.png", "A 38606-2024")</f>
        <v/>
      </c>
      <c r="V1316">
        <f>HYPERLINK("https://klasma.github.io/Logging_2260/klagomål/A 38606-2024 FSC-klagomål.docx", "A 38606-2024")</f>
        <v/>
      </c>
      <c r="W1316">
        <f>HYPERLINK("https://klasma.github.io/Logging_2260/klagomålsmail/A 38606-2024 FSC-klagomål mail.docx", "A 38606-2024")</f>
        <v/>
      </c>
      <c r="X1316">
        <f>HYPERLINK("https://klasma.github.io/Logging_2260/tillsyn/A 38606-2024 tillsynsbegäran.docx", "A 38606-2024")</f>
        <v/>
      </c>
      <c r="Y1316">
        <f>HYPERLINK("https://klasma.github.io/Logging_2260/tillsynsmail/A 38606-2024 tillsynsbegäran mail.docx", "A 38606-2024")</f>
        <v/>
      </c>
    </row>
    <row r="1317" ht="15" customHeight="1">
      <c r="A1317" t="inlineStr">
        <is>
          <t>A 38603-2024</t>
        </is>
      </c>
      <c r="B1317" s="1" t="n">
        <v>45546</v>
      </c>
      <c r="C1317" s="1" t="n">
        <v>45657</v>
      </c>
      <c r="D1317" t="inlineStr">
        <is>
          <t>VÄSTERNORRLANDS LÄN</t>
        </is>
      </c>
      <c r="E1317" t="inlineStr">
        <is>
          <t>ÅNGE</t>
        </is>
      </c>
      <c r="F1317" t="inlineStr">
        <is>
          <t>SCA</t>
        </is>
      </c>
      <c r="G1317" t="n">
        <v>5.6</v>
      </c>
      <c r="H1317" t="n">
        <v>0</v>
      </c>
      <c r="I1317" t="n">
        <v>0</v>
      </c>
      <c r="J1317" t="n">
        <v>0</v>
      </c>
      <c r="K1317" t="n">
        <v>1</v>
      </c>
      <c r="L1317" t="n">
        <v>0</v>
      </c>
      <c r="M1317" t="n">
        <v>0</v>
      </c>
      <c r="N1317" t="n">
        <v>0</v>
      </c>
      <c r="O1317" t="n">
        <v>1</v>
      </c>
      <c r="P1317" t="n">
        <v>1</v>
      </c>
      <c r="Q1317" t="n">
        <v>1</v>
      </c>
      <c r="R1317" s="2" t="inlineStr">
        <is>
          <t>Rynkskinn</t>
        </is>
      </c>
      <c r="S1317">
        <f>HYPERLINK("https://klasma.github.io/Logging_2260/artfynd/A 38603-2024 artfynd.xlsx", "A 38603-2024")</f>
        <v/>
      </c>
      <c r="T1317">
        <f>HYPERLINK("https://klasma.github.io/Logging_2260/kartor/A 38603-2024 karta.png", "A 38603-2024")</f>
        <v/>
      </c>
      <c r="V1317">
        <f>HYPERLINK("https://klasma.github.io/Logging_2260/klagomål/A 38603-2024 FSC-klagomål.docx", "A 38603-2024")</f>
        <v/>
      </c>
      <c r="W1317">
        <f>HYPERLINK("https://klasma.github.io/Logging_2260/klagomålsmail/A 38603-2024 FSC-klagomål mail.docx", "A 38603-2024")</f>
        <v/>
      </c>
      <c r="X1317">
        <f>HYPERLINK("https://klasma.github.io/Logging_2260/tillsyn/A 38603-2024 tillsynsbegäran.docx", "A 38603-2024")</f>
        <v/>
      </c>
      <c r="Y1317">
        <f>HYPERLINK("https://klasma.github.io/Logging_2260/tillsynsmail/A 38603-2024 tillsynsbegäran mail.docx", "A 38603-2024")</f>
        <v/>
      </c>
    </row>
    <row r="1318" ht="15" customHeight="1">
      <c r="A1318" t="inlineStr">
        <is>
          <t>A 39150-2024</t>
        </is>
      </c>
      <c r="B1318" s="1" t="n">
        <v>45548</v>
      </c>
      <c r="C1318" s="1" t="n">
        <v>45657</v>
      </c>
      <c r="D1318" t="inlineStr">
        <is>
          <t>VÄSTERNORRLANDS LÄN</t>
        </is>
      </c>
      <c r="E1318" t="inlineStr">
        <is>
          <t>TIMRÅ</t>
        </is>
      </c>
      <c r="G1318" t="n">
        <v>4.4</v>
      </c>
      <c r="H1318" t="n">
        <v>0</v>
      </c>
      <c r="I1318" t="n">
        <v>1</v>
      </c>
      <c r="J1318" t="n">
        <v>0</v>
      </c>
      <c r="K1318" t="n">
        <v>0</v>
      </c>
      <c r="L1318" t="n">
        <v>0</v>
      </c>
      <c r="M1318" t="n">
        <v>0</v>
      </c>
      <c r="N1318" t="n">
        <v>0</v>
      </c>
      <c r="O1318" t="n">
        <v>0</v>
      </c>
      <c r="P1318" t="n">
        <v>0</v>
      </c>
      <c r="Q1318" t="n">
        <v>1</v>
      </c>
      <c r="R1318" s="2" t="inlineStr">
        <is>
          <t>Ögonpyrola</t>
        </is>
      </c>
      <c r="S1318">
        <f>HYPERLINK("https://klasma.github.io/Logging_2262/artfynd/A 39150-2024 artfynd.xlsx", "A 39150-2024")</f>
        <v/>
      </c>
      <c r="T1318">
        <f>HYPERLINK("https://klasma.github.io/Logging_2262/kartor/A 39150-2024 karta.png", "A 39150-2024")</f>
        <v/>
      </c>
      <c r="V1318">
        <f>HYPERLINK("https://klasma.github.io/Logging_2262/klagomål/A 39150-2024 FSC-klagomål.docx", "A 39150-2024")</f>
        <v/>
      </c>
      <c r="W1318">
        <f>HYPERLINK("https://klasma.github.io/Logging_2262/klagomålsmail/A 39150-2024 FSC-klagomål mail.docx", "A 39150-2024")</f>
        <v/>
      </c>
      <c r="X1318">
        <f>HYPERLINK("https://klasma.github.io/Logging_2262/tillsyn/A 39150-2024 tillsynsbegäran.docx", "A 39150-2024")</f>
        <v/>
      </c>
      <c r="Y1318">
        <f>HYPERLINK("https://klasma.github.io/Logging_2262/tillsynsmail/A 39150-2024 tillsynsbegäran mail.docx", "A 39150-2024")</f>
        <v/>
      </c>
    </row>
    <row r="1319" ht="15" customHeight="1">
      <c r="A1319" t="inlineStr">
        <is>
          <t>A 39180-2024</t>
        </is>
      </c>
      <c r="B1319" s="1" t="n">
        <v>45548</v>
      </c>
      <c r="C1319" s="1" t="n">
        <v>45657</v>
      </c>
      <c r="D1319" t="inlineStr">
        <is>
          <t>VÄSTERNORRLANDS LÄN</t>
        </is>
      </c>
      <c r="E1319" t="inlineStr">
        <is>
          <t>ÅNGE</t>
        </is>
      </c>
      <c r="F1319" t="inlineStr">
        <is>
          <t>SCA</t>
        </is>
      </c>
      <c r="G1319" t="n">
        <v>8.699999999999999</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39180-2024 artfynd.xlsx", "A 39180-2024")</f>
        <v/>
      </c>
      <c r="T1319">
        <f>HYPERLINK("https://klasma.github.io/Logging_2260/kartor/A 39180-2024 karta.png", "A 39180-2024")</f>
        <v/>
      </c>
      <c r="V1319">
        <f>HYPERLINK("https://klasma.github.io/Logging_2260/klagomål/A 39180-2024 FSC-klagomål.docx", "A 39180-2024")</f>
        <v/>
      </c>
      <c r="W1319">
        <f>HYPERLINK("https://klasma.github.io/Logging_2260/klagomålsmail/A 39180-2024 FSC-klagomål mail.docx", "A 39180-2024")</f>
        <v/>
      </c>
      <c r="X1319">
        <f>HYPERLINK("https://klasma.github.io/Logging_2260/tillsyn/A 39180-2024 tillsynsbegäran.docx", "A 39180-2024")</f>
        <v/>
      </c>
      <c r="Y1319">
        <f>HYPERLINK("https://klasma.github.io/Logging_2260/tillsynsmail/A 39180-2024 tillsynsbegäran mail.docx", "A 39180-2024")</f>
        <v/>
      </c>
    </row>
    <row r="1320" ht="15" customHeight="1">
      <c r="A1320" t="inlineStr">
        <is>
          <t>A 39688-2024</t>
        </is>
      </c>
      <c r="B1320" s="1" t="n">
        <v>45552</v>
      </c>
      <c r="C1320" s="1" t="n">
        <v>45657</v>
      </c>
      <c r="D1320" t="inlineStr">
        <is>
          <t>VÄSTERNORRLANDS LÄN</t>
        </is>
      </c>
      <c r="E1320" t="inlineStr">
        <is>
          <t>ÅNGE</t>
        </is>
      </c>
      <c r="G1320" t="n">
        <v>5.7</v>
      </c>
      <c r="H1320" t="n">
        <v>1</v>
      </c>
      <c r="I1320" t="n">
        <v>0</v>
      </c>
      <c r="J1320" t="n">
        <v>0</v>
      </c>
      <c r="K1320" t="n">
        <v>0</v>
      </c>
      <c r="L1320" t="n">
        <v>0</v>
      </c>
      <c r="M1320" t="n">
        <v>0</v>
      </c>
      <c r="N1320" t="n">
        <v>0</v>
      </c>
      <c r="O1320" t="n">
        <v>0</v>
      </c>
      <c r="P1320" t="n">
        <v>0</v>
      </c>
      <c r="Q1320" t="n">
        <v>1</v>
      </c>
      <c r="R1320" s="2" t="inlineStr">
        <is>
          <t>Revlummer</t>
        </is>
      </c>
      <c r="S1320">
        <f>HYPERLINK("https://klasma.github.io/Logging_2260/artfynd/A 39688-2024 artfynd.xlsx", "A 39688-2024")</f>
        <v/>
      </c>
      <c r="T1320">
        <f>HYPERLINK("https://klasma.github.io/Logging_2260/kartor/A 39688-2024 karta.png", "A 39688-2024")</f>
        <v/>
      </c>
      <c r="V1320">
        <f>HYPERLINK("https://klasma.github.io/Logging_2260/klagomål/A 39688-2024 FSC-klagomål.docx", "A 39688-2024")</f>
        <v/>
      </c>
      <c r="W1320">
        <f>HYPERLINK("https://klasma.github.io/Logging_2260/klagomålsmail/A 39688-2024 FSC-klagomål mail.docx", "A 39688-2024")</f>
        <v/>
      </c>
      <c r="X1320">
        <f>HYPERLINK("https://klasma.github.io/Logging_2260/tillsyn/A 39688-2024 tillsynsbegäran.docx", "A 39688-2024")</f>
        <v/>
      </c>
      <c r="Y1320">
        <f>HYPERLINK("https://klasma.github.io/Logging_2260/tillsynsmail/A 39688-2024 tillsynsbegäran mail.docx", "A 39688-2024")</f>
        <v/>
      </c>
    </row>
    <row r="1321" ht="15" customHeight="1">
      <c r="A1321" t="inlineStr">
        <is>
          <t>A 39638-2024</t>
        </is>
      </c>
      <c r="B1321" s="1" t="n">
        <v>45552</v>
      </c>
      <c r="C1321" s="1" t="n">
        <v>45657</v>
      </c>
      <c r="D1321" t="inlineStr">
        <is>
          <t>VÄSTERNORRLANDS LÄN</t>
        </is>
      </c>
      <c r="E1321" t="inlineStr">
        <is>
          <t>ÅNGE</t>
        </is>
      </c>
      <c r="G1321" t="n">
        <v>3</v>
      </c>
      <c r="H1321" t="n">
        <v>1</v>
      </c>
      <c r="I1321" t="n">
        <v>0</v>
      </c>
      <c r="J1321" t="n">
        <v>0</v>
      </c>
      <c r="K1321" t="n">
        <v>0</v>
      </c>
      <c r="L1321" t="n">
        <v>0</v>
      </c>
      <c r="M1321" t="n">
        <v>0</v>
      </c>
      <c r="N1321" t="n">
        <v>0</v>
      </c>
      <c r="O1321" t="n">
        <v>0</v>
      </c>
      <c r="P1321" t="n">
        <v>0</v>
      </c>
      <c r="Q1321" t="n">
        <v>1</v>
      </c>
      <c r="R1321" s="2" t="inlineStr">
        <is>
          <t>Tjäder</t>
        </is>
      </c>
      <c r="S1321">
        <f>HYPERLINK("https://klasma.github.io/Logging_2260/artfynd/A 39638-2024 artfynd.xlsx", "A 39638-2024")</f>
        <v/>
      </c>
      <c r="T1321">
        <f>HYPERLINK("https://klasma.github.io/Logging_2260/kartor/A 39638-2024 karta.png", "A 39638-2024")</f>
        <v/>
      </c>
      <c r="V1321">
        <f>HYPERLINK("https://klasma.github.io/Logging_2260/klagomål/A 39638-2024 FSC-klagomål.docx", "A 39638-2024")</f>
        <v/>
      </c>
      <c r="W1321">
        <f>HYPERLINK("https://klasma.github.io/Logging_2260/klagomålsmail/A 39638-2024 FSC-klagomål mail.docx", "A 39638-2024")</f>
        <v/>
      </c>
      <c r="X1321">
        <f>HYPERLINK("https://klasma.github.io/Logging_2260/tillsyn/A 39638-2024 tillsynsbegäran.docx", "A 39638-2024")</f>
        <v/>
      </c>
      <c r="Y1321">
        <f>HYPERLINK("https://klasma.github.io/Logging_2260/tillsynsmail/A 39638-2024 tillsynsbegäran mail.docx", "A 39638-2024")</f>
        <v/>
      </c>
      <c r="Z1321">
        <f>HYPERLINK("https://klasma.github.io/Logging_2260/fåglar/A 39638-2024 prioriterade fågelarter.docx", "A 39638-2024")</f>
        <v/>
      </c>
    </row>
    <row r="1322" ht="15" customHeight="1">
      <c r="A1322" t="inlineStr">
        <is>
          <t>A 39897-2024</t>
        </is>
      </c>
      <c r="B1322" s="1" t="n">
        <v>45553</v>
      </c>
      <c r="C1322" s="1" t="n">
        <v>45657</v>
      </c>
      <c r="D1322" t="inlineStr">
        <is>
          <t>VÄSTERNORRLANDS LÄN</t>
        </is>
      </c>
      <c r="E1322" t="inlineStr">
        <is>
          <t>SOLLEFTEÅ</t>
        </is>
      </c>
      <c r="G1322" t="n">
        <v>1.1</v>
      </c>
      <c r="H1322" t="n">
        <v>1</v>
      </c>
      <c r="I1322" t="n">
        <v>0</v>
      </c>
      <c r="J1322" t="n">
        <v>0</v>
      </c>
      <c r="K1322" t="n">
        <v>0</v>
      </c>
      <c r="L1322" t="n">
        <v>0</v>
      </c>
      <c r="M1322" t="n">
        <v>0</v>
      </c>
      <c r="N1322" t="n">
        <v>0</v>
      </c>
      <c r="O1322" t="n">
        <v>0</v>
      </c>
      <c r="P1322" t="n">
        <v>0</v>
      </c>
      <c r="Q1322" t="n">
        <v>1</v>
      </c>
      <c r="R1322" s="2" t="inlineStr">
        <is>
          <t>Revlummer</t>
        </is>
      </c>
      <c r="S1322">
        <f>HYPERLINK("https://klasma.github.io/Logging_2283/artfynd/A 39897-2024 artfynd.xlsx", "A 39897-2024")</f>
        <v/>
      </c>
      <c r="T1322">
        <f>HYPERLINK("https://klasma.github.io/Logging_2283/kartor/A 39897-2024 karta.png", "A 39897-2024")</f>
        <v/>
      </c>
      <c r="V1322">
        <f>HYPERLINK("https://klasma.github.io/Logging_2283/klagomål/A 39897-2024 FSC-klagomål.docx", "A 39897-2024")</f>
        <v/>
      </c>
      <c r="W1322">
        <f>HYPERLINK("https://klasma.github.io/Logging_2283/klagomålsmail/A 39897-2024 FSC-klagomål mail.docx", "A 39897-2024")</f>
        <v/>
      </c>
      <c r="X1322">
        <f>HYPERLINK("https://klasma.github.io/Logging_2283/tillsyn/A 39897-2024 tillsynsbegäran.docx", "A 39897-2024")</f>
        <v/>
      </c>
      <c r="Y1322">
        <f>HYPERLINK("https://klasma.github.io/Logging_2283/tillsynsmail/A 39897-2024 tillsynsbegäran mail.docx", "A 39897-2024")</f>
        <v/>
      </c>
    </row>
    <row r="1323" ht="15" customHeight="1">
      <c r="A1323" t="inlineStr">
        <is>
          <t>A 40110-2024</t>
        </is>
      </c>
      <c r="B1323" s="1" t="n">
        <v>45554</v>
      </c>
      <c r="C1323" s="1" t="n">
        <v>45657</v>
      </c>
      <c r="D1323" t="inlineStr">
        <is>
          <t>VÄSTERNORRLANDS LÄN</t>
        </is>
      </c>
      <c r="E1323" t="inlineStr">
        <is>
          <t>ÅNGE</t>
        </is>
      </c>
      <c r="G1323" t="n">
        <v>11.8</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40110-2024 artfynd.xlsx", "A 40110-2024")</f>
        <v/>
      </c>
      <c r="T1323">
        <f>HYPERLINK("https://klasma.github.io/Logging_2260/kartor/A 40110-2024 karta.png", "A 40110-2024")</f>
        <v/>
      </c>
      <c r="V1323">
        <f>HYPERLINK("https://klasma.github.io/Logging_2260/klagomål/A 40110-2024 FSC-klagomål.docx", "A 40110-2024")</f>
        <v/>
      </c>
      <c r="W1323">
        <f>HYPERLINK("https://klasma.github.io/Logging_2260/klagomålsmail/A 40110-2024 FSC-klagomål mail.docx", "A 40110-2024")</f>
        <v/>
      </c>
      <c r="X1323">
        <f>HYPERLINK("https://klasma.github.io/Logging_2260/tillsyn/A 40110-2024 tillsynsbegäran.docx", "A 40110-2024")</f>
        <v/>
      </c>
      <c r="Y1323">
        <f>HYPERLINK("https://klasma.github.io/Logging_2260/tillsynsmail/A 40110-2024 tillsynsbegäran mail.docx", "A 40110-2024")</f>
        <v/>
      </c>
    </row>
    <row r="1324" ht="15" customHeight="1">
      <c r="A1324" t="inlineStr">
        <is>
          <t>A 40214-2024</t>
        </is>
      </c>
      <c r="B1324" s="1" t="n">
        <v>45554</v>
      </c>
      <c r="C1324" s="1" t="n">
        <v>45657</v>
      </c>
      <c r="D1324" t="inlineStr">
        <is>
          <t>VÄSTERNORRLANDS LÄN</t>
        </is>
      </c>
      <c r="E1324" t="inlineStr">
        <is>
          <t>ÅNGE</t>
        </is>
      </c>
      <c r="F1324" t="inlineStr">
        <is>
          <t>SCA</t>
        </is>
      </c>
      <c r="G1324" t="n">
        <v>7.7</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40214-2024 artfynd.xlsx", "A 40214-2024")</f>
        <v/>
      </c>
      <c r="T1324">
        <f>HYPERLINK("https://klasma.github.io/Logging_2260/kartor/A 40214-2024 karta.png", "A 40214-2024")</f>
        <v/>
      </c>
      <c r="V1324">
        <f>HYPERLINK("https://klasma.github.io/Logging_2260/klagomål/A 40214-2024 FSC-klagomål.docx", "A 40214-2024")</f>
        <v/>
      </c>
      <c r="W1324">
        <f>HYPERLINK("https://klasma.github.io/Logging_2260/klagomålsmail/A 40214-2024 FSC-klagomål mail.docx", "A 40214-2024")</f>
        <v/>
      </c>
      <c r="X1324">
        <f>HYPERLINK("https://klasma.github.io/Logging_2260/tillsyn/A 40214-2024 tillsynsbegäran.docx", "A 40214-2024")</f>
        <v/>
      </c>
      <c r="Y1324">
        <f>HYPERLINK("https://klasma.github.io/Logging_2260/tillsynsmail/A 40214-2024 tillsynsbegäran mail.docx", "A 40214-2024")</f>
        <v/>
      </c>
    </row>
    <row r="1325" ht="15" customHeight="1">
      <c r="A1325" t="inlineStr">
        <is>
          <t>A 40659-2024</t>
        </is>
      </c>
      <c r="B1325" s="1" t="n">
        <v>45558</v>
      </c>
      <c r="C1325" s="1" t="n">
        <v>45657</v>
      </c>
      <c r="D1325" t="inlineStr">
        <is>
          <t>VÄSTERNORRLANDS LÄN</t>
        </is>
      </c>
      <c r="E1325" t="inlineStr">
        <is>
          <t>TIMRÅ</t>
        </is>
      </c>
      <c r="F1325" t="inlineStr">
        <is>
          <t>SCA</t>
        </is>
      </c>
      <c r="G1325" t="n">
        <v>0.7</v>
      </c>
      <c r="H1325" t="n">
        <v>0</v>
      </c>
      <c r="I1325" t="n">
        <v>0</v>
      </c>
      <c r="J1325" t="n">
        <v>1</v>
      </c>
      <c r="K1325" t="n">
        <v>0</v>
      </c>
      <c r="L1325" t="n">
        <v>0</v>
      </c>
      <c r="M1325" t="n">
        <v>0</v>
      </c>
      <c r="N1325" t="n">
        <v>0</v>
      </c>
      <c r="O1325" t="n">
        <v>1</v>
      </c>
      <c r="P1325" t="n">
        <v>0</v>
      </c>
      <c r="Q1325" t="n">
        <v>1</v>
      </c>
      <c r="R1325" s="2" t="inlineStr">
        <is>
          <t>Rosenticka</t>
        </is>
      </c>
      <c r="S1325">
        <f>HYPERLINK("https://klasma.github.io/Logging_2262/artfynd/A 40659-2024 artfynd.xlsx", "A 40659-2024")</f>
        <v/>
      </c>
      <c r="T1325">
        <f>HYPERLINK("https://klasma.github.io/Logging_2262/kartor/A 40659-2024 karta.png", "A 40659-2024")</f>
        <v/>
      </c>
      <c r="V1325">
        <f>HYPERLINK("https://klasma.github.io/Logging_2262/klagomål/A 40659-2024 FSC-klagomål.docx", "A 40659-2024")</f>
        <v/>
      </c>
      <c r="W1325">
        <f>HYPERLINK("https://klasma.github.io/Logging_2262/klagomålsmail/A 40659-2024 FSC-klagomål mail.docx", "A 40659-2024")</f>
        <v/>
      </c>
      <c r="X1325">
        <f>HYPERLINK("https://klasma.github.io/Logging_2262/tillsyn/A 40659-2024 tillsynsbegäran.docx", "A 40659-2024")</f>
        <v/>
      </c>
      <c r="Y1325">
        <f>HYPERLINK("https://klasma.github.io/Logging_2262/tillsynsmail/A 40659-2024 tillsynsbegäran mail.docx", "A 40659-2024")</f>
        <v/>
      </c>
    </row>
    <row r="1326" ht="15" customHeight="1">
      <c r="A1326" t="inlineStr">
        <is>
          <t>A 41689-2024</t>
        </is>
      </c>
      <c r="B1326" s="1" t="n">
        <v>45560</v>
      </c>
      <c r="C1326" s="1" t="n">
        <v>45657</v>
      </c>
      <c r="D1326" t="inlineStr">
        <is>
          <t>VÄSTERNORRLANDS LÄN</t>
        </is>
      </c>
      <c r="E1326" t="inlineStr">
        <is>
          <t>HÄRNÖSAND</t>
        </is>
      </c>
      <c r="F1326" t="inlineStr">
        <is>
          <t>SCA</t>
        </is>
      </c>
      <c r="G1326" t="n">
        <v>9.699999999999999</v>
      </c>
      <c r="H1326" t="n">
        <v>1</v>
      </c>
      <c r="I1326" t="n">
        <v>1</v>
      </c>
      <c r="J1326" t="n">
        <v>0</v>
      </c>
      <c r="K1326" t="n">
        <v>0</v>
      </c>
      <c r="L1326" t="n">
        <v>0</v>
      </c>
      <c r="M1326" t="n">
        <v>0</v>
      </c>
      <c r="N1326" t="n">
        <v>0</v>
      </c>
      <c r="O1326" t="n">
        <v>0</v>
      </c>
      <c r="P1326" t="n">
        <v>0</v>
      </c>
      <c r="Q1326" t="n">
        <v>1</v>
      </c>
      <c r="R1326" s="2" t="inlineStr">
        <is>
          <t>Plattlummer</t>
        </is>
      </c>
      <c r="S1326">
        <f>HYPERLINK("https://klasma.github.io/Logging_2280/artfynd/A 41689-2024 artfynd.xlsx", "A 41689-2024")</f>
        <v/>
      </c>
      <c r="T1326">
        <f>HYPERLINK("https://klasma.github.io/Logging_2280/kartor/A 41689-2024 karta.png", "A 41689-2024")</f>
        <v/>
      </c>
      <c r="V1326">
        <f>HYPERLINK("https://klasma.github.io/Logging_2280/klagomål/A 41689-2024 FSC-klagomål.docx", "A 41689-2024")</f>
        <v/>
      </c>
      <c r="W1326">
        <f>HYPERLINK("https://klasma.github.io/Logging_2280/klagomålsmail/A 41689-2024 FSC-klagomål mail.docx", "A 41689-2024")</f>
        <v/>
      </c>
      <c r="X1326">
        <f>HYPERLINK("https://klasma.github.io/Logging_2280/tillsyn/A 41689-2024 tillsynsbegäran.docx", "A 41689-2024")</f>
        <v/>
      </c>
      <c r="Y1326">
        <f>HYPERLINK("https://klasma.github.io/Logging_2280/tillsynsmail/A 41689-2024 tillsynsbegäran mail.docx", "A 41689-2024")</f>
        <v/>
      </c>
    </row>
    <row r="1327" ht="15" customHeight="1">
      <c r="A1327" t="inlineStr">
        <is>
          <t>A 41592-2024</t>
        </is>
      </c>
      <c r="B1327" s="1" t="n">
        <v>45560</v>
      </c>
      <c r="C1327" s="1" t="n">
        <v>45657</v>
      </c>
      <c r="D1327" t="inlineStr">
        <is>
          <t>VÄSTERNORRLANDS LÄN</t>
        </is>
      </c>
      <c r="E1327" t="inlineStr">
        <is>
          <t>HÄRNÖSAND</t>
        </is>
      </c>
      <c r="F1327" t="inlineStr">
        <is>
          <t>SCA</t>
        </is>
      </c>
      <c r="G1327" t="n">
        <v>6.8</v>
      </c>
      <c r="H1327" t="n">
        <v>0</v>
      </c>
      <c r="I1327" t="n">
        <v>0</v>
      </c>
      <c r="J1327" t="n">
        <v>1</v>
      </c>
      <c r="K1327" t="n">
        <v>0</v>
      </c>
      <c r="L1327" t="n">
        <v>0</v>
      </c>
      <c r="M1327" t="n">
        <v>0</v>
      </c>
      <c r="N1327" t="n">
        <v>0</v>
      </c>
      <c r="O1327" t="n">
        <v>1</v>
      </c>
      <c r="P1327" t="n">
        <v>0</v>
      </c>
      <c r="Q1327" t="n">
        <v>1</v>
      </c>
      <c r="R1327" s="2" t="inlineStr">
        <is>
          <t>Garnlav</t>
        </is>
      </c>
      <c r="S1327">
        <f>HYPERLINK("https://klasma.github.io/Logging_2280/artfynd/A 41592-2024 artfynd.xlsx", "A 41592-2024")</f>
        <v/>
      </c>
      <c r="T1327">
        <f>HYPERLINK("https://klasma.github.io/Logging_2280/kartor/A 41592-2024 karta.png", "A 41592-2024")</f>
        <v/>
      </c>
      <c r="V1327">
        <f>HYPERLINK("https://klasma.github.io/Logging_2280/klagomål/A 41592-2024 FSC-klagomål.docx", "A 41592-2024")</f>
        <v/>
      </c>
      <c r="W1327">
        <f>HYPERLINK("https://klasma.github.io/Logging_2280/klagomålsmail/A 41592-2024 FSC-klagomål mail.docx", "A 41592-2024")</f>
        <v/>
      </c>
      <c r="X1327">
        <f>HYPERLINK("https://klasma.github.io/Logging_2280/tillsyn/A 41592-2024 tillsynsbegäran.docx", "A 41592-2024")</f>
        <v/>
      </c>
      <c r="Y1327">
        <f>HYPERLINK("https://klasma.github.io/Logging_2280/tillsynsmail/A 41592-2024 tillsynsbegäran mail.docx", "A 41592-2024")</f>
        <v/>
      </c>
    </row>
    <row r="1328" ht="15" customHeight="1">
      <c r="A1328" t="inlineStr">
        <is>
          <t>A 42535-2024</t>
        </is>
      </c>
      <c r="B1328" s="1" t="n">
        <v>45565</v>
      </c>
      <c r="C1328" s="1" t="n">
        <v>45657</v>
      </c>
      <c r="D1328" t="inlineStr">
        <is>
          <t>VÄSTERNORRLANDS LÄN</t>
        </is>
      </c>
      <c r="E1328" t="inlineStr">
        <is>
          <t>ÖRNSKÖLDSVIK</t>
        </is>
      </c>
      <c r="F1328" t="inlineStr">
        <is>
          <t>Holmen skog AB</t>
        </is>
      </c>
      <c r="G1328" t="n">
        <v>4.8</v>
      </c>
      <c r="H1328" t="n">
        <v>1</v>
      </c>
      <c r="I1328" t="n">
        <v>0</v>
      </c>
      <c r="J1328" t="n">
        <v>0</v>
      </c>
      <c r="K1328" t="n">
        <v>0</v>
      </c>
      <c r="L1328" t="n">
        <v>0</v>
      </c>
      <c r="M1328" t="n">
        <v>0</v>
      </c>
      <c r="N1328" t="n">
        <v>0</v>
      </c>
      <c r="O1328" t="n">
        <v>0</v>
      </c>
      <c r="P1328" t="n">
        <v>0</v>
      </c>
      <c r="Q1328" t="n">
        <v>1</v>
      </c>
      <c r="R1328" s="2" t="inlineStr">
        <is>
          <t>Lavskrika</t>
        </is>
      </c>
      <c r="S1328">
        <f>HYPERLINK("https://klasma.github.io/Logging_2284/artfynd/A 42535-2024 artfynd.xlsx", "A 42535-2024")</f>
        <v/>
      </c>
      <c r="T1328">
        <f>HYPERLINK("https://klasma.github.io/Logging_2284/kartor/A 42535-2024 karta.png", "A 42535-2024")</f>
        <v/>
      </c>
      <c r="V1328">
        <f>HYPERLINK("https://klasma.github.io/Logging_2284/klagomål/A 42535-2024 FSC-klagomål.docx", "A 42535-2024")</f>
        <v/>
      </c>
      <c r="W1328">
        <f>HYPERLINK("https://klasma.github.io/Logging_2284/klagomålsmail/A 42535-2024 FSC-klagomål mail.docx", "A 42535-2024")</f>
        <v/>
      </c>
      <c r="X1328">
        <f>HYPERLINK("https://klasma.github.io/Logging_2284/tillsyn/A 42535-2024 tillsynsbegäran.docx", "A 42535-2024")</f>
        <v/>
      </c>
      <c r="Y1328">
        <f>HYPERLINK("https://klasma.github.io/Logging_2284/tillsynsmail/A 42535-2024 tillsynsbegäran mail.docx", "A 42535-2024")</f>
        <v/>
      </c>
      <c r="Z1328">
        <f>HYPERLINK("https://klasma.github.io/Logging_2284/fåglar/A 42535-2024 prioriterade fågelarter.docx", "A 42535-2024")</f>
        <v/>
      </c>
    </row>
    <row r="1329" ht="15" customHeight="1">
      <c r="A1329" t="inlineStr">
        <is>
          <t>A 43171-2024</t>
        </is>
      </c>
      <c r="B1329" s="1" t="n">
        <v>45567</v>
      </c>
      <c r="C1329" s="1" t="n">
        <v>45657</v>
      </c>
      <c r="D1329" t="inlineStr">
        <is>
          <t>VÄSTERNORRLANDS LÄN</t>
        </is>
      </c>
      <c r="E1329" t="inlineStr">
        <is>
          <t>ÅNGE</t>
        </is>
      </c>
      <c r="F1329" t="inlineStr">
        <is>
          <t>SCA</t>
        </is>
      </c>
      <c r="G1329" t="n">
        <v>3.4</v>
      </c>
      <c r="H1329" t="n">
        <v>0</v>
      </c>
      <c r="I1329" t="n">
        <v>0</v>
      </c>
      <c r="J1329" t="n">
        <v>1</v>
      </c>
      <c r="K1329" t="n">
        <v>0</v>
      </c>
      <c r="L1329" t="n">
        <v>0</v>
      </c>
      <c r="M1329" t="n">
        <v>0</v>
      </c>
      <c r="N1329" t="n">
        <v>0</v>
      </c>
      <c r="O1329" t="n">
        <v>1</v>
      </c>
      <c r="P1329" t="n">
        <v>0</v>
      </c>
      <c r="Q1329" t="n">
        <v>1</v>
      </c>
      <c r="R1329" s="2" t="inlineStr">
        <is>
          <t>Rosenticka</t>
        </is>
      </c>
      <c r="S1329">
        <f>HYPERLINK("https://klasma.github.io/Logging_2260/artfynd/A 43171-2024 artfynd.xlsx", "A 43171-2024")</f>
        <v/>
      </c>
      <c r="T1329">
        <f>HYPERLINK("https://klasma.github.io/Logging_2260/kartor/A 43171-2024 karta.png", "A 43171-2024")</f>
        <v/>
      </c>
      <c r="V1329">
        <f>HYPERLINK("https://klasma.github.io/Logging_2260/klagomål/A 43171-2024 FSC-klagomål.docx", "A 43171-2024")</f>
        <v/>
      </c>
      <c r="W1329">
        <f>HYPERLINK("https://klasma.github.io/Logging_2260/klagomålsmail/A 43171-2024 FSC-klagomål mail.docx", "A 43171-2024")</f>
        <v/>
      </c>
      <c r="X1329">
        <f>HYPERLINK("https://klasma.github.io/Logging_2260/tillsyn/A 43171-2024 tillsynsbegäran.docx", "A 43171-2024")</f>
        <v/>
      </c>
      <c r="Y1329">
        <f>HYPERLINK("https://klasma.github.io/Logging_2260/tillsynsmail/A 43171-2024 tillsynsbegäran mail.docx", "A 43171-2024")</f>
        <v/>
      </c>
    </row>
    <row r="1330" ht="15" customHeight="1">
      <c r="A1330" t="inlineStr">
        <is>
          <t>A 42972-2024</t>
        </is>
      </c>
      <c r="B1330" s="1" t="n">
        <v>45567</v>
      </c>
      <c r="C1330" s="1" t="n">
        <v>45657</v>
      </c>
      <c r="D1330" t="inlineStr">
        <is>
          <t>VÄSTERNORRLANDS LÄN</t>
        </is>
      </c>
      <c r="E1330" t="inlineStr">
        <is>
          <t>SOLLEFTEÅ</t>
        </is>
      </c>
      <c r="F1330" t="inlineStr">
        <is>
          <t>SCA</t>
        </is>
      </c>
      <c r="G1330" t="n">
        <v>4.1</v>
      </c>
      <c r="H1330" t="n">
        <v>0</v>
      </c>
      <c r="I1330" t="n">
        <v>0</v>
      </c>
      <c r="J1330" t="n">
        <v>1</v>
      </c>
      <c r="K1330" t="n">
        <v>0</v>
      </c>
      <c r="L1330" t="n">
        <v>0</v>
      </c>
      <c r="M1330" t="n">
        <v>0</v>
      </c>
      <c r="N1330" t="n">
        <v>0</v>
      </c>
      <c r="O1330" t="n">
        <v>1</v>
      </c>
      <c r="P1330" t="n">
        <v>0</v>
      </c>
      <c r="Q1330" t="n">
        <v>1</v>
      </c>
      <c r="R1330" s="2" t="inlineStr">
        <is>
          <t>Rosenticka</t>
        </is>
      </c>
      <c r="S1330">
        <f>HYPERLINK("https://klasma.github.io/Logging_2283/artfynd/A 42972-2024 artfynd.xlsx", "A 42972-2024")</f>
        <v/>
      </c>
      <c r="T1330">
        <f>HYPERLINK("https://klasma.github.io/Logging_2283/kartor/A 42972-2024 karta.png", "A 42972-2024")</f>
        <v/>
      </c>
      <c r="U1330">
        <f>HYPERLINK("https://klasma.github.io/Logging_2283/knärot/A 42972-2024 karta knärot.png", "A 42972-2024")</f>
        <v/>
      </c>
      <c r="V1330">
        <f>HYPERLINK("https://klasma.github.io/Logging_2283/klagomål/A 42972-2024 FSC-klagomål.docx", "A 42972-2024")</f>
        <v/>
      </c>
      <c r="W1330">
        <f>HYPERLINK("https://klasma.github.io/Logging_2283/klagomålsmail/A 42972-2024 FSC-klagomål mail.docx", "A 42972-2024")</f>
        <v/>
      </c>
      <c r="X1330">
        <f>HYPERLINK("https://klasma.github.io/Logging_2283/tillsyn/A 42972-2024 tillsynsbegäran.docx", "A 42972-2024")</f>
        <v/>
      </c>
      <c r="Y1330">
        <f>HYPERLINK("https://klasma.github.io/Logging_2283/tillsynsmail/A 42972-2024 tillsynsbegäran mail.docx", "A 42972-2024")</f>
        <v/>
      </c>
    </row>
    <row r="1331" ht="15" customHeight="1">
      <c r="A1331" t="inlineStr">
        <is>
          <t>A 42961-2024</t>
        </is>
      </c>
      <c r="B1331" s="1" t="n">
        <v>45567</v>
      </c>
      <c r="C1331" s="1" t="n">
        <v>45657</v>
      </c>
      <c r="D1331" t="inlineStr">
        <is>
          <t>VÄSTERNORRLANDS LÄN</t>
        </is>
      </c>
      <c r="E1331" t="inlineStr">
        <is>
          <t>HÄRNÖSAND</t>
        </is>
      </c>
      <c r="F1331" t="inlineStr">
        <is>
          <t>SCA</t>
        </is>
      </c>
      <c r="G1331" t="n">
        <v>11.6</v>
      </c>
      <c r="H1331" t="n">
        <v>0</v>
      </c>
      <c r="I1331" t="n">
        <v>0</v>
      </c>
      <c r="J1331" t="n">
        <v>1</v>
      </c>
      <c r="K1331" t="n">
        <v>0</v>
      </c>
      <c r="L1331" t="n">
        <v>0</v>
      </c>
      <c r="M1331" t="n">
        <v>0</v>
      </c>
      <c r="N1331" t="n">
        <v>0</v>
      </c>
      <c r="O1331" t="n">
        <v>1</v>
      </c>
      <c r="P1331" t="n">
        <v>0</v>
      </c>
      <c r="Q1331" t="n">
        <v>1</v>
      </c>
      <c r="R1331" s="2" t="inlineStr">
        <is>
          <t>Garnlav</t>
        </is>
      </c>
      <c r="S1331">
        <f>HYPERLINK("https://klasma.github.io/Logging_2280/artfynd/A 42961-2024 artfynd.xlsx", "A 42961-2024")</f>
        <v/>
      </c>
      <c r="T1331">
        <f>HYPERLINK("https://klasma.github.io/Logging_2280/kartor/A 42961-2024 karta.png", "A 42961-2024")</f>
        <v/>
      </c>
      <c r="V1331">
        <f>HYPERLINK("https://klasma.github.io/Logging_2280/klagomål/A 42961-2024 FSC-klagomål.docx", "A 42961-2024")</f>
        <v/>
      </c>
      <c r="W1331">
        <f>HYPERLINK("https://klasma.github.io/Logging_2280/klagomålsmail/A 42961-2024 FSC-klagomål mail.docx", "A 42961-2024")</f>
        <v/>
      </c>
      <c r="X1331">
        <f>HYPERLINK("https://klasma.github.io/Logging_2280/tillsyn/A 42961-2024 tillsynsbegäran.docx", "A 42961-2024")</f>
        <v/>
      </c>
      <c r="Y1331">
        <f>HYPERLINK("https://klasma.github.io/Logging_2280/tillsynsmail/A 42961-2024 tillsynsbegäran mail.docx", "A 42961-2024")</f>
        <v/>
      </c>
    </row>
    <row r="1332" ht="15" customHeight="1">
      <c r="A1332" t="inlineStr">
        <is>
          <t>A 44632-2024</t>
        </is>
      </c>
      <c r="B1332" s="1" t="n">
        <v>45574</v>
      </c>
      <c r="C1332" s="1" t="n">
        <v>45657</v>
      </c>
      <c r="D1332" t="inlineStr">
        <is>
          <t>VÄSTERNORRLANDS LÄN</t>
        </is>
      </c>
      <c r="E1332" t="inlineStr">
        <is>
          <t>SOLLEFTEÅ</t>
        </is>
      </c>
      <c r="F1332" t="inlineStr">
        <is>
          <t>SCA</t>
        </is>
      </c>
      <c r="G1332" t="n">
        <v>3.1</v>
      </c>
      <c r="H1332" t="n">
        <v>0</v>
      </c>
      <c r="I1332" t="n">
        <v>1</v>
      </c>
      <c r="J1332" t="n">
        <v>0</v>
      </c>
      <c r="K1332" t="n">
        <v>0</v>
      </c>
      <c r="L1332" t="n">
        <v>0</v>
      </c>
      <c r="M1332" t="n">
        <v>0</v>
      </c>
      <c r="N1332" t="n">
        <v>0</v>
      </c>
      <c r="O1332" t="n">
        <v>0</v>
      </c>
      <c r="P1332" t="n">
        <v>0</v>
      </c>
      <c r="Q1332" t="n">
        <v>1</v>
      </c>
      <c r="R1332" s="2" t="inlineStr">
        <is>
          <t>Vedticka</t>
        </is>
      </c>
      <c r="S1332">
        <f>HYPERLINK("https://klasma.github.io/Logging_2283/artfynd/A 44632-2024 artfynd.xlsx", "A 44632-2024")</f>
        <v/>
      </c>
      <c r="T1332">
        <f>HYPERLINK("https://klasma.github.io/Logging_2283/kartor/A 44632-2024 karta.png", "A 44632-2024")</f>
        <v/>
      </c>
      <c r="V1332">
        <f>HYPERLINK("https://klasma.github.io/Logging_2283/klagomål/A 44632-2024 FSC-klagomål.docx", "A 44632-2024")</f>
        <v/>
      </c>
      <c r="W1332">
        <f>HYPERLINK("https://klasma.github.io/Logging_2283/klagomålsmail/A 44632-2024 FSC-klagomål mail.docx", "A 44632-2024")</f>
        <v/>
      </c>
      <c r="X1332">
        <f>HYPERLINK("https://klasma.github.io/Logging_2283/tillsyn/A 44632-2024 tillsynsbegäran.docx", "A 44632-2024")</f>
        <v/>
      </c>
      <c r="Y1332">
        <f>HYPERLINK("https://klasma.github.io/Logging_2283/tillsynsmail/A 44632-2024 tillsynsbegäran mail.docx", "A 44632-2024")</f>
        <v/>
      </c>
    </row>
    <row r="1333" ht="15" customHeight="1">
      <c r="A1333" t="inlineStr">
        <is>
          <t>A 44624-2024</t>
        </is>
      </c>
      <c r="B1333" s="1" t="n">
        <v>45574</v>
      </c>
      <c r="C1333" s="1" t="n">
        <v>45657</v>
      </c>
      <c r="D1333" t="inlineStr">
        <is>
          <t>VÄSTERNORRLANDS LÄN</t>
        </is>
      </c>
      <c r="E1333" t="inlineStr">
        <is>
          <t>SOLLEFTEÅ</t>
        </is>
      </c>
      <c r="F1333" t="inlineStr">
        <is>
          <t>SCA</t>
        </is>
      </c>
      <c r="G1333" t="n">
        <v>6.4</v>
      </c>
      <c r="H1333" t="n">
        <v>0</v>
      </c>
      <c r="I1333" t="n">
        <v>0</v>
      </c>
      <c r="J1333" t="n">
        <v>1</v>
      </c>
      <c r="K1333" t="n">
        <v>0</v>
      </c>
      <c r="L1333" t="n">
        <v>0</v>
      </c>
      <c r="M1333" t="n">
        <v>0</v>
      </c>
      <c r="N1333" t="n">
        <v>0</v>
      </c>
      <c r="O1333" t="n">
        <v>1</v>
      </c>
      <c r="P1333" t="n">
        <v>0</v>
      </c>
      <c r="Q1333" t="n">
        <v>1</v>
      </c>
      <c r="R1333" s="2" t="inlineStr">
        <is>
          <t>Lunglav</t>
        </is>
      </c>
      <c r="S1333">
        <f>HYPERLINK("https://klasma.github.io/Logging_2283/artfynd/A 44624-2024 artfynd.xlsx", "A 44624-2024")</f>
        <v/>
      </c>
      <c r="T1333">
        <f>HYPERLINK("https://klasma.github.io/Logging_2283/kartor/A 44624-2024 karta.png", "A 44624-2024")</f>
        <v/>
      </c>
      <c r="V1333">
        <f>HYPERLINK("https://klasma.github.io/Logging_2283/klagomål/A 44624-2024 FSC-klagomål.docx", "A 44624-2024")</f>
        <v/>
      </c>
      <c r="W1333">
        <f>HYPERLINK("https://klasma.github.io/Logging_2283/klagomålsmail/A 44624-2024 FSC-klagomål mail.docx", "A 44624-2024")</f>
        <v/>
      </c>
      <c r="X1333">
        <f>HYPERLINK("https://klasma.github.io/Logging_2283/tillsyn/A 44624-2024 tillsynsbegäran.docx", "A 44624-2024")</f>
        <v/>
      </c>
      <c r="Y1333">
        <f>HYPERLINK("https://klasma.github.io/Logging_2283/tillsynsmail/A 44624-2024 tillsynsbegäran mail.docx", "A 44624-2024")</f>
        <v/>
      </c>
    </row>
    <row r="1334" ht="15" customHeight="1">
      <c r="A1334" t="inlineStr">
        <is>
          <t>A 45721-2024</t>
        </is>
      </c>
      <c r="B1334" s="1" t="n">
        <v>45579</v>
      </c>
      <c r="C1334" s="1" t="n">
        <v>45657</v>
      </c>
      <c r="D1334" t="inlineStr">
        <is>
          <t>VÄSTERNORRLANDS LÄN</t>
        </is>
      </c>
      <c r="E1334" t="inlineStr">
        <is>
          <t>TIMRÅ</t>
        </is>
      </c>
      <c r="F1334" t="inlineStr">
        <is>
          <t>SCA</t>
        </is>
      </c>
      <c r="G1334" t="n">
        <v>6</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HYPERLINK("https://klasma.github.io/Logging_2262/artfynd/A 45721-2024 artfynd.xlsx", "A 45721-2024")</f>
        <v/>
      </c>
      <c r="T1334">
        <f>HYPERLINK("https://klasma.github.io/Logging_2262/kartor/A 45721-2024 karta.png", "A 45721-2024")</f>
        <v/>
      </c>
      <c r="V1334">
        <f>HYPERLINK("https://klasma.github.io/Logging_2262/klagomål/A 45721-2024 FSC-klagomål.docx", "A 45721-2024")</f>
        <v/>
      </c>
      <c r="W1334">
        <f>HYPERLINK("https://klasma.github.io/Logging_2262/klagomålsmail/A 45721-2024 FSC-klagomål mail.docx", "A 45721-2024")</f>
        <v/>
      </c>
      <c r="X1334">
        <f>HYPERLINK("https://klasma.github.io/Logging_2262/tillsyn/A 45721-2024 tillsynsbegäran.docx", "A 45721-2024")</f>
        <v/>
      </c>
      <c r="Y1334">
        <f>HYPERLINK("https://klasma.github.io/Logging_2262/tillsynsmail/A 45721-2024 tillsynsbegäran mail.docx", "A 45721-2024")</f>
        <v/>
      </c>
    </row>
    <row r="1335" ht="15" customHeight="1">
      <c r="A1335" t="inlineStr">
        <is>
          <t>A 45853-2024</t>
        </is>
      </c>
      <c r="B1335" s="1" t="n">
        <v>45580</v>
      </c>
      <c r="C1335" s="1" t="n">
        <v>45657</v>
      </c>
      <c r="D1335" t="inlineStr">
        <is>
          <t>VÄSTERNORRLANDS LÄN</t>
        </is>
      </c>
      <c r="E1335" t="inlineStr">
        <is>
          <t>ÅNGE</t>
        </is>
      </c>
      <c r="F1335" t="inlineStr">
        <is>
          <t>SCA</t>
        </is>
      </c>
      <c r="G1335" t="n">
        <v>14.5</v>
      </c>
      <c r="H1335" t="n">
        <v>1</v>
      </c>
      <c r="I1335" t="n">
        <v>0</v>
      </c>
      <c r="J1335" t="n">
        <v>1</v>
      </c>
      <c r="K1335" t="n">
        <v>0</v>
      </c>
      <c r="L1335" t="n">
        <v>0</v>
      </c>
      <c r="M1335" t="n">
        <v>0</v>
      </c>
      <c r="N1335" t="n">
        <v>0</v>
      </c>
      <c r="O1335" t="n">
        <v>1</v>
      </c>
      <c r="P1335" t="n">
        <v>0</v>
      </c>
      <c r="Q1335" t="n">
        <v>1</v>
      </c>
      <c r="R1335" s="2" t="inlineStr">
        <is>
          <t>Järpe</t>
        </is>
      </c>
      <c r="S1335">
        <f>HYPERLINK("https://klasma.github.io/Logging_2260/artfynd/A 45853-2024 artfynd.xlsx", "A 45853-2024")</f>
        <v/>
      </c>
      <c r="T1335">
        <f>HYPERLINK("https://klasma.github.io/Logging_2260/kartor/A 45853-2024 karta.png", "A 45853-2024")</f>
        <v/>
      </c>
      <c r="V1335">
        <f>HYPERLINK("https://klasma.github.io/Logging_2260/klagomål/A 45853-2024 FSC-klagomål.docx", "A 45853-2024")</f>
        <v/>
      </c>
      <c r="W1335">
        <f>HYPERLINK("https://klasma.github.io/Logging_2260/klagomålsmail/A 45853-2024 FSC-klagomål mail.docx", "A 45853-2024")</f>
        <v/>
      </c>
      <c r="X1335">
        <f>HYPERLINK("https://klasma.github.io/Logging_2260/tillsyn/A 45853-2024 tillsynsbegäran.docx", "A 45853-2024")</f>
        <v/>
      </c>
      <c r="Y1335">
        <f>HYPERLINK("https://klasma.github.io/Logging_2260/tillsynsmail/A 45853-2024 tillsynsbegäran mail.docx", "A 45853-2024")</f>
        <v/>
      </c>
      <c r="Z1335">
        <f>HYPERLINK("https://klasma.github.io/Logging_2260/fåglar/A 45853-2024 prioriterade fågelarter.docx", "A 45853-2024")</f>
        <v/>
      </c>
    </row>
    <row r="1336" ht="15" customHeight="1">
      <c r="A1336" t="inlineStr">
        <is>
          <t>A 47617-2024</t>
        </is>
      </c>
      <c r="B1336" s="1" t="n">
        <v>45588</v>
      </c>
      <c r="C1336" s="1" t="n">
        <v>45657</v>
      </c>
      <c r="D1336" t="inlineStr">
        <is>
          <t>VÄSTERNORRLANDS LÄN</t>
        </is>
      </c>
      <c r="E1336" t="inlineStr">
        <is>
          <t>ÅNGE</t>
        </is>
      </c>
      <c r="F1336" t="inlineStr">
        <is>
          <t>Holmen skog AB</t>
        </is>
      </c>
      <c r="G1336" t="n">
        <v>8.300000000000001</v>
      </c>
      <c r="H1336" t="n">
        <v>0</v>
      </c>
      <c r="I1336" t="n">
        <v>0</v>
      </c>
      <c r="J1336" t="n">
        <v>1</v>
      </c>
      <c r="K1336" t="n">
        <v>0</v>
      </c>
      <c r="L1336" t="n">
        <v>0</v>
      </c>
      <c r="M1336" t="n">
        <v>0</v>
      </c>
      <c r="N1336" t="n">
        <v>0</v>
      </c>
      <c r="O1336" t="n">
        <v>1</v>
      </c>
      <c r="P1336" t="n">
        <v>0</v>
      </c>
      <c r="Q1336" t="n">
        <v>1</v>
      </c>
      <c r="R1336" s="2" t="inlineStr">
        <is>
          <t>Gränsticka</t>
        </is>
      </c>
      <c r="S1336">
        <f>HYPERLINK("https://klasma.github.io/Logging_2260/artfynd/A 47617-2024 artfynd.xlsx", "A 47617-2024")</f>
        <v/>
      </c>
      <c r="T1336">
        <f>HYPERLINK("https://klasma.github.io/Logging_2260/kartor/A 47617-2024 karta.png", "A 47617-2024")</f>
        <v/>
      </c>
      <c r="V1336">
        <f>HYPERLINK("https://klasma.github.io/Logging_2260/klagomål/A 47617-2024 FSC-klagomål.docx", "A 47617-2024")</f>
        <v/>
      </c>
      <c r="W1336">
        <f>HYPERLINK("https://klasma.github.io/Logging_2260/klagomålsmail/A 47617-2024 FSC-klagomål mail.docx", "A 47617-2024")</f>
        <v/>
      </c>
      <c r="X1336">
        <f>HYPERLINK("https://klasma.github.io/Logging_2260/tillsyn/A 47617-2024 tillsynsbegäran.docx", "A 47617-2024")</f>
        <v/>
      </c>
      <c r="Y1336">
        <f>HYPERLINK("https://klasma.github.io/Logging_2260/tillsynsmail/A 47617-2024 tillsynsbegäran mail.docx", "A 47617-2024")</f>
        <v/>
      </c>
    </row>
    <row r="1337" ht="15" customHeight="1">
      <c r="A1337" t="inlineStr">
        <is>
          <t>A 47973-2024</t>
        </is>
      </c>
      <c r="B1337" s="1" t="n">
        <v>45589</v>
      </c>
      <c r="C1337" s="1" t="n">
        <v>45657</v>
      </c>
      <c r="D1337" t="inlineStr">
        <is>
          <t>VÄSTERNORRLANDS LÄN</t>
        </is>
      </c>
      <c r="E1337" t="inlineStr">
        <is>
          <t>ÖRNSKÖLDSVIK</t>
        </is>
      </c>
      <c r="F1337" t="inlineStr">
        <is>
          <t>Holmen skog AB</t>
        </is>
      </c>
      <c r="G1337" t="n">
        <v>8.4</v>
      </c>
      <c r="H1337" t="n">
        <v>0</v>
      </c>
      <c r="I1337" t="n">
        <v>1</v>
      </c>
      <c r="J1337" t="n">
        <v>0</v>
      </c>
      <c r="K1337" t="n">
        <v>0</v>
      </c>
      <c r="L1337" t="n">
        <v>0</v>
      </c>
      <c r="M1337" t="n">
        <v>0</v>
      </c>
      <c r="N1337" t="n">
        <v>0</v>
      </c>
      <c r="O1337" t="n">
        <v>0</v>
      </c>
      <c r="P1337" t="n">
        <v>0</v>
      </c>
      <c r="Q1337" t="n">
        <v>1</v>
      </c>
      <c r="R1337" s="2" t="inlineStr">
        <is>
          <t>Korallblylav</t>
        </is>
      </c>
      <c r="S1337">
        <f>HYPERLINK("https://klasma.github.io/Logging_2284/artfynd/A 47973-2024 artfynd.xlsx", "A 47973-2024")</f>
        <v/>
      </c>
      <c r="T1337">
        <f>HYPERLINK("https://klasma.github.io/Logging_2284/kartor/A 47973-2024 karta.png", "A 47973-2024")</f>
        <v/>
      </c>
      <c r="V1337">
        <f>HYPERLINK("https://klasma.github.io/Logging_2284/klagomål/A 47973-2024 FSC-klagomål.docx", "A 47973-2024")</f>
        <v/>
      </c>
      <c r="W1337">
        <f>HYPERLINK("https://klasma.github.io/Logging_2284/klagomålsmail/A 47973-2024 FSC-klagomål mail.docx", "A 47973-2024")</f>
        <v/>
      </c>
      <c r="X1337">
        <f>HYPERLINK("https://klasma.github.io/Logging_2284/tillsyn/A 47973-2024 tillsynsbegäran.docx", "A 47973-2024")</f>
        <v/>
      </c>
      <c r="Y1337">
        <f>HYPERLINK("https://klasma.github.io/Logging_2284/tillsynsmail/A 47973-2024 tillsynsbegäran mail.docx", "A 47973-2024")</f>
        <v/>
      </c>
    </row>
    <row r="1338" ht="15" customHeight="1">
      <c r="A1338" t="inlineStr">
        <is>
          <t>A 47988-2024</t>
        </is>
      </c>
      <c r="B1338" s="1" t="n">
        <v>45589</v>
      </c>
      <c r="C1338" s="1" t="n">
        <v>45657</v>
      </c>
      <c r="D1338" t="inlineStr">
        <is>
          <t>VÄSTERNORRLANDS LÄN</t>
        </is>
      </c>
      <c r="E1338" t="inlineStr">
        <is>
          <t>HÄRNÖSAND</t>
        </is>
      </c>
      <c r="F1338" t="inlineStr">
        <is>
          <t>SCA</t>
        </is>
      </c>
      <c r="G1338" t="n">
        <v>0.7</v>
      </c>
      <c r="H1338" t="n">
        <v>1</v>
      </c>
      <c r="I1338" t="n">
        <v>1</v>
      </c>
      <c r="J1338" t="n">
        <v>0</v>
      </c>
      <c r="K1338" t="n">
        <v>0</v>
      </c>
      <c r="L1338" t="n">
        <v>0</v>
      </c>
      <c r="M1338" t="n">
        <v>0</v>
      </c>
      <c r="N1338" t="n">
        <v>0</v>
      </c>
      <c r="O1338" t="n">
        <v>0</v>
      </c>
      <c r="P1338" t="n">
        <v>0</v>
      </c>
      <c r="Q1338" t="n">
        <v>1</v>
      </c>
      <c r="R1338" s="2" t="inlineStr">
        <is>
          <t>Spindelblomster</t>
        </is>
      </c>
      <c r="S1338">
        <f>HYPERLINK("https://klasma.github.io/Logging_2280/artfynd/A 47988-2024 artfynd.xlsx", "A 47988-2024")</f>
        <v/>
      </c>
      <c r="T1338">
        <f>HYPERLINK("https://klasma.github.io/Logging_2280/kartor/A 47988-2024 karta.png", "A 47988-2024")</f>
        <v/>
      </c>
      <c r="V1338">
        <f>HYPERLINK("https://klasma.github.io/Logging_2280/klagomål/A 47988-2024 FSC-klagomål.docx", "A 47988-2024")</f>
        <v/>
      </c>
      <c r="W1338">
        <f>HYPERLINK("https://klasma.github.io/Logging_2280/klagomålsmail/A 47988-2024 FSC-klagomål mail.docx", "A 47988-2024")</f>
        <v/>
      </c>
      <c r="X1338">
        <f>HYPERLINK("https://klasma.github.io/Logging_2280/tillsyn/A 47988-2024 tillsynsbegäran.docx", "A 47988-2024")</f>
        <v/>
      </c>
      <c r="Y1338">
        <f>HYPERLINK("https://klasma.github.io/Logging_2280/tillsynsmail/A 47988-2024 tillsynsbegäran mail.docx", "A 47988-2024")</f>
        <v/>
      </c>
    </row>
    <row r="1339" ht="15" customHeight="1">
      <c r="A1339" t="inlineStr">
        <is>
          <t>A 48315-2024</t>
        </is>
      </c>
      <c r="B1339" s="1" t="n">
        <v>45590</v>
      </c>
      <c r="C1339" s="1" t="n">
        <v>45657</v>
      </c>
      <c r="D1339" t="inlineStr">
        <is>
          <t>VÄSTERNORRLANDS LÄN</t>
        </is>
      </c>
      <c r="E1339" t="inlineStr">
        <is>
          <t>SUNDSVALL</t>
        </is>
      </c>
      <c r="F1339" t="inlineStr">
        <is>
          <t>SCA</t>
        </is>
      </c>
      <c r="G1339" t="n">
        <v>2.4</v>
      </c>
      <c r="H1339" t="n">
        <v>1</v>
      </c>
      <c r="I1339" t="n">
        <v>0</v>
      </c>
      <c r="J1339" t="n">
        <v>0</v>
      </c>
      <c r="K1339" t="n">
        <v>1</v>
      </c>
      <c r="L1339" t="n">
        <v>0</v>
      </c>
      <c r="M1339" t="n">
        <v>0</v>
      </c>
      <c r="N1339" t="n">
        <v>0</v>
      </c>
      <c r="O1339" t="n">
        <v>1</v>
      </c>
      <c r="P1339" t="n">
        <v>1</v>
      </c>
      <c r="Q1339" t="n">
        <v>1</v>
      </c>
      <c r="R1339" s="2" t="inlineStr">
        <is>
          <t>Knärot</t>
        </is>
      </c>
      <c r="S1339">
        <f>HYPERLINK("https://klasma.github.io/Logging_2281/artfynd/A 48315-2024 artfynd.xlsx", "A 48315-2024")</f>
        <v/>
      </c>
      <c r="T1339">
        <f>HYPERLINK("https://klasma.github.io/Logging_2281/kartor/A 48315-2024 karta.png", "A 48315-2024")</f>
        <v/>
      </c>
      <c r="U1339">
        <f>HYPERLINK("https://klasma.github.io/Logging_2281/knärot/A 48315-2024 karta knärot.png", "A 48315-2024")</f>
        <v/>
      </c>
      <c r="V1339">
        <f>HYPERLINK("https://klasma.github.io/Logging_2281/klagomål/A 48315-2024 FSC-klagomål.docx", "A 48315-2024")</f>
        <v/>
      </c>
      <c r="W1339">
        <f>HYPERLINK("https://klasma.github.io/Logging_2281/klagomålsmail/A 48315-2024 FSC-klagomål mail.docx", "A 48315-2024")</f>
        <v/>
      </c>
      <c r="X1339">
        <f>HYPERLINK("https://klasma.github.io/Logging_2281/tillsyn/A 48315-2024 tillsynsbegäran.docx", "A 48315-2024")</f>
        <v/>
      </c>
      <c r="Y1339">
        <f>HYPERLINK("https://klasma.github.io/Logging_2281/tillsynsmail/A 48315-2024 tillsynsbegäran mail.docx", "A 48315-2024")</f>
        <v/>
      </c>
    </row>
    <row r="1340" ht="15" customHeight="1">
      <c r="A1340" t="inlineStr">
        <is>
          <t>A 48705-2024</t>
        </is>
      </c>
      <c r="B1340" s="1" t="n">
        <v>45593</v>
      </c>
      <c r="C1340" s="1" t="n">
        <v>45657</v>
      </c>
      <c r="D1340" t="inlineStr">
        <is>
          <t>VÄSTERNORRLANDS LÄN</t>
        </is>
      </c>
      <c r="E1340" t="inlineStr">
        <is>
          <t>HÄRNÖSAND</t>
        </is>
      </c>
      <c r="F1340" t="inlineStr">
        <is>
          <t>SCA</t>
        </is>
      </c>
      <c r="G1340" t="n">
        <v>1.9</v>
      </c>
      <c r="H1340" t="n">
        <v>0</v>
      </c>
      <c r="I1340" t="n">
        <v>0</v>
      </c>
      <c r="J1340" t="n">
        <v>1</v>
      </c>
      <c r="K1340" t="n">
        <v>0</v>
      </c>
      <c r="L1340" t="n">
        <v>0</v>
      </c>
      <c r="M1340" t="n">
        <v>0</v>
      </c>
      <c r="N1340" t="n">
        <v>0</v>
      </c>
      <c r="O1340" t="n">
        <v>1</v>
      </c>
      <c r="P1340" t="n">
        <v>0</v>
      </c>
      <c r="Q1340" t="n">
        <v>1</v>
      </c>
      <c r="R1340" s="2" t="inlineStr">
        <is>
          <t>Ullticka</t>
        </is>
      </c>
      <c r="S1340">
        <f>HYPERLINK("https://klasma.github.io/Logging_2280/artfynd/A 48705-2024 artfynd.xlsx", "A 48705-2024")</f>
        <v/>
      </c>
      <c r="T1340">
        <f>HYPERLINK("https://klasma.github.io/Logging_2280/kartor/A 48705-2024 karta.png", "A 48705-2024")</f>
        <v/>
      </c>
      <c r="V1340">
        <f>HYPERLINK("https://klasma.github.io/Logging_2280/klagomål/A 48705-2024 FSC-klagomål.docx", "A 48705-2024")</f>
        <v/>
      </c>
      <c r="W1340">
        <f>HYPERLINK("https://klasma.github.io/Logging_2280/klagomålsmail/A 48705-2024 FSC-klagomål mail.docx", "A 48705-2024")</f>
        <v/>
      </c>
      <c r="X1340">
        <f>HYPERLINK("https://klasma.github.io/Logging_2280/tillsyn/A 48705-2024 tillsynsbegäran.docx", "A 48705-2024")</f>
        <v/>
      </c>
      <c r="Y1340">
        <f>HYPERLINK("https://klasma.github.io/Logging_2280/tillsynsmail/A 48705-2024 tillsynsbegäran mail.docx", "A 48705-2024")</f>
        <v/>
      </c>
    </row>
    <row r="1341" ht="15" customHeight="1">
      <c r="A1341" t="inlineStr">
        <is>
          <t>A 48670-2024</t>
        </is>
      </c>
      <c r="B1341" s="1" t="n">
        <v>45593</v>
      </c>
      <c r="C1341" s="1" t="n">
        <v>45657</v>
      </c>
      <c r="D1341" t="inlineStr">
        <is>
          <t>VÄSTERNORRLANDS LÄN</t>
        </is>
      </c>
      <c r="E1341" t="inlineStr">
        <is>
          <t>HÄRNÖSAND</t>
        </is>
      </c>
      <c r="F1341" t="inlineStr">
        <is>
          <t>SCA</t>
        </is>
      </c>
      <c r="G1341" t="n">
        <v>1.4</v>
      </c>
      <c r="H1341" t="n">
        <v>1</v>
      </c>
      <c r="I1341" t="n">
        <v>1</v>
      </c>
      <c r="J1341" t="n">
        <v>0</v>
      </c>
      <c r="K1341" t="n">
        <v>0</v>
      </c>
      <c r="L1341" t="n">
        <v>0</v>
      </c>
      <c r="M1341" t="n">
        <v>0</v>
      </c>
      <c r="N1341" t="n">
        <v>0</v>
      </c>
      <c r="O1341" t="n">
        <v>0</v>
      </c>
      <c r="P1341" t="n">
        <v>0</v>
      </c>
      <c r="Q1341" t="n">
        <v>1</v>
      </c>
      <c r="R1341" s="2" t="inlineStr">
        <is>
          <t>Spindelblomster</t>
        </is>
      </c>
      <c r="S1341">
        <f>HYPERLINK("https://klasma.github.io/Logging_2280/artfynd/A 48670-2024 artfynd.xlsx", "A 48670-2024")</f>
        <v/>
      </c>
      <c r="T1341">
        <f>HYPERLINK("https://klasma.github.io/Logging_2280/kartor/A 48670-2024 karta.png", "A 48670-2024")</f>
        <v/>
      </c>
      <c r="V1341">
        <f>HYPERLINK("https://klasma.github.io/Logging_2280/klagomål/A 48670-2024 FSC-klagomål.docx", "A 48670-2024")</f>
        <v/>
      </c>
      <c r="W1341">
        <f>HYPERLINK("https://klasma.github.io/Logging_2280/klagomålsmail/A 48670-2024 FSC-klagomål mail.docx", "A 48670-2024")</f>
        <v/>
      </c>
      <c r="X1341">
        <f>HYPERLINK("https://klasma.github.io/Logging_2280/tillsyn/A 48670-2024 tillsynsbegäran.docx", "A 48670-2024")</f>
        <v/>
      </c>
      <c r="Y1341">
        <f>HYPERLINK("https://klasma.github.io/Logging_2280/tillsynsmail/A 48670-2024 tillsynsbegäran mail.docx", "A 48670-2024")</f>
        <v/>
      </c>
    </row>
    <row r="1342" ht="15" customHeight="1">
      <c r="A1342" t="inlineStr">
        <is>
          <t>A 48674-2024</t>
        </is>
      </c>
      <c r="B1342" s="1" t="n">
        <v>45593</v>
      </c>
      <c r="C1342" s="1" t="n">
        <v>45657</v>
      </c>
      <c r="D1342" t="inlineStr">
        <is>
          <t>VÄSTERNORRLANDS LÄN</t>
        </is>
      </c>
      <c r="E1342" t="inlineStr">
        <is>
          <t>HÄRNÖSAND</t>
        </is>
      </c>
      <c r="F1342" t="inlineStr">
        <is>
          <t>SCA</t>
        </is>
      </c>
      <c r="G1342" t="n">
        <v>1.1</v>
      </c>
      <c r="H1342" t="n">
        <v>0</v>
      </c>
      <c r="I1342" t="n">
        <v>1</v>
      </c>
      <c r="J1342" t="n">
        <v>0</v>
      </c>
      <c r="K1342" t="n">
        <v>0</v>
      </c>
      <c r="L1342" t="n">
        <v>0</v>
      </c>
      <c r="M1342" t="n">
        <v>0</v>
      </c>
      <c r="N1342" t="n">
        <v>0</v>
      </c>
      <c r="O1342" t="n">
        <v>0</v>
      </c>
      <c r="P1342" t="n">
        <v>0</v>
      </c>
      <c r="Q1342" t="n">
        <v>1</v>
      </c>
      <c r="R1342" s="2" t="inlineStr">
        <is>
          <t>Slanklav</t>
        </is>
      </c>
      <c r="S1342">
        <f>HYPERLINK("https://klasma.github.io/Logging_2280/artfynd/A 48674-2024 artfynd.xlsx", "A 48674-2024")</f>
        <v/>
      </c>
      <c r="T1342">
        <f>HYPERLINK("https://klasma.github.io/Logging_2280/kartor/A 48674-2024 karta.png", "A 48674-2024")</f>
        <v/>
      </c>
      <c r="V1342">
        <f>HYPERLINK("https://klasma.github.io/Logging_2280/klagomål/A 48674-2024 FSC-klagomål.docx", "A 48674-2024")</f>
        <v/>
      </c>
      <c r="W1342">
        <f>HYPERLINK("https://klasma.github.io/Logging_2280/klagomålsmail/A 48674-2024 FSC-klagomål mail.docx", "A 48674-2024")</f>
        <v/>
      </c>
      <c r="X1342">
        <f>HYPERLINK("https://klasma.github.io/Logging_2280/tillsyn/A 48674-2024 tillsynsbegäran.docx", "A 48674-2024")</f>
        <v/>
      </c>
      <c r="Y1342">
        <f>HYPERLINK("https://klasma.github.io/Logging_2280/tillsynsmail/A 48674-2024 tillsynsbegäran mail.docx", "A 48674-2024")</f>
        <v/>
      </c>
    </row>
    <row r="1343" ht="15" customHeight="1">
      <c r="A1343" t="inlineStr">
        <is>
          <t>A 48948-2024</t>
        </is>
      </c>
      <c r="B1343" s="1" t="n">
        <v>45594</v>
      </c>
      <c r="C1343" s="1" t="n">
        <v>45657</v>
      </c>
      <c r="D1343" t="inlineStr">
        <is>
          <t>VÄSTERNORRLANDS LÄN</t>
        </is>
      </c>
      <c r="E1343" t="inlineStr">
        <is>
          <t>SOLLEFTEÅ</t>
        </is>
      </c>
      <c r="F1343" t="inlineStr">
        <is>
          <t>SCA</t>
        </is>
      </c>
      <c r="G1343" t="n">
        <v>15</v>
      </c>
      <c r="H1343" t="n">
        <v>1</v>
      </c>
      <c r="I1343" t="n">
        <v>0</v>
      </c>
      <c r="J1343" t="n">
        <v>0</v>
      </c>
      <c r="K1343" t="n">
        <v>0</v>
      </c>
      <c r="L1343" t="n">
        <v>0</v>
      </c>
      <c r="M1343" t="n">
        <v>0</v>
      </c>
      <c r="N1343" t="n">
        <v>0</v>
      </c>
      <c r="O1343" t="n">
        <v>0</v>
      </c>
      <c r="P1343" t="n">
        <v>0</v>
      </c>
      <c r="Q1343" t="n">
        <v>1</v>
      </c>
      <c r="R1343" s="2" t="inlineStr">
        <is>
          <t>Mattlummer</t>
        </is>
      </c>
      <c r="S1343">
        <f>HYPERLINK("https://klasma.github.io/Logging_2283/artfynd/A 48948-2024 artfynd.xlsx", "A 48948-2024")</f>
        <v/>
      </c>
      <c r="T1343">
        <f>HYPERLINK("https://klasma.github.io/Logging_2283/kartor/A 48948-2024 karta.png", "A 48948-2024")</f>
        <v/>
      </c>
      <c r="V1343">
        <f>HYPERLINK("https://klasma.github.io/Logging_2283/klagomål/A 48948-2024 FSC-klagomål.docx", "A 48948-2024")</f>
        <v/>
      </c>
      <c r="W1343">
        <f>HYPERLINK("https://klasma.github.io/Logging_2283/klagomålsmail/A 48948-2024 FSC-klagomål mail.docx", "A 48948-2024")</f>
        <v/>
      </c>
      <c r="X1343">
        <f>HYPERLINK("https://klasma.github.io/Logging_2283/tillsyn/A 48948-2024 tillsynsbegäran.docx", "A 48948-2024")</f>
        <v/>
      </c>
      <c r="Y1343">
        <f>HYPERLINK("https://klasma.github.io/Logging_2283/tillsynsmail/A 48948-2024 tillsynsbegäran mail.docx", "A 48948-2024")</f>
        <v/>
      </c>
    </row>
    <row r="1344" ht="15" customHeight="1">
      <c r="A1344" t="inlineStr">
        <is>
          <t>A 49366-2024</t>
        </is>
      </c>
      <c r="B1344" s="1" t="n">
        <v>45595</v>
      </c>
      <c r="C1344" s="1" t="n">
        <v>45657</v>
      </c>
      <c r="D1344" t="inlineStr">
        <is>
          <t>VÄSTERNORRLANDS LÄN</t>
        </is>
      </c>
      <c r="E1344" t="inlineStr">
        <is>
          <t>SOLLEFTEÅ</t>
        </is>
      </c>
      <c r="F1344" t="inlineStr">
        <is>
          <t>SCA</t>
        </is>
      </c>
      <c r="G1344" t="n">
        <v>1.6</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49366-2024 artfynd.xlsx", "A 49366-2024")</f>
        <v/>
      </c>
      <c r="T1344">
        <f>HYPERLINK("https://klasma.github.io/Logging_2283/kartor/A 49366-2024 karta.png", "A 49366-2024")</f>
        <v/>
      </c>
      <c r="U1344">
        <f>HYPERLINK("https://klasma.github.io/Logging_2283/knärot/A 49366-2024 karta knärot.png", "A 49366-2024")</f>
        <v/>
      </c>
      <c r="V1344">
        <f>HYPERLINK("https://klasma.github.io/Logging_2283/klagomål/A 49366-2024 FSC-klagomål.docx", "A 49366-2024")</f>
        <v/>
      </c>
      <c r="W1344">
        <f>HYPERLINK("https://klasma.github.io/Logging_2283/klagomålsmail/A 49366-2024 FSC-klagomål mail.docx", "A 49366-2024")</f>
        <v/>
      </c>
      <c r="X1344">
        <f>HYPERLINK("https://klasma.github.io/Logging_2283/tillsyn/A 49366-2024 tillsynsbegäran.docx", "A 49366-2024")</f>
        <v/>
      </c>
      <c r="Y1344">
        <f>HYPERLINK("https://klasma.github.io/Logging_2283/tillsynsmail/A 49366-2024 tillsynsbegäran mail.docx", "A 49366-2024")</f>
        <v/>
      </c>
    </row>
    <row r="1345" ht="15" customHeight="1">
      <c r="A1345" t="inlineStr">
        <is>
          <t>A 49367-2024</t>
        </is>
      </c>
      <c r="B1345" s="1" t="n">
        <v>45595</v>
      </c>
      <c r="C1345" s="1" t="n">
        <v>45657</v>
      </c>
      <c r="D1345" t="inlineStr">
        <is>
          <t>VÄSTERNORRLANDS LÄN</t>
        </is>
      </c>
      <c r="E1345" t="inlineStr">
        <is>
          <t>SOLLEFTEÅ</t>
        </is>
      </c>
      <c r="F1345" t="inlineStr">
        <is>
          <t>SCA</t>
        </is>
      </c>
      <c r="G1345" t="n">
        <v>1.6</v>
      </c>
      <c r="H1345" t="n">
        <v>1</v>
      </c>
      <c r="I1345" t="n">
        <v>0</v>
      </c>
      <c r="J1345" t="n">
        <v>0</v>
      </c>
      <c r="K1345" t="n">
        <v>1</v>
      </c>
      <c r="L1345" t="n">
        <v>0</v>
      </c>
      <c r="M1345" t="n">
        <v>0</v>
      </c>
      <c r="N1345" t="n">
        <v>0</v>
      </c>
      <c r="O1345" t="n">
        <v>1</v>
      </c>
      <c r="P1345" t="n">
        <v>1</v>
      </c>
      <c r="Q1345" t="n">
        <v>1</v>
      </c>
      <c r="R1345" s="2" t="inlineStr">
        <is>
          <t>Knärot</t>
        </is>
      </c>
      <c r="S1345">
        <f>HYPERLINK("https://klasma.github.io/Logging_2283/artfynd/A 49367-2024 artfynd.xlsx", "A 49367-2024")</f>
        <v/>
      </c>
      <c r="T1345">
        <f>HYPERLINK("https://klasma.github.io/Logging_2283/kartor/A 49367-2024 karta.png", "A 49367-2024")</f>
        <v/>
      </c>
      <c r="U1345">
        <f>HYPERLINK("https://klasma.github.io/Logging_2283/knärot/A 49367-2024 karta knärot.png", "A 49367-2024")</f>
        <v/>
      </c>
      <c r="V1345">
        <f>HYPERLINK("https://klasma.github.io/Logging_2283/klagomål/A 49367-2024 FSC-klagomål.docx", "A 49367-2024")</f>
        <v/>
      </c>
      <c r="W1345">
        <f>HYPERLINK("https://klasma.github.io/Logging_2283/klagomålsmail/A 49367-2024 FSC-klagomål mail.docx", "A 49367-2024")</f>
        <v/>
      </c>
      <c r="X1345">
        <f>HYPERLINK("https://klasma.github.io/Logging_2283/tillsyn/A 49367-2024 tillsynsbegäran.docx", "A 49367-2024")</f>
        <v/>
      </c>
      <c r="Y1345">
        <f>HYPERLINK("https://klasma.github.io/Logging_2283/tillsynsmail/A 49367-2024 tillsynsbegäran mail.docx", "A 49367-2024")</f>
        <v/>
      </c>
    </row>
    <row r="1346" ht="15" customHeight="1">
      <c r="A1346" t="inlineStr">
        <is>
          <t>A 50184-2024</t>
        </is>
      </c>
      <c r="B1346" s="1" t="n">
        <v>45600</v>
      </c>
      <c r="C1346" s="1" t="n">
        <v>45657</v>
      </c>
      <c r="D1346" t="inlineStr">
        <is>
          <t>VÄSTERNORRLANDS LÄN</t>
        </is>
      </c>
      <c r="E1346" t="inlineStr">
        <is>
          <t>SUNDSVALL</t>
        </is>
      </c>
      <c r="G1346" t="n">
        <v>5.3</v>
      </c>
      <c r="H1346" t="n">
        <v>0</v>
      </c>
      <c r="I1346" t="n">
        <v>1</v>
      </c>
      <c r="J1346" t="n">
        <v>0</v>
      </c>
      <c r="K1346" t="n">
        <v>0</v>
      </c>
      <c r="L1346" t="n">
        <v>0</v>
      </c>
      <c r="M1346" t="n">
        <v>0</v>
      </c>
      <c r="N1346" t="n">
        <v>0</v>
      </c>
      <c r="O1346" t="n">
        <v>0</v>
      </c>
      <c r="P1346" t="n">
        <v>0</v>
      </c>
      <c r="Q1346" t="n">
        <v>1</v>
      </c>
      <c r="R1346" s="2" t="inlineStr">
        <is>
          <t>Dropptaggsvamp</t>
        </is>
      </c>
      <c r="S1346">
        <f>HYPERLINK("https://klasma.github.io/Logging_2281/artfynd/A 50184-2024 artfynd.xlsx", "A 50184-2024")</f>
        <v/>
      </c>
      <c r="T1346">
        <f>HYPERLINK("https://klasma.github.io/Logging_2281/kartor/A 50184-2024 karta.png", "A 50184-2024")</f>
        <v/>
      </c>
      <c r="V1346">
        <f>HYPERLINK("https://klasma.github.io/Logging_2281/klagomål/A 50184-2024 FSC-klagomål.docx", "A 50184-2024")</f>
        <v/>
      </c>
      <c r="W1346">
        <f>HYPERLINK("https://klasma.github.io/Logging_2281/klagomålsmail/A 50184-2024 FSC-klagomål mail.docx", "A 50184-2024")</f>
        <v/>
      </c>
      <c r="X1346">
        <f>HYPERLINK("https://klasma.github.io/Logging_2281/tillsyn/A 50184-2024 tillsynsbegäran.docx", "A 50184-2024")</f>
        <v/>
      </c>
      <c r="Y1346">
        <f>HYPERLINK("https://klasma.github.io/Logging_2281/tillsynsmail/A 50184-2024 tillsynsbegäran mail.docx", "A 50184-2024")</f>
        <v/>
      </c>
    </row>
    <row r="1347" ht="15" customHeight="1">
      <c r="A1347" t="inlineStr">
        <is>
          <t>A 50396-2024</t>
        </is>
      </c>
      <c r="B1347" s="1" t="n">
        <v>45601</v>
      </c>
      <c r="C1347" s="1" t="n">
        <v>45657</v>
      </c>
      <c r="D1347" t="inlineStr">
        <is>
          <t>VÄSTERNORRLANDS LÄN</t>
        </is>
      </c>
      <c r="E1347" t="inlineStr">
        <is>
          <t>SUNDSVALL</t>
        </is>
      </c>
      <c r="F1347" t="inlineStr">
        <is>
          <t>SCA</t>
        </is>
      </c>
      <c r="G1347" t="n">
        <v>8</v>
      </c>
      <c r="H1347" t="n">
        <v>1</v>
      </c>
      <c r="I1347" t="n">
        <v>0</v>
      </c>
      <c r="J1347" t="n">
        <v>1</v>
      </c>
      <c r="K1347" t="n">
        <v>0</v>
      </c>
      <c r="L1347" t="n">
        <v>0</v>
      </c>
      <c r="M1347" t="n">
        <v>0</v>
      </c>
      <c r="N1347" t="n">
        <v>0</v>
      </c>
      <c r="O1347" t="n">
        <v>1</v>
      </c>
      <c r="P1347" t="n">
        <v>0</v>
      </c>
      <c r="Q1347" t="n">
        <v>1</v>
      </c>
      <c r="R1347" s="2" t="inlineStr">
        <is>
          <t>Järpe</t>
        </is>
      </c>
      <c r="S1347">
        <f>HYPERLINK("https://klasma.github.io/Logging_2281/artfynd/A 50396-2024 artfynd.xlsx", "A 50396-2024")</f>
        <v/>
      </c>
      <c r="T1347">
        <f>HYPERLINK("https://klasma.github.io/Logging_2281/kartor/A 50396-2024 karta.png", "A 50396-2024")</f>
        <v/>
      </c>
      <c r="V1347">
        <f>HYPERLINK("https://klasma.github.io/Logging_2281/klagomål/A 50396-2024 FSC-klagomål.docx", "A 50396-2024")</f>
        <v/>
      </c>
      <c r="W1347">
        <f>HYPERLINK("https://klasma.github.io/Logging_2281/klagomålsmail/A 50396-2024 FSC-klagomål mail.docx", "A 50396-2024")</f>
        <v/>
      </c>
      <c r="X1347">
        <f>HYPERLINK("https://klasma.github.io/Logging_2281/tillsyn/A 50396-2024 tillsynsbegäran.docx", "A 50396-2024")</f>
        <v/>
      </c>
      <c r="Y1347">
        <f>HYPERLINK("https://klasma.github.io/Logging_2281/tillsynsmail/A 50396-2024 tillsynsbegäran mail.docx", "A 50396-2024")</f>
        <v/>
      </c>
      <c r="Z1347">
        <f>HYPERLINK("https://klasma.github.io/Logging_2281/fåglar/A 50396-2024 prioriterade fågelarter.docx", "A 50396-2024")</f>
        <v/>
      </c>
    </row>
    <row r="1348" ht="15" customHeight="1">
      <c r="A1348" t="inlineStr">
        <is>
          <t>A 52305-2024</t>
        </is>
      </c>
      <c r="B1348" s="1" t="n">
        <v>45608</v>
      </c>
      <c r="C1348" s="1" t="n">
        <v>45657</v>
      </c>
      <c r="D1348" t="inlineStr">
        <is>
          <t>VÄSTERNORRLANDS LÄN</t>
        </is>
      </c>
      <c r="E1348" t="inlineStr">
        <is>
          <t>ÅNGE</t>
        </is>
      </c>
      <c r="G1348" t="n">
        <v>17.4</v>
      </c>
      <c r="H1348" t="n">
        <v>1</v>
      </c>
      <c r="I1348" t="n">
        <v>0</v>
      </c>
      <c r="J1348" t="n">
        <v>1</v>
      </c>
      <c r="K1348" t="n">
        <v>0</v>
      </c>
      <c r="L1348" t="n">
        <v>0</v>
      </c>
      <c r="M1348" t="n">
        <v>0</v>
      </c>
      <c r="N1348" t="n">
        <v>0</v>
      </c>
      <c r="O1348" t="n">
        <v>1</v>
      </c>
      <c r="P1348" t="n">
        <v>0</v>
      </c>
      <c r="Q1348" t="n">
        <v>1</v>
      </c>
      <c r="R1348" s="2" t="inlineStr">
        <is>
          <t>Järpe</t>
        </is>
      </c>
      <c r="S1348">
        <f>HYPERLINK("https://klasma.github.io/Logging_2260/artfynd/A 52305-2024 artfynd.xlsx", "A 52305-2024")</f>
        <v/>
      </c>
      <c r="T1348">
        <f>HYPERLINK("https://klasma.github.io/Logging_2260/kartor/A 52305-2024 karta.png", "A 52305-2024")</f>
        <v/>
      </c>
      <c r="V1348">
        <f>HYPERLINK("https://klasma.github.io/Logging_2260/klagomål/A 52305-2024 FSC-klagomål.docx", "A 52305-2024")</f>
        <v/>
      </c>
      <c r="W1348">
        <f>HYPERLINK("https://klasma.github.io/Logging_2260/klagomålsmail/A 52305-2024 FSC-klagomål mail.docx", "A 52305-2024")</f>
        <v/>
      </c>
      <c r="X1348">
        <f>HYPERLINK("https://klasma.github.io/Logging_2260/tillsyn/A 52305-2024 tillsynsbegäran.docx", "A 52305-2024")</f>
        <v/>
      </c>
      <c r="Y1348">
        <f>HYPERLINK("https://klasma.github.io/Logging_2260/tillsynsmail/A 52305-2024 tillsynsbegäran mail.docx", "A 52305-2024")</f>
        <v/>
      </c>
      <c r="Z1348">
        <f>HYPERLINK("https://klasma.github.io/Logging_2260/fåglar/A 52305-2024 prioriterade fågelarter.docx", "A 52305-2024")</f>
        <v/>
      </c>
    </row>
    <row r="1349" ht="15" customHeight="1">
      <c r="A1349" t="inlineStr">
        <is>
          <t>A 52342-2024</t>
        </is>
      </c>
      <c r="B1349" s="1" t="n">
        <v>45609</v>
      </c>
      <c r="C1349" s="1" t="n">
        <v>45657</v>
      </c>
      <c r="D1349" t="inlineStr">
        <is>
          <t>VÄSTERNORRLANDS LÄN</t>
        </is>
      </c>
      <c r="E1349" t="inlineStr">
        <is>
          <t>SUNDSVALL</t>
        </is>
      </c>
      <c r="G1349" t="n">
        <v>4</v>
      </c>
      <c r="H1349" t="n">
        <v>1</v>
      </c>
      <c r="I1349" t="n">
        <v>0</v>
      </c>
      <c r="J1349" t="n">
        <v>0</v>
      </c>
      <c r="K1349" t="n">
        <v>0</v>
      </c>
      <c r="L1349" t="n">
        <v>0</v>
      </c>
      <c r="M1349" t="n">
        <v>0</v>
      </c>
      <c r="N1349" t="n">
        <v>0</v>
      </c>
      <c r="O1349" t="n">
        <v>0</v>
      </c>
      <c r="P1349" t="n">
        <v>0</v>
      </c>
      <c r="Q1349" t="n">
        <v>1</v>
      </c>
      <c r="R1349" s="2" t="inlineStr">
        <is>
          <t>Orre</t>
        </is>
      </c>
      <c r="S1349">
        <f>HYPERLINK("https://klasma.github.io/Logging_2281/artfynd/A 52342-2024 artfynd.xlsx", "A 52342-2024")</f>
        <v/>
      </c>
      <c r="T1349">
        <f>HYPERLINK("https://klasma.github.io/Logging_2281/kartor/A 52342-2024 karta.png", "A 52342-2024")</f>
        <v/>
      </c>
      <c r="V1349">
        <f>HYPERLINK("https://klasma.github.io/Logging_2281/klagomål/A 52342-2024 FSC-klagomål.docx", "A 52342-2024")</f>
        <v/>
      </c>
      <c r="W1349">
        <f>HYPERLINK("https://klasma.github.io/Logging_2281/klagomålsmail/A 52342-2024 FSC-klagomål mail.docx", "A 52342-2024")</f>
        <v/>
      </c>
      <c r="X1349">
        <f>HYPERLINK("https://klasma.github.io/Logging_2281/tillsyn/A 52342-2024 tillsynsbegäran.docx", "A 52342-2024")</f>
        <v/>
      </c>
      <c r="Y1349">
        <f>HYPERLINK("https://klasma.github.io/Logging_2281/tillsynsmail/A 52342-2024 tillsynsbegäran mail.docx", "A 52342-2024")</f>
        <v/>
      </c>
      <c r="Z1349">
        <f>HYPERLINK("https://klasma.github.io/Logging_2281/fåglar/A 52342-2024 prioriterade fågelarter.docx", "A 52342-2024")</f>
        <v/>
      </c>
    </row>
    <row r="1350" ht="15" customHeight="1">
      <c r="A1350" t="inlineStr">
        <is>
          <t>A 53295-2024</t>
        </is>
      </c>
      <c r="B1350" s="1" t="n">
        <v>45614</v>
      </c>
      <c r="C1350" s="1" t="n">
        <v>45657</v>
      </c>
      <c r="D1350" t="inlineStr">
        <is>
          <t>VÄSTERNORRLANDS LÄN</t>
        </is>
      </c>
      <c r="E1350" t="inlineStr">
        <is>
          <t>TIMRÅ</t>
        </is>
      </c>
      <c r="F1350" t="inlineStr">
        <is>
          <t>SCA</t>
        </is>
      </c>
      <c r="G1350" t="n">
        <v>1.9</v>
      </c>
      <c r="H1350" t="n">
        <v>0</v>
      </c>
      <c r="I1350" t="n">
        <v>0</v>
      </c>
      <c r="J1350" t="n">
        <v>1</v>
      </c>
      <c r="K1350" t="n">
        <v>0</v>
      </c>
      <c r="L1350" t="n">
        <v>0</v>
      </c>
      <c r="M1350" t="n">
        <v>0</v>
      </c>
      <c r="N1350" t="n">
        <v>0</v>
      </c>
      <c r="O1350" t="n">
        <v>1</v>
      </c>
      <c r="P1350" t="n">
        <v>0</v>
      </c>
      <c r="Q1350" t="n">
        <v>1</v>
      </c>
      <c r="R1350" s="2" t="inlineStr">
        <is>
          <t>Vedskivlav</t>
        </is>
      </c>
      <c r="S1350">
        <f>HYPERLINK("https://klasma.github.io/Logging_2262/artfynd/A 53295-2024 artfynd.xlsx", "A 53295-2024")</f>
        <v/>
      </c>
      <c r="T1350">
        <f>HYPERLINK("https://klasma.github.io/Logging_2262/kartor/A 53295-2024 karta.png", "A 53295-2024")</f>
        <v/>
      </c>
      <c r="V1350">
        <f>HYPERLINK("https://klasma.github.io/Logging_2262/klagomål/A 53295-2024 FSC-klagomål.docx", "A 53295-2024")</f>
        <v/>
      </c>
      <c r="W1350">
        <f>HYPERLINK("https://klasma.github.io/Logging_2262/klagomålsmail/A 53295-2024 FSC-klagomål mail.docx", "A 53295-2024")</f>
        <v/>
      </c>
      <c r="X1350">
        <f>HYPERLINK("https://klasma.github.io/Logging_2262/tillsyn/A 53295-2024 tillsynsbegäran.docx", "A 53295-2024")</f>
        <v/>
      </c>
      <c r="Y1350">
        <f>HYPERLINK("https://klasma.github.io/Logging_2262/tillsynsmail/A 53295-2024 tillsynsbegäran mail.docx", "A 53295-2024")</f>
        <v/>
      </c>
    </row>
    <row r="1351" ht="15" customHeight="1">
      <c r="A1351" t="inlineStr">
        <is>
          <t>A 53300-2024</t>
        </is>
      </c>
      <c r="B1351" s="1" t="n">
        <v>45614</v>
      </c>
      <c r="C1351" s="1" t="n">
        <v>45657</v>
      </c>
      <c r="D1351" t="inlineStr">
        <is>
          <t>VÄSTERNORRLANDS LÄN</t>
        </is>
      </c>
      <c r="E1351" t="inlineStr">
        <is>
          <t>TIMRÅ</t>
        </is>
      </c>
      <c r="F1351" t="inlineStr">
        <is>
          <t>SCA</t>
        </is>
      </c>
      <c r="G1351" t="n">
        <v>1</v>
      </c>
      <c r="H1351" t="n">
        <v>0</v>
      </c>
      <c r="I1351" t="n">
        <v>0</v>
      </c>
      <c r="J1351" t="n">
        <v>1</v>
      </c>
      <c r="K1351" t="n">
        <v>0</v>
      </c>
      <c r="L1351" t="n">
        <v>0</v>
      </c>
      <c r="M1351" t="n">
        <v>0</v>
      </c>
      <c r="N1351" t="n">
        <v>0</v>
      </c>
      <c r="O1351" t="n">
        <v>1</v>
      </c>
      <c r="P1351" t="n">
        <v>0</v>
      </c>
      <c r="Q1351" t="n">
        <v>1</v>
      </c>
      <c r="R1351" s="2" t="inlineStr">
        <is>
          <t>Garnlav</t>
        </is>
      </c>
      <c r="S1351">
        <f>HYPERLINK("https://klasma.github.io/Logging_2262/artfynd/A 53300-2024 artfynd.xlsx", "A 53300-2024")</f>
        <v/>
      </c>
      <c r="T1351">
        <f>HYPERLINK("https://klasma.github.io/Logging_2262/kartor/A 53300-2024 karta.png", "A 53300-2024")</f>
        <v/>
      </c>
      <c r="V1351">
        <f>HYPERLINK("https://klasma.github.io/Logging_2262/klagomål/A 53300-2024 FSC-klagomål.docx", "A 53300-2024")</f>
        <v/>
      </c>
      <c r="W1351">
        <f>HYPERLINK("https://klasma.github.io/Logging_2262/klagomålsmail/A 53300-2024 FSC-klagomål mail.docx", "A 53300-2024")</f>
        <v/>
      </c>
      <c r="X1351">
        <f>HYPERLINK("https://klasma.github.io/Logging_2262/tillsyn/A 53300-2024 tillsynsbegäran.docx", "A 53300-2024")</f>
        <v/>
      </c>
      <c r="Y1351">
        <f>HYPERLINK("https://klasma.github.io/Logging_2262/tillsynsmail/A 53300-2024 tillsynsbegäran mail.docx", "A 53300-2024")</f>
        <v/>
      </c>
    </row>
    <row r="1352" ht="15" customHeight="1">
      <c r="A1352" t="inlineStr">
        <is>
          <t>A 53698-2024</t>
        </is>
      </c>
      <c r="B1352" s="1" t="n">
        <v>45615</v>
      </c>
      <c r="C1352" s="1" t="n">
        <v>45657</v>
      </c>
      <c r="D1352" t="inlineStr">
        <is>
          <t>VÄSTERNORRLANDS LÄN</t>
        </is>
      </c>
      <c r="E1352" t="inlineStr">
        <is>
          <t>HÄRNÖSAND</t>
        </is>
      </c>
      <c r="G1352" t="n">
        <v>5.7</v>
      </c>
      <c r="H1352" t="n">
        <v>1</v>
      </c>
      <c r="I1352" t="n">
        <v>0</v>
      </c>
      <c r="J1352" t="n">
        <v>1</v>
      </c>
      <c r="K1352" t="n">
        <v>0</v>
      </c>
      <c r="L1352" t="n">
        <v>0</v>
      </c>
      <c r="M1352" t="n">
        <v>0</v>
      </c>
      <c r="N1352" t="n">
        <v>0</v>
      </c>
      <c r="O1352" t="n">
        <v>1</v>
      </c>
      <c r="P1352" t="n">
        <v>0</v>
      </c>
      <c r="Q1352" t="n">
        <v>1</v>
      </c>
      <c r="R1352" s="2" t="inlineStr">
        <is>
          <t>Sötgräs</t>
        </is>
      </c>
      <c r="S1352">
        <f>HYPERLINK("https://klasma.github.io/Logging_2280/artfynd/A 53698-2024 artfynd.xlsx", "A 53698-2024")</f>
        <v/>
      </c>
      <c r="T1352">
        <f>HYPERLINK("https://klasma.github.io/Logging_2280/kartor/A 53698-2024 karta.png", "A 53698-2024")</f>
        <v/>
      </c>
      <c r="V1352">
        <f>HYPERLINK("https://klasma.github.io/Logging_2280/klagomål/A 53698-2024 FSC-klagomål.docx", "A 53698-2024")</f>
        <v/>
      </c>
      <c r="W1352">
        <f>HYPERLINK("https://klasma.github.io/Logging_2280/klagomålsmail/A 53698-2024 FSC-klagomål mail.docx", "A 53698-2024")</f>
        <v/>
      </c>
      <c r="X1352">
        <f>HYPERLINK("https://klasma.github.io/Logging_2280/tillsyn/A 53698-2024 tillsynsbegäran.docx", "A 53698-2024")</f>
        <v/>
      </c>
      <c r="Y1352">
        <f>HYPERLINK("https://klasma.github.io/Logging_2280/tillsynsmail/A 53698-2024 tillsynsbegäran mail.docx", "A 53698-2024")</f>
        <v/>
      </c>
    </row>
    <row r="1353" ht="15" customHeight="1">
      <c r="A1353" t="inlineStr">
        <is>
          <t>A 54386-2024</t>
        </is>
      </c>
      <c r="B1353" s="1" t="n">
        <v>45617</v>
      </c>
      <c r="C1353" s="1" t="n">
        <v>45657</v>
      </c>
      <c r="D1353" t="inlineStr">
        <is>
          <t>VÄSTERNORRLANDS LÄN</t>
        </is>
      </c>
      <c r="E1353" t="inlineStr">
        <is>
          <t>ÅNGE</t>
        </is>
      </c>
      <c r="F1353" t="inlineStr">
        <is>
          <t>SCA</t>
        </is>
      </c>
      <c r="G1353" t="n">
        <v>1.9</v>
      </c>
      <c r="H1353" t="n">
        <v>0</v>
      </c>
      <c r="I1353" t="n">
        <v>0</v>
      </c>
      <c r="J1353" t="n">
        <v>1</v>
      </c>
      <c r="K1353" t="n">
        <v>0</v>
      </c>
      <c r="L1353" t="n">
        <v>0</v>
      </c>
      <c r="M1353" t="n">
        <v>0</v>
      </c>
      <c r="N1353" t="n">
        <v>0</v>
      </c>
      <c r="O1353" t="n">
        <v>1</v>
      </c>
      <c r="P1353" t="n">
        <v>0</v>
      </c>
      <c r="Q1353" t="n">
        <v>1</v>
      </c>
      <c r="R1353" s="2" t="inlineStr">
        <is>
          <t>Reliktbock</t>
        </is>
      </c>
      <c r="S1353">
        <f>HYPERLINK("https://klasma.github.io/Logging_2260/artfynd/A 54386-2024 artfynd.xlsx", "A 54386-2024")</f>
        <v/>
      </c>
      <c r="T1353">
        <f>HYPERLINK("https://klasma.github.io/Logging_2260/kartor/A 54386-2024 karta.png", "A 54386-2024")</f>
        <v/>
      </c>
      <c r="V1353">
        <f>HYPERLINK("https://klasma.github.io/Logging_2260/klagomål/A 54386-2024 FSC-klagomål.docx", "A 54386-2024")</f>
        <v/>
      </c>
      <c r="W1353">
        <f>HYPERLINK("https://klasma.github.io/Logging_2260/klagomålsmail/A 54386-2024 FSC-klagomål mail.docx", "A 54386-2024")</f>
        <v/>
      </c>
      <c r="X1353">
        <f>HYPERLINK("https://klasma.github.io/Logging_2260/tillsyn/A 54386-2024 tillsynsbegäran.docx", "A 54386-2024")</f>
        <v/>
      </c>
      <c r="Y1353">
        <f>HYPERLINK("https://klasma.github.io/Logging_2260/tillsynsmail/A 54386-2024 tillsynsbegäran mail.docx", "A 54386-2024")</f>
        <v/>
      </c>
    </row>
    <row r="1354" ht="15" customHeight="1">
      <c r="A1354" t="inlineStr">
        <is>
          <t>A 54894-2024</t>
        </is>
      </c>
      <c r="B1354" s="1" t="n">
        <v>45618</v>
      </c>
      <c r="C1354" s="1" t="n">
        <v>45657</v>
      </c>
      <c r="D1354" t="inlineStr">
        <is>
          <t>VÄSTERNORRLANDS LÄN</t>
        </is>
      </c>
      <c r="E1354" t="inlineStr">
        <is>
          <t>HÄRNÖSAND</t>
        </is>
      </c>
      <c r="F1354" t="inlineStr">
        <is>
          <t>SCA</t>
        </is>
      </c>
      <c r="G1354" t="n">
        <v>2.5</v>
      </c>
      <c r="H1354" t="n">
        <v>0</v>
      </c>
      <c r="I1354" t="n">
        <v>0</v>
      </c>
      <c r="J1354" t="n">
        <v>1</v>
      </c>
      <c r="K1354" t="n">
        <v>0</v>
      </c>
      <c r="L1354" t="n">
        <v>0</v>
      </c>
      <c r="M1354" t="n">
        <v>0</v>
      </c>
      <c r="N1354" t="n">
        <v>0</v>
      </c>
      <c r="O1354" t="n">
        <v>1</v>
      </c>
      <c r="P1354" t="n">
        <v>0</v>
      </c>
      <c r="Q1354" t="n">
        <v>1</v>
      </c>
      <c r="R1354" s="2" t="inlineStr">
        <is>
          <t>Garnlav</t>
        </is>
      </c>
      <c r="S1354">
        <f>HYPERLINK("https://klasma.github.io/Logging_2280/artfynd/A 54894-2024 artfynd.xlsx", "A 54894-2024")</f>
        <v/>
      </c>
      <c r="T1354">
        <f>HYPERLINK("https://klasma.github.io/Logging_2280/kartor/A 54894-2024 karta.png", "A 54894-2024")</f>
        <v/>
      </c>
      <c r="V1354">
        <f>HYPERLINK("https://klasma.github.io/Logging_2280/klagomål/A 54894-2024 FSC-klagomål.docx", "A 54894-2024")</f>
        <v/>
      </c>
      <c r="W1354">
        <f>HYPERLINK("https://klasma.github.io/Logging_2280/klagomålsmail/A 54894-2024 FSC-klagomål mail.docx", "A 54894-2024")</f>
        <v/>
      </c>
      <c r="X1354">
        <f>HYPERLINK("https://klasma.github.io/Logging_2280/tillsyn/A 54894-2024 tillsynsbegäran.docx", "A 54894-2024")</f>
        <v/>
      </c>
      <c r="Y1354">
        <f>HYPERLINK("https://klasma.github.io/Logging_2280/tillsynsmail/A 54894-2024 tillsynsbegäran mail.docx", "A 54894-2024")</f>
        <v/>
      </c>
    </row>
    <row r="1355" ht="15" customHeight="1">
      <c r="A1355" t="inlineStr">
        <is>
          <t>A 54734-2024</t>
        </is>
      </c>
      <c r="B1355" s="1" t="n">
        <v>45618</v>
      </c>
      <c r="C1355" s="1" t="n">
        <v>45657</v>
      </c>
      <c r="D1355" t="inlineStr">
        <is>
          <t>VÄSTERNORRLANDS LÄN</t>
        </is>
      </c>
      <c r="E1355" t="inlineStr">
        <is>
          <t>SOLLEFTEÅ</t>
        </is>
      </c>
      <c r="F1355" t="inlineStr">
        <is>
          <t>SCA</t>
        </is>
      </c>
      <c r="G1355" t="n">
        <v>3.2</v>
      </c>
      <c r="H1355" t="n">
        <v>0</v>
      </c>
      <c r="I1355" t="n">
        <v>0</v>
      </c>
      <c r="J1355" t="n">
        <v>1</v>
      </c>
      <c r="K1355" t="n">
        <v>0</v>
      </c>
      <c r="L1355" t="n">
        <v>0</v>
      </c>
      <c r="M1355" t="n">
        <v>0</v>
      </c>
      <c r="N1355" t="n">
        <v>0</v>
      </c>
      <c r="O1355" t="n">
        <v>1</v>
      </c>
      <c r="P1355" t="n">
        <v>0</v>
      </c>
      <c r="Q1355" t="n">
        <v>1</v>
      </c>
      <c r="R1355" s="2" t="inlineStr">
        <is>
          <t>Ullticka</t>
        </is>
      </c>
      <c r="S1355">
        <f>HYPERLINK("https://klasma.github.io/Logging_2283/artfynd/A 54734-2024 artfynd.xlsx", "A 54734-2024")</f>
        <v/>
      </c>
      <c r="T1355">
        <f>HYPERLINK("https://klasma.github.io/Logging_2283/kartor/A 54734-2024 karta.png", "A 54734-2024")</f>
        <v/>
      </c>
      <c r="V1355">
        <f>HYPERLINK("https://klasma.github.io/Logging_2283/klagomål/A 54734-2024 FSC-klagomål.docx", "A 54734-2024")</f>
        <v/>
      </c>
      <c r="W1355">
        <f>HYPERLINK("https://klasma.github.io/Logging_2283/klagomålsmail/A 54734-2024 FSC-klagomål mail.docx", "A 54734-2024")</f>
        <v/>
      </c>
      <c r="X1355">
        <f>HYPERLINK("https://klasma.github.io/Logging_2283/tillsyn/A 54734-2024 tillsynsbegäran.docx", "A 54734-2024")</f>
        <v/>
      </c>
      <c r="Y1355">
        <f>HYPERLINK("https://klasma.github.io/Logging_2283/tillsynsmail/A 54734-2024 tillsynsbegäran mail.docx", "A 54734-2024")</f>
        <v/>
      </c>
    </row>
    <row r="1356" ht="15" customHeight="1">
      <c r="A1356" t="inlineStr">
        <is>
          <t>A 55998-2024</t>
        </is>
      </c>
      <c r="B1356" s="1" t="n">
        <v>45623</v>
      </c>
      <c r="C1356" s="1" t="n">
        <v>45657</v>
      </c>
      <c r="D1356" t="inlineStr">
        <is>
          <t>VÄSTERNORRLANDS LÄN</t>
        </is>
      </c>
      <c r="E1356" t="inlineStr">
        <is>
          <t>ÖRNSKÖLDSVIK</t>
        </is>
      </c>
      <c r="F1356" t="inlineStr">
        <is>
          <t>Holmen skog AB</t>
        </is>
      </c>
      <c r="G1356" t="n">
        <v>0.7</v>
      </c>
      <c r="H1356" t="n">
        <v>1</v>
      </c>
      <c r="I1356" t="n">
        <v>0</v>
      </c>
      <c r="J1356" t="n">
        <v>1</v>
      </c>
      <c r="K1356" t="n">
        <v>0</v>
      </c>
      <c r="L1356" t="n">
        <v>0</v>
      </c>
      <c r="M1356" t="n">
        <v>0</v>
      </c>
      <c r="N1356" t="n">
        <v>0</v>
      </c>
      <c r="O1356" t="n">
        <v>1</v>
      </c>
      <c r="P1356" t="n">
        <v>0</v>
      </c>
      <c r="Q1356" t="n">
        <v>1</v>
      </c>
      <c r="R1356" s="2" t="inlineStr">
        <is>
          <t>Järpe</t>
        </is>
      </c>
      <c r="S1356">
        <f>HYPERLINK("https://klasma.github.io/Logging_2284/artfynd/A 55998-2024 artfynd.xlsx", "A 55998-2024")</f>
        <v/>
      </c>
      <c r="T1356">
        <f>HYPERLINK("https://klasma.github.io/Logging_2284/kartor/A 55998-2024 karta.png", "A 55998-2024")</f>
        <v/>
      </c>
      <c r="V1356">
        <f>HYPERLINK("https://klasma.github.io/Logging_2284/klagomål/A 55998-2024 FSC-klagomål.docx", "A 55998-2024")</f>
        <v/>
      </c>
      <c r="W1356">
        <f>HYPERLINK("https://klasma.github.io/Logging_2284/klagomålsmail/A 55998-2024 FSC-klagomål mail.docx", "A 55998-2024")</f>
        <v/>
      </c>
      <c r="X1356">
        <f>HYPERLINK("https://klasma.github.io/Logging_2284/tillsyn/A 55998-2024 tillsynsbegäran.docx", "A 55998-2024")</f>
        <v/>
      </c>
      <c r="Y1356">
        <f>HYPERLINK("https://klasma.github.io/Logging_2284/tillsynsmail/A 55998-2024 tillsynsbegäran mail.docx", "A 55998-2024")</f>
        <v/>
      </c>
      <c r="Z1356">
        <f>HYPERLINK("https://klasma.github.io/Logging_2284/fåglar/A 55998-2024 prioriterade fågelarter.docx", "A 55998-2024")</f>
        <v/>
      </c>
    </row>
    <row r="1357" ht="15" customHeight="1">
      <c r="A1357" t="inlineStr">
        <is>
          <t>A 56276-2024</t>
        </is>
      </c>
      <c r="B1357" s="1" t="n">
        <v>45624</v>
      </c>
      <c r="C1357" s="1" t="n">
        <v>45657</v>
      </c>
      <c r="D1357" t="inlineStr">
        <is>
          <t>VÄSTERNORRLANDS LÄN</t>
        </is>
      </c>
      <c r="E1357" t="inlineStr">
        <is>
          <t>ÖRNSKÖLDSVIK</t>
        </is>
      </c>
      <c r="F1357" t="inlineStr">
        <is>
          <t>Holmen skog AB</t>
        </is>
      </c>
      <c r="G1357" t="n">
        <v>2</v>
      </c>
      <c r="H1357" t="n">
        <v>1</v>
      </c>
      <c r="I1357" t="n">
        <v>0</v>
      </c>
      <c r="J1357" t="n">
        <v>0</v>
      </c>
      <c r="K1357" t="n">
        <v>1</v>
      </c>
      <c r="L1357" t="n">
        <v>0</v>
      </c>
      <c r="M1357" t="n">
        <v>0</v>
      </c>
      <c r="N1357" t="n">
        <v>0</v>
      </c>
      <c r="O1357" t="n">
        <v>1</v>
      </c>
      <c r="P1357" t="n">
        <v>1</v>
      </c>
      <c r="Q1357" t="n">
        <v>1</v>
      </c>
      <c r="R1357" s="2" t="inlineStr">
        <is>
          <t>Doftticka</t>
        </is>
      </c>
      <c r="S1357">
        <f>HYPERLINK("https://klasma.github.io/Logging_2284/artfynd/A 56276-2024 artfynd.xlsx", "A 56276-2024")</f>
        <v/>
      </c>
      <c r="T1357">
        <f>HYPERLINK("https://klasma.github.io/Logging_2284/kartor/A 56276-2024 karta.png", "A 56276-2024")</f>
        <v/>
      </c>
      <c r="V1357">
        <f>HYPERLINK("https://klasma.github.io/Logging_2284/klagomål/A 56276-2024 FSC-klagomål.docx", "A 56276-2024")</f>
        <v/>
      </c>
      <c r="W1357">
        <f>HYPERLINK("https://klasma.github.io/Logging_2284/klagomålsmail/A 56276-2024 FSC-klagomål mail.docx", "A 56276-2024")</f>
        <v/>
      </c>
      <c r="X1357">
        <f>HYPERLINK("https://klasma.github.io/Logging_2284/tillsyn/A 56276-2024 tillsynsbegäran.docx", "A 56276-2024")</f>
        <v/>
      </c>
      <c r="Y1357">
        <f>HYPERLINK("https://klasma.github.io/Logging_2284/tillsynsmail/A 56276-2024 tillsynsbegäran mail.docx", "A 56276-2024")</f>
        <v/>
      </c>
    </row>
    <row r="1358" ht="15" customHeight="1">
      <c r="A1358" t="inlineStr">
        <is>
          <t>A 56287-2024</t>
        </is>
      </c>
      <c r="B1358" s="1" t="n">
        <v>45624</v>
      </c>
      <c r="C1358" s="1" t="n">
        <v>45657</v>
      </c>
      <c r="D1358" t="inlineStr">
        <is>
          <t>VÄSTERNORRLANDS LÄN</t>
        </is>
      </c>
      <c r="E1358" t="inlineStr">
        <is>
          <t>TIMRÅ</t>
        </is>
      </c>
      <c r="F1358" t="inlineStr">
        <is>
          <t>SCA</t>
        </is>
      </c>
      <c r="G1358" t="n">
        <v>10.2</v>
      </c>
      <c r="H1358" t="n">
        <v>0</v>
      </c>
      <c r="I1358" t="n">
        <v>0</v>
      </c>
      <c r="J1358" t="n">
        <v>1</v>
      </c>
      <c r="K1358" t="n">
        <v>0</v>
      </c>
      <c r="L1358" t="n">
        <v>0</v>
      </c>
      <c r="M1358" t="n">
        <v>0</v>
      </c>
      <c r="N1358" t="n">
        <v>0</v>
      </c>
      <c r="O1358" t="n">
        <v>1</v>
      </c>
      <c r="P1358" t="n">
        <v>0</v>
      </c>
      <c r="Q1358" t="n">
        <v>1</v>
      </c>
      <c r="R1358" s="2" t="inlineStr">
        <is>
          <t>Garnlav</t>
        </is>
      </c>
      <c r="S1358">
        <f>HYPERLINK("https://klasma.github.io/Logging_2262/artfynd/A 56287-2024 artfynd.xlsx", "A 56287-2024")</f>
        <v/>
      </c>
      <c r="T1358">
        <f>HYPERLINK("https://klasma.github.io/Logging_2262/kartor/A 56287-2024 karta.png", "A 56287-2024")</f>
        <v/>
      </c>
      <c r="V1358">
        <f>HYPERLINK("https://klasma.github.io/Logging_2262/klagomål/A 56287-2024 FSC-klagomål.docx", "A 56287-2024")</f>
        <v/>
      </c>
      <c r="W1358">
        <f>HYPERLINK("https://klasma.github.io/Logging_2262/klagomålsmail/A 56287-2024 FSC-klagomål mail.docx", "A 56287-2024")</f>
        <v/>
      </c>
      <c r="X1358">
        <f>HYPERLINK("https://klasma.github.io/Logging_2262/tillsyn/A 56287-2024 tillsynsbegäran.docx", "A 56287-2024")</f>
        <v/>
      </c>
      <c r="Y1358">
        <f>HYPERLINK("https://klasma.github.io/Logging_2262/tillsynsmail/A 56287-2024 tillsynsbegäran mail.docx", "A 56287-2024")</f>
        <v/>
      </c>
    </row>
    <row r="1359" ht="15" customHeight="1">
      <c r="A1359" t="inlineStr">
        <is>
          <t>A 56091-2024</t>
        </is>
      </c>
      <c r="B1359" s="1" t="n">
        <v>45624</v>
      </c>
      <c r="C1359" s="1" t="n">
        <v>45657</v>
      </c>
      <c r="D1359" t="inlineStr">
        <is>
          <t>VÄSTERNORRLANDS LÄN</t>
        </is>
      </c>
      <c r="E1359" t="inlineStr">
        <is>
          <t>ÅNGE</t>
        </is>
      </c>
      <c r="F1359" t="inlineStr">
        <is>
          <t>SCA</t>
        </is>
      </c>
      <c r="G1359" t="n">
        <v>2.5</v>
      </c>
      <c r="H1359" t="n">
        <v>0</v>
      </c>
      <c r="I1359" t="n">
        <v>0</v>
      </c>
      <c r="J1359" t="n">
        <v>1</v>
      </c>
      <c r="K1359" t="n">
        <v>0</v>
      </c>
      <c r="L1359" t="n">
        <v>0</v>
      </c>
      <c r="M1359" t="n">
        <v>0</v>
      </c>
      <c r="N1359" t="n">
        <v>0</v>
      </c>
      <c r="O1359" t="n">
        <v>1</v>
      </c>
      <c r="P1359" t="n">
        <v>0</v>
      </c>
      <c r="Q1359" t="n">
        <v>1</v>
      </c>
      <c r="R1359" s="2" t="inlineStr">
        <is>
          <t>Mörk kolflarnlav</t>
        </is>
      </c>
      <c r="S1359">
        <f>HYPERLINK("https://klasma.github.io/Logging_2260/artfynd/A 56091-2024 artfynd.xlsx", "A 56091-2024")</f>
        <v/>
      </c>
      <c r="T1359">
        <f>HYPERLINK("https://klasma.github.io/Logging_2260/kartor/A 56091-2024 karta.png", "A 56091-2024")</f>
        <v/>
      </c>
      <c r="V1359">
        <f>HYPERLINK("https://klasma.github.io/Logging_2260/klagomål/A 56091-2024 FSC-klagomål.docx", "A 56091-2024")</f>
        <v/>
      </c>
      <c r="W1359">
        <f>HYPERLINK("https://klasma.github.io/Logging_2260/klagomålsmail/A 56091-2024 FSC-klagomål mail.docx", "A 56091-2024")</f>
        <v/>
      </c>
      <c r="X1359">
        <f>HYPERLINK("https://klasma.github.io/Logging_2260/tillsyn/A 56091-2024 tillsynsbegäran.docx", "A 56091-2024")</f>
        <v/>
      </c>
      <c r="Y1359">
        <f>HYPERLINK("https://klasma.github.io/Logging_2260/tillsynsmail/A 56091-2024 tillsynsbegäran mail.docx", "A 56091-2024")</f>
        <v/>
      </c>
    </row>
    <row r="1360" ht="15" customHeight="1">
      <c r="A1360" t="inlineStr">
        <is>
          <t>A 57081-2024</t>
        </is>
      </c>
      <c r="B1360" s="1" t="n">
        <v>45629</v>
      </c>
      <c r="C1360" s="1" t="n">
        <v>45657</v>
      </c>
      <c r="D1360" t="inlineStr">
        <is>
          <t>VÄSTERNORRLANDS LÄN</t>
        </is>
      </c>
      <c r="E1360" t="inlineStr">
        <is>
          <t>SOLLEFTEÅ</t>
        </is>
      </c>
      <c r="F1360" t="inlineStr">
        <is>
          <t>SCA</t>
        </is>
      </c>
      <c r="G1360" t="n">
        <v>0.7</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57081-2024 artfynd.xlsx", "A 57081-2024")</f>
        <v/>
      </c>
      <c r="T1360">
        <f>HYPERLINK("https://klasma.github.io/Logging_2283/kartor/A 57081-2024 karta.png", "A 57081-2024")</f>
        <v/>
      </c>
      <c r="V1360">
        <f>HYPERLINK("https://klasma.github.io/Logging_2283/klagomål/A 57081-2024 FSC-klagomål.docx", "A 57081-2024")</f>
        <v/>
      </c>
      <c r="W1360">
        <f>HYPERLINK("https://klasma.github.io/Logging_2283/klagomålsmail/A 57081-2024 FSC-klagomål mail.docx", "A 57081-2024")</f>
        <v/>
      </c>
      <c r="X1360">
        <f>HYPERLINK("https://klasma.github.io/Logging_2283/tillsyn/A 57081-2024 tillsynsbegäran.docx", "A 57081-2024")</f>
        <v/>
      </c>
      <c r="Y1360">
        <f>HYPERLINK("https://klasma.github.io/Logging_2283/tillsynsmail/A 57081-2024 tillsynsbegäran mail.docx", "A 57081-2024")</f>
        <v/>
      </c>
    </row>
    <row r="1361" ht="15" customHeight="1">
      <c r="A1361" t="inlineStr">
        <is>
          <t>A 57272-2024</t>
        </is>
      </c>
      <c r="B1361" s="1" t="n">
        <v>45629</v>
      </c>
      <c r="C1361" s="1" t="n">
        <v>45657</v>
      </c>
      <c r="D1361" t="inlineStr">
        <is>
          <t>VÄSTERNORRLANDS LÄN</t>
        </is>
      </c>
      <c r="E1361" t="inlineStr">
        <is>
          <t>ÅNGE</t>
        </is>
      </c>
      <c r="F1361" t="inlineStr">
        <is>
          <t>SCA</t>
        </is>
      </c>
      <c r="G1361" t="n">
        <v>5.4</v>
      </c>
      <c r="H1361" t="n">
        <v>0</v>
      </c>
      <c r="I1361" t="n">
        <v>0</v>
      </c>
      <c r="J1361" t="n">
        <v>1</v>
      </c>
      <c r="K1361" t="n">
        <v>0</v>
      </c>
      <c r="L1361" t="n">
        <v>0</v>
      </c>
      <c r="M1361" t="n">
        <v>0</v>
      </c>
      <c r="N1361" t="n">
        <v>0</v>
      </c>
      <c r="O1361" t="n">
        <v>1</v>
      </c>
      <c r="P1361" t="n">
        <v>0</v>
      </c>
      <c r="Q1361" t="n">
        <v>1</v>
      </c>
      <c r="R1361" s="2" t="inlineStr">
        <is>
          <t>Orange taggsvamp</t>
        </is>
      </c>
      <c r="S1361">
        <f>HYPERLINK("https://klasma.github.io/Logging_2260/artfynd/A 57272-2024 artfynd.xlsx", "A 57272-2024")</f>
        <v/>
      </c>
      <c r="T1361">
        <f>HYPERLINK("https://klasma.github.io/Logging_2260/kartor/A 57272-2024 karta.png", "A 57272-2024")</f>
        <v/>
      </c>
      <c r="V1361">
        <f>HYPERLINK("https://klasma.github.io/Logging_2260/klagomål/A 57272-2024 FSC-klagomål.docx", "A 57272-2024")</f>
        <v/>
      </c>
      <c r="W1361">
        <f>HYPERLINK("https://klasma.github.io/Logging_2260/klagomålsmail/A 57272-2024 FSC-klagomål mail.docx", "A 57272-2024")</f>
        <v/>
      </c>
      <c r="X1361">
        <f>HYPERLINK("https://klasma.github.io/Logging_2260/tillsyn/A 57272-2024 tillsynsbegäran.docx", "A 57272-2024")</f>
        <v/>
      </c>
      <c r="Y1361">
        <f>HYPERLINK("https://klasma.github.io/Logging_2260/tillsynsmail/A 57272-2024 tillsynsbegäran mail.docx", "A 57272-2024")</f>
        <v/>
      </c>
    </row>
    <row r="1362" ht="15" customHeight="1">
      <c r="A1362" t="inlineStr">
        <is>
          <t>A 58812-2024</t>
        </is>
      </c>
      <c r="B1362" s="1" t="n">
        <v>45636</v>
      </c>
      <c r="C1362" s="1" t="n">
        <v>45657</v>
      </c>
      <c r="D1362" t="inlineStr">
        <is>
          <t>VÄSTERNORRLANDS LÄN</t>
        </is>
      </c>
      <c r="E1362" t="inlineStr">
        <is>
          <t>SOLLEFTEÅ</t>
        </is>
      </c>
      <c r="F1362" t="inlineStr">
        <is>
          <t>SCA</t>
        </is>
      </c>
      <c r="G1362" t="n">
        <v>4.6</v>
      </c>
      <c r="H1362" t="n">
        <v>0</v>
      </c>
      <c r="I1362" t="n">
        <v>0</v>
      </c>
      <c r="J1362" t="n">
        <v>1</v>
      </c>
      <c r="K1362" t="n">
        <v>0</v>
      </c>
      <c r="L1362" t="n">
        <v>0</v>
      </c>
      <c r="M1362" t="n">
        <v>0</v>
      </c>
      <c r="N1362" t="n">
        <v>0</v>
      </c>
      <c r="O1362" t="n">
        <v>1</v>
      </c>
      <c r="P1362" t="n">
        <v>0</v>
      </c>
      <c r="Q1362" t="n">
        <v>1</v>
      </c>
      <c r="R1362" s="2" t="inlineStr">
        <is>
          <t>Harticka</t>
        </is>
      </c>
      <c r="S1362">
        <f>HYPERLINK("https://klasma.github.io/Logging_2283/artfynd/A 58812-2024 artfynd.xlsx", "A 58812-2024")</f>
        <v/>
      </c>
      <c r="T1362">
        <f>HYPERLINK("https://klasma.github.io/Logging_2283/kartor/A 58812-2024 karta.png", "A 58812-2024")</f>
        <v/>
      </c>
      <c r="V1362">
        <f>HYPERLINK("https://klasma.github.io/Logging_2283/klagomål/A 58812-2024 FSC-klagomål.docx", "A 58812-2024")</f>
        <v/>
      </c>
      <c r="W1362">
        <f>HYPERLINK("https://klasma.github.io/Logging_2283/klagomålsmail/A 58812-2024 FSC-klagomål mail.docx", "A 58812-2024")</f>
        <v/>
      </c>
      <c r="X1362">
        <f>HYPERLINK("https://klasma.github.io/Logging_2283/tillsyn/A 58812-2024 tillsynsbegäran.docx", "A 58812-2024")</f>
        <v/>
      </c>
      <c r="Y1362">
        <f>HYPERLINK("https://klasma.github.io/Logging_2283/tillsynsmail/A 58812-2024 tillsynsbegäran mail.docx", "A 58812-2024")</f>
        <v/>
      </c>
    </row>
    <row r="1363" ht="15" customHeight="1">
      <c r="A1363" t="inlineStr">
        <is>
          <t>A 59165-2024</t>
        </is>
      </c>
      <c r="B1363" s="1" t="n">
        <v>45637</v>
      </c>
      <c r="C1363" s="1" t="n">
        <v>45657</v>
      </c>
      <c r="D1363" t="inlineStr">
        <is>
          <t>VÄSTERNORRLANDS LÄN</t>
        </is>
      </c>
      <c r="E1363" t="inlineStr">
        <is>
          <t>ÖRNSKÖLDSVIK</t>
        </is>
      </c>
      <c r="G1363" t="n">
        <v>5.6</v>
      </c>
      <c r="H1363" t="n">
        <v>1</v>
      </c>
      <c r="I1363" t="n">
        <v>0</v>
      </c>
      <c r="J1363" t="n">
        <v>0</v>
      </c>
      <c r="K1363" t="n">
        <v>0</v>
      </c>
      <c r="L1363" t="n">
        <v>0</v>
      </c>
      <c r="M1363" t="n">
        <v>0</v>
      </c>
      <c r="N1363" t="n">
        <v>0</v>
      </c>
      <c r="O1363" t="n">
        <v>0</v>
      </c>
      <c r="P1363" t="n">
        <v>0</v>
      </c>
      <c r="Q1363" t="n">
        <v>1</v>
      </c>
      <c r="R1363" s="2" t="inlineStr">
        <is>
          <t>Tjäder</t>
        </is>
      </c>
      <c r="S1363">
        <f>HYPERLINK("https://klasma.github.io/Logging_2284/artfynd/A 59165-2024 artfynd.xlsx", "A 59165-2024")</f>
        <v/>
      </c>
      <c r="T1363">
        <f>HYPERLINK("https://klasma.github.io/Logging_2284/kartor/A 59165-2024 karta.png", "A 59165-2024")</f>
        <v/>
      </c>
      <c r="V1363">
        <f>HYPERLINK("https://klasma.github.io/Logging_2284/klagomål/A 59165-2024 FSC-klagomål.docx", "A 59165-2024")</f>
        <v/>
      </c>
      <c r="W1363">
        <f>HYPERLINK("https://klasma.github.io/Logging_2284/klagomålsmail/A 59165-2024 FSC-klagomål mail.docx", "A 59165-2024")</f>
        <v/>
      </c>
      <c r="X1363">
        <f>HYPERLINK("https://klasma.github.io/Logging_2284/tillsyn/A 59165-2024 tillsynsbegäran.docx", "A 59165-2024")</f>
        <v/>
      </c>
      <c r="Y1363">
        <f>HYPERLINK("https://klasma.github.io/Logging_2284/tillsynsmail/A 59165-2024 tillsynsbegäran mail.docx", "A 59165-2024")</f>
        <v/>
      </c>
      <c r="Z1363">
        <f>HYPERLINK("https://klasma.github.io/Logging_2284/fåglar/A 59165-2024 prioriterade fågelarter.docx", "A 59165-2024")</f>
        <v/>
      </c>
    </row>
    <row r="1364" ht="15" customHeight="1">
      <c r="A1364" t="inlineStr">
        <is>
          <t>A 59895-2024</t>
        </is>
      </c>
      <c r="B1364" s="1" t="n">
        <v>45641</v>
      </c>
      <c r="C1364" s="1" t="n">
        <v>45657</v>
      </c>
      <c r="D1364" t="inlineStr">
        <is>
          <t>VÄSTERNORRLANDS LÄN</t>
        </is>
      </c>
      <c r="E1364" t="inlineStr">
        <is>
          <t>SUNDSVALL</t>
        </is>
      </c>
      <c r="F1364" t="inlineStr">
        <is>
          <t>SCA</t>
        </is>
      </c>
      <c r="G1364" t="n">
        <v>3.4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59895-2024 artfynd.xlsx", "A 59895-2024")</f>
        <v/>
      </c>
      <c r="T1364">
        <f>HYPERLINK("https://klasma.github.io/Logging_2281/kartor/A 59895-2024 karta.png", "A 59895-2024")</f>
        <v/>
      </c>
      <c r="U1364">
        <f>HYPERLINK("https://klasma.github.io/Logging_2281/knärot/A 59895-2024 karta knärot.png", "A 59895-2024")</f>
        <v/>
      </c>
      <c r="V1364">
        <f>HYPERLINK("https://klasma.github.io/Logging_2281/klagomål/A 59895-2024 FSC-klagomål.docx", "A 59895-2024")</f>
        <v/>
      </c>
      <c r="W1364">
        <f>HYPERLINK("https://klasma.github.io/Logging_2281/klagomålsmail/A 59895-2024 FSC-klagomål mail.docx", "A 59895-2024")</f>
        <v/>
      </c>
      <c r="X1364">
        <f>HYPERLINK("https://klasma.github.io/Logging_2281/tillsyn/A 59895-2024 tillsynsbegäran.docx", "A 59895-2024")</f>
        <v/>
      </c>
      <c r="Y1364">
        <f>HYPERLINK("https://klasma.github.io/Logging_2281/tillsynsmail/A 59895-2024 tillsynsbegäran mail.docx", "A 59895-2024")</f>
        <v/>
      </c>
    </row>
    <row r="1365" ht="15" customHeight="1">
      <c r="A1365" t="inlineStr">
        <is>
          <t>A 59997-2024</t>
        </is>
      </c>
      <c r="B1365" s="1" t="n">
        <v>45642</v>
      </c>
      <c r="C1365" s="1" t="n">
        <v>45657</v>
      </c>
      <c r="D1365" t="inlineStr">
        <is>
          <t>VÄSTERNORRLANDS LÄN</t>
        </is>
      </c>
      <c r="E1365" t="inlineStr">
        <is>
          <t>SOLLEFTEÅ</t>
        </is>
      </c>
      <c r="F1365" t="inlineStr">
        <is>
          <t>SCA</t>
        </is>
      </c>
      <c r="G1365" t="n">
        <v>2.8</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59997-2024 artfynd.xlsx", "A 59997-2024")</f>
        <v/>
      </c>
      <c r="T1365">
        <f>HYPERLINK("https://klasma.github.io/Logging_2283/kartor/A 59997-2024 karta.png", "A 59997-2024")</f>
        <v/>
      </c>
      <c r="V1365">
        <f>HYPERLINK("https://klasma.github.io/Logging_2283/klagomål/A 59997-2024 FSC-klagomål.docx", "A 59997-2024")</f>
        <v/>
      </c>
      <c r="W1365">
        <f>HYPERLINK("https://klasma.github.io/Logging_2283/klagomålsmail/A 59997-2024 FSC-klagomål mail.docx", "A 59997-2024")</f>
        <v/>
      </c>
      <c r="X1365">
        <f>HYPERLINK("https://klasma.github.io/Logging_2283/tillsyn/A 59997-2024 tillsynsbegäran.docx", "A 59997-2024")</f>
        <v/>
      </c>
      <c r="Y1365">
        <f>HYPERLINK("https://klasma.github.io/Logging_2283/tillsynsmail/A 59997-2024 tillsynsbegäran mail.docx", "A 59997-2024")</f>
        <v/>
      </c>
    </row>
    <row r="1366" ht="15" customHeight="1">
      <c r="A1366" t="inlineStr">
        <is>
          <t>A 60444-2024</t>
        </is>
      </c>
      <c r="B1366" s="1" t="n">
        <v>45642</v>
      </c>
      <c r="C1366" s="1" t="n">
        <v>45657</v>
      </c>
      <c r="D1366" t="inlineStr">
        <is>
          <t>VÄSTERNORRLANDS LÄN</t>
        </is>
      </c>
      <c r="E1366" t="inlineStr">
        <is>
          <t>SUNDSVALL</t>
        </is>
      </c>
      <c r="G1366" t="n">
        <v>8.199999999999999</v>
      </c>
      <c r="H1366" t="n">
        <v>1</v>
      </c>
      <c r="I1366" t="n">
        <v>0</v>
      </c>
      <c r="J1366" t="n">
        <v>0</v>
      </c>
      <c r="K1366" t="n">
        <v>0</v>
      </c>
      <c r="L1366" t="n">
        <v>0</v>
      </c>
      <c r="M1366" t="n">
        <v>0</v>
      </c>
      <c r="N1366" t="n">
        <v>0</v>
      </c>
      <c r="O1366" t="n">
        <v>0</v>
      </c>
      <c r="P1366" t="n">
        <v>0</v>
      </c>
      <c r="Q1366" t="n">
        <v>1</v>
      </c>
      <c r="R1366" s="2" t="inlineStr">
        <is>
          <t>Gråspett</t>
        </is>
      </c>
      <c r="S1366">
        <f>HYPERLINK("https://klasma.github.io/Logging_2281/artfynd/A 60444-2024 artfynd.xlsx", "A 60444-2024")</f>
        <v/>
      </c>
      <c r="T1366">
        <f>HYPERLINK("https://klasma.github.io/Logging_2281/kartor/A 60444-2024 karta.png", "A 60444-2024")</f>
        <v/>
      </c>
      <c r="V1366">
        <f>HYPERLINK("https://klasma.github.io/Logging_2281/klagomål/A 60444-2024 FSC-klagomål.docx", "A 60444-2024")</f>
        <v/>
      </c>
      <c r="W1366">
        <f>HYPERLINK("https://klasma.github.io/Logging_2281/klagomålsmail/A 60444-2024 FSC-klagomål mail.docx", "A 60444-2024")</f>
        <v/>
      </c>
      <c r="X1366">
        <f>HYPERLINK("https://klasma.github.io/Logging_2281/tillsyn/A 60444-2024 tillsynsbegäran.docx", "A 60444-2024")</f>
        <v/>
      </c>
      <c r="Y1366">
        <f>HYPERLINK("https://klasma.github.io/Logging_2281/tillsynsmail/A 60444-2024 tillsynsbegäran mail.docx", "A 60444-2024")</f>
        <v/>
      </c>
      <c r="Z1366">
        <f>HYPERLINK("https://klasma.github.io/Logging_2281/fåglar/A 60444-2024 prioriterade fågelarter.docx", "A 60444-2024")</f>
        <v/>
      </c>
    </row>
    <row r="1367" ht="15" customHeight="1">
      <c r="A1367" t="inlineStr">
        <is>
          <t>A 62081-2024</t>
        </is>
      </c>
      <c r="B1367" s="1" t="n">
        <v>45656</v>
      </c>
      <c r="C1367" s="1" t="n">
        <v>45657</v>
      </c>
      <c r="D1367" t="inlineStr">
        <is>
          <t>VÄSTERNORRLANDS LÄN</t>
        </is>
      </c>
      <c r="E1367" t="inlineStr">
        <is>
          <t>TIMRÅ</t>
        </is>
      </c>
      <c r="F1367" t="inlineStr">
        <is>
          <t>SCA</t>
        </is>
      </c>
      <c r="G1367" t="n">
        <v>6.3</v>
      </c>
      <c r="H1367" t="n">
        <v>1</v>
      </c>
      <c r="I1367" t="n">
        <v>0</v>
      </c>
      <c r="J1367" t="n">
        <v>0</v>
      </c>
      <c r="K1367" t="n">
        <v>1</v>
      </c>
      <c r="L1367" t="n">
        <v>0</v>
      </c>
      <c r="M1367" t="n">
        <v>0</v>
      </c>
      <c r="N1367" t="n">
        <v>0</v>
      </c>
      <c r="O1367" t="n">
        <v>1</v>
      </c>
      <c r="P1367" t="n">
        <v>1</v>
      </c>
      <c r="Q1367" t="n">
        <v>1</v>
      </c>
      <c r="R1367" s="2" t="inlineStr">
        <is>
          <t>Knärot</t>
        </is>
      </c>
      <c r="S1367">
        <f>HYPERLINK("https://klasma.github.io/Logging_2262/artfynd/A 62081-2024 artfynd.xlsx", "A 62081-2024")</f>
        <v/>
      </c>
      <c r="T1367">
        <f>HYPERLINK("https://klasma.github.io/Logging_2262/kartor/A 62081-2024 karta.png", "A 62081-2024")</f>
        <v/>
      </c>
      <c r="U1367">
        <f>HYPERLINK("https://klasma.github.io/Logging_2262/knärot/A 62081-2024 karta knärot.png", "A 62081-2024")</f>
        <v/>
      </c>
      <c r="V1367">
        <f>HYPERLINK("https://klasma.github.io/Logging_2262/klagomål/A 62081-2024 FSC-klagomål.docx", "A 62081-2024")</f>
        <v/>
      </c>
      <c r="W1367">
        <f>HYPERLINK("https://klasma.github.io/Logging_2262/klagomålsmail/A 62081-2024 FSC-klagomål mail.docx", "A 62081-2024")</f>
        <v/>
      </c>
      <c r="X1367">
        <f>HYPERLINK("https://klasma.github.io/Logging_2262/tillsyn/A 62081-2024 tillsynsbegäran.docx", "A 62081-2024")</f>
        <v/>
      </c>
      <c r="Y1367">
        <f>HYPERLINK("https://klasma.github.io/Logging_2262/tillsynsmail/A 62081-2024 tillsynsbegäran mail.docx", "A 62081-2024")</f>
        <v/>
      </c>
    </row>
    <row r="1368" ht="15" customHeight="1">
      <c r="A1368" t="inlineStr">
        <is>
          <t>A 17742-2019</t>
        </is>
      </c>
      <c r="B1368" s="1" t="n">
        <v>43556</v>
      </c>
      <c r="C1368" s="1" t="n">
        <v>45657</v>
      </c>
      <c r="D1368" t="inlineStr">
        <is>
          <t>VÄSTERNORRLANDS LÄN</t>
        </is>
      </c>
      <c r="E1368" t="inlineStr">
        <is>
          <t>ÖRNSKÖLDSVIK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18019-2019</t>
        </is>
      </c>
      <c r="B1369" s="1" t="n">
        <v>43556</v>
      </c>
      <c r="C1369" s="1" t="n">
        <v>45657</v>
      </c>
      <c r="D1369" t="inlineStr">
        <is>
          <t>VÄSTERNORRLANDS LÄN</t>
        </is>
      </c>
      <c r="E1369" t="inlineStr">
        <is>
          <t>ÖRNSKÖLDSVIK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17854-2019</t>
        </is>
      </c>
      <c r="B1370" s="1" t="n">
        <v>43556</v>
      </c>
      <c r="C1370" s="1" t="n">
        <v>45657</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17858-2019</t>
        </is>
      </c>
      <c r="B1371" s="1" t="n">
        <v>43556</v>
      </c>
      <c r="C1371" s="1" t="n">
        <v>45657</v>
      </c>
      <c r="D1371" t="inlineStr">
        <is>
          <t>VÄSTERNORRLANDS LÄN</t>
        </is>
      </c>
      <c r="E1371" t="inlineStr">
        <is>
          <t>TIMRÅ</t>
        </is>
      </c>
      <c r="F1371" t="inlineStr">
        <is>
          <t>SCA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17857-2019</t>
        </is>
      </c>
      <c r="B1372" s="1" t="n">
        <v>43556</v>
      </c>
      <c r="C1372" s="1" t="n">
        <v>45657</v>
      </c>
      <c r="D1372" t="inlineStr">
        <is>
          <t>VÄSTERNORRLANDS LÄN</t>
        </is>
      </c>
      <c r="E1372" t="inlineStr">
        <is>
          <t>ÅNGE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17764-2019</t>
        </is>
      </c>
      <c r="B1373" s="1" t="n">
        <v>43556</v>
      </c>
      <c r="C1373" s="1" t="n">
        <v>45657</v>
      </c>
      <c r="D1373" t="inlineStr">
        <is>
          <t>VÄSTERNORRLANDS LÄN</t>
        </is>
      </c>
      <c r="E1373" t="inlineStr">
        <is>
          <t>ÅNGE</t>
        </is>
      </c>
      <c r="F1373" t="inlineStr">
        <is>
          <t>Kyrkan</t>
        </is>
      </c>
      <c r="G1373" t="n">
        <v>20.7</v>
      </c>
      <c r="H1373" t="n">
        <v>0</v>
      </c>
      <c r="I1373" t="n">
        <v>0</v>
      </c>
      <c r="J1373" t="n">
        <v>0</v>
      </c>
      <c r="K1373" t="n">
        <v>0</v>
      </c>
      <c r="L1373" t="n">
        <v>0</v>
      </c>
      <c r="M1373" t="n">
        <v>0</v>
      </c>
      <c r="N1373" t="n">
        <v>0</v>
      </c>
      <c r="O1373" t="n">
        <v>0</v>
      </c>
      <c r="P1373" t="n">
        <v>0</v>
      </c>
      <c r="Q1373" t="n">
        <v>0</v>
      </c>
      <c r="R1373" s="2" t="inlineStr"/>
    </row>
    <row r="1374" ht="15" customHeight="1">
      <c r="A1374" t="inlineStr">
        <is>
          <t>A 18171-2019</t>
        </is>
      </c>
      <c r="B1374" s="1" t="n">
        <v>43556</v>
      </c>
      <c r="C1374" s="1" t="n">
        <v>45657</v>
      </c>
      <c r="D1374" t="inlineStr">
        <is>
          <t>VÄSTERNORRLANDS LÄN</t>
        </is>
      </c>
      <c r="E1374" t="inlineStr">
        <is>
          <t>ÖRNSKÖLDSVIK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18070-2019</t>
        </is>
      </c>
      <c r="B1375" s="1" t="n">
        <v>43557</v>
      </c>
      <c r="C1375" s="1" t="n">
        <v>45657</v>
      </c>
      <c r="D1375" t="inlineStr">
        <is>
          <t>VÄSTERNORRLANDS LÄN</t>
        </is>
      </c>
      <c r="E1375" t="inlineStr">
        <is>
          <t>SUNDSVALL</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18277-2019</t>
        </is>
      </c>
      <c r="B1376" s="1" t="n">
        <v>43557</v>
      </c>
      <c r="C1376" s="1" t="n">
        <v>45657</v>
      </c>
      <c r="D1376" t="inlineStr">
        <is>
          <t>VÄSTERNORRLANDS LÄN</t>
        </is>
      </c>
      <c r="E1376" t="inlineStr">
        <is>
          <t>SOLLEFTEÅ</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18026-2019</t>
        </is>
      </c>
      <c r="B1377" s="1" t="n">
        <v>43557</v>
      </c>
      <c r="C1377" s="1" t="n">
        <v>45657</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18069-2019</t>
        </is>
      </c>
      <c r="B1378" s="1" t="n">
        <v>43557</v>
      </c>
      <c r="C1378" s="1" t="n">
        <v>45657</v>
      </c>
      <c r="D1378" t="inlineStr">
        <is>
          <t>VÄSTERNORRLANDS LÄN</t>
        </is>
      </c>
      <c r="E1378" t="inlineStr">
        <is>
          <t>ÅNGE</t>
        </is>
      </c>
      <c r="F1378" t="inlineStr">
        <is>
          <t>SCA</t>
        </is>
      </c>
      <c r="G1378" t="n">
        <v>21.2</v>
      </c>
      <c r="H1378" t="n">
        <v>0</v>
      </c>
      <c r="I1378" t="n">
        <v>0</v>
      </c>
      <c r="J1378" t="n">
        <v>0</v>
      </c>
      <c r="K1378" t="n">
        <v>0</v>
      </c>
      <c r="L1378" t="n">
        <v>0</v>
      </c>
      <c r="M1378" t="n">
        <v>0</v>
      </c>
      <c r="N1378" t="n">
        <v>0</v>
      </c>
      <c r="O1378" t="n">
        <v>0</v>
      </c>
      <c r="P1378" t="n">
        <v>0</v>
      </c>
      <c r="Q1378" t="n">
        <v>0</v>
      </c>
      <c r="R1378" s="2" t="inlineStr"/>
    </row>
    <row r="1379" ht="15" customHeight="1">
      <c r="A1379" t="inlineStr">
        <is>
          <t>A 18198-2019</t>
        </is>
      </c>
      <c r="B1379" s="1" t="n">
        <v>43558</v>
      </c>
      <c r="C1379" s="1" t="n">
        <v>45657</v>
      </c>
      <c r="D1379" t="inlineStr">
        <is>
          <t>VÄSTERNORRLANDS LÄN</t>
        </is>
      </c>
      <c r="E1379" t="inlineStr">
        <is>
          <t>SUNDSVALL</t>
        </is>
      </c>
      <c r="F1379" t="inlineStr">
        <is>
          <t>Holmen skog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18578-2019</t>
        </is>
      </c>
      <c r="B1380" s="1" t="n">
        <v>43558</v>
      </c>
      <c r="C1380" s="1" t="n">
        <v>45657</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18304-2019</t>
        </is>
      </c>
      <c r="B1381" s="1" t="n">
        <v>43558</v>
      </c>
      <c r="C1381" s="1" t="n">
        <v>45657</v>
      </c>
      <c r="D1381" t="inlineStr">
        <is>
          <t>VÄSTERNORRLANDS LÄN</t>
        </is>
      </c>
      <c r="E1381" t="inlineStr">
        <is>
          <t>ÅNGE</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18687-2019</t>
        </is>
      </c>
      <c r="B1382" s="1" t="n">
        <v>43559</v>
      </c>
      <c r="C1382" s="1" t="n">
        <v>45657</v>
      </c>
      <c r="D1382" t="inlineStr">
        <is>
          <t>VÄSTERNORRLANDS LÄN</t>
        </is>
      </c>
      <c r="E1382" t="inlineStr">
        <is>
          <t>ÖRNSKÖLDSVIK</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18683-2019</t>
        </is>
      </c>
      <c r="B1383" s="1" t="n">
        <v>43559</v>
      </c>
      <c r="C1383" s="1" t="n">
        <v>45657</v>
      </c>
      <c r="D1383" t="inlineStr">
        <is>
          <t>VÄSTERNORRLANDS LÄN</t>
        </is>
      </c>
      <c r="E1383" t="inlineStr">
        <is>
          <t>ÖRNSKÖLDSVIK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18703-2019</t>
        </is>
      </c>
      <c r="B1384" s="1" t="n">
        <v>43559</v>
      </c>
      <c r="C1384" s="1" t="n">
        <v>45657</v>
      </c>
      <c r="D1384" t="inlineStr">
        <is>
          <t>VÄSTERNORRLANDS LÄN</t>
        </is>
      </c>
      <c r="E1384" t="inlineStr">
        <is>
          <t>TIMRÅ</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18720-2019</t>
        </is>
      </c>
      <c r="B1385" s="1" t="n">
        <v>43560</v>
      </c>
      <c r="C1385" s="1" t="n">
        <v>45657</v>
      </c>
      <c r="D1385" t="inlineStr">
        <is>
          <t>VÄSTERNORRLANDS LÄN</t>
        </is>
      </c>
      <c r="E1385" t="inlineStr">
        <is>
          <t>HÄRNÖSAND</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18745-2019</t>
        </is>
      </c>
      <c r="B1386" s="1" t="n">
        <v>43560</v>
      </c>
      <c r="C1386" s="1" t="n">
        <v>45657</v>
      </c>
      <c r="D1386" t="inlineStr">
        <is>
          <t>VÄSTERNORRLANDS LÄN</t>
        </is>
      </c>
      <c r="E1386" t="inlineStr">
        <is>
          <t>SUNDSVALL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18643-2019</t>
        </is>
      </c>
      <c r="B1387" s="1" t="n">
        <v>43560</v>
      </c>
      <c r="C1387" s="1" t="n">
        <v>45657</v>
      </c>
      <c r="D1387" t="inlineStr">
        <is>
          <t>VÄSTERNORRLANDS LÄN</t>
        </is>
      </c>
      <c r="E1387" t="inlineStr">
        <is>
          <t>ÖRNSKÖLDSVIK</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18789-2019</t>
        </is>
      </c>
      <c r="B1388" s="1" t="n">
        <v>43562</v>
      </c>
      <c r="C1388" s="1" t="n">
        <v>45657</v>
      </c>
      <c r="D1388" t="inlineStr">
        <is>
          <t>VÄSTERNORRLANDS LÄN</t>
        </is>
      </c>
      <c r="E1388" t="inlineStr">
        <is>
          <t>ÖRNSKÖLDSVIK</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18925-2019</t>
        </is>
      </c>
      <c r="B1389" s="1" t="n">
        <v>43563</v>
      </c>
      <c r="C1389" s="1" t="n">
        <v>45657</v>
      </c>
      <c r="D1389" t="inlineStr">
        <is>
          <t>VÄSTERNORRLANDS LÄN</t>
        </is>
      </c>
      <c r="E1389" t="inlineStr">
        <is>
          <t>SOLLEFTEÅ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18842-2019</t>
        </is>
      </c>
      <c r="B1390" s="1" t="n">
        <v>43563</v>
      </c>
      <c r="C1390" s="1" t="n">
        <v>45657</v>
      </c>
      <c r="D1390" t="inlineStr">
        <is>
          <t>VÄSTERNORRLANDS LÄN</t>
        </is>
      </c>
      <c r="E1390" t="inlineStr">
        <is>
          <t>KRAMFORS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19008-2019</t>
        </is>
      </c>
      <c r="B1391" s="1" t="n">
        <v>43563</v>
      </c>
      <c r="C1391" s="1" t="n">
        <v>45657</v>
      </c>
      <c r="D1391" t="inlineStr">
        <is>
          <t>VÄSTERNORRLANDS LÄN</t>
        </is>
      </c>
      <c r="E1391" t="inlineStr">
        <is>
          <t>ÅNGE</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19123-2019</t>
        </is>
      </c>
      <c r="B1392" s="1" t="n">
        <v>43564</v>
      </c>
      <c r="C1392" s="1" t="n">
        <v>45657</v>
      </c>
      <c r="D1392" t="inlineStr">
        <is>
          <t>VÄSTERNORRLANDS LÄN</t>
        </is>
      </c>
      <c r="E1392" t="inlineStr">
        <is>
          <t>SOLLEFTEÅ</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19273-2019</t>
        </is>
      </c>
      <c r="B1393" s="1" t="n">
        <v>43564</v>
      </c>
      <c r="C1393" s="1" t="n">
        <v>45657</v>
      </c>
      <c r="D1393" t="inlineStr">
        <is>
          <t>VÄSTERNORRLANDS LÄN</t>
        </is>
      </c>
      <c r="E1393" t="inlineStr">
        <is>
          <t>ÅNGE</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19274-2019</t>
        </is>
      </c>
      <c r="B1394" s="1" t="n">
        <v>43564</v>
      </c>
      <c r="C1394" s="1" t="n">
        <v>45657</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19219-2019</t>
        </is>
      </c>
      <c r="B1395" s="1" t="n">
        <v>43564</v>
      </c>
      <c r="C1395" s="1" t="n">
        <v>45657</v>
      </c>
      <c r="D1395" t="inlineStr">
        <is>
          <t>VÄSTERNORRLANDS LÄN</t>
        </is>
      </c>
      <c r="E1395" t="inlineStr">
        <is>
          <t>SOLLEFTEÅ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19254-2019</t>
        </is>
      </c>
      <c r="B1396" s="1" t="n">
        <v>43564</v>
      </c>
      <c r="C1396" s="1" t="n">
        <v>45657</v>
      </c>
      <c r="D1396" t="inlineStr">
        <is>
          <t>VÄSTERNORRLANDS LÄN</t>
        </is>
      </c>
      <c r="E1396" t="inlineStr">
        <is>
          <t>KRAMFORS</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19266-2019</t>
        </is>
      </c>
      <c r="B1397" s="1" t="n">
        <v>43564</v>
      </c>
      <c r="C1397" s="1" t="n">
        <v>45657</v>
      </c>
      <c r="D1397" t="inlineStr">
        <is>
          <t>VÄSTERNORRLANDS LÄN</t>
        </is>
      </c>
      <c r="E1397" t="inlineStr">
        <is>
          <t>ÅNGE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19341-2019</t>
        </is>
      </c>
      <c r="B1398" s="1" t="n">
        <v>43564</v>
      </c>
      <c r="C1398" s="1" t="n">
        <v>45657</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19270-2019</t>
        </is>
      </c>
      <c r="B1399" s="1" t="n">
        <v>43564</v>
      </c>
      <c r="C1399" s="1" t="n">
        <v>45657</v>
      </c>
      <c r="D1399" t="inlineStr">
        <is>
          <t>VÄSTERNORRLANDS LÄN</t>
        </is>
      </c>
      <c r="E1399" t="inlineStr">
        <is>
          <t>ÅNGE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19310-2019</t>
        </is>
      </c>
      <c r="B1400" s="1" t="n">
        <v>43565</v>
      </c>
      <c r="C1400" s="1" t="n">
        <v>45657</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19544-2019</t>
        </is>
      </c>
      <c r="B1401" s="1" t="n">
        <v>43565</v>
      </c>
      <c r="C1401" s="1" t="n">
        <v>45657</v>
      </c>
      <c r="D1401" t="inlineStr">
        <is>
          <t>VÄSTERNORRLANDS LÄN</t>
        </is>
      </c>
      <c r="E1401" t="inlineStr">
        <is>
          <t>SUNDSVALL</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19551-2019</t>
        </is>
      </c>
      <c r="B1402" s="1" t="n">
        <v>43565</v>
      </c>
      <c r="C1402" s="1" t="n">
        <v>45657</v>
      </c>
      <c r="D1402" t="inlineStr">
        <is>
          <t>VÄSTERNORRLANDS LÄN</t>
        </is>
      </c>
      <c r="E1402" t="inlineStr">
        <is>
          <t>SUNDSVALL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19547-2019</t>
        </is>
      </c>
      <c r="B1403" s="1" t="n">
        <v>43565</v>
      </c>
      <c r="C1403" s="1" t="n">
        <v>45657</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19580-2019</t>
        </is>
      </c>
      <c r="B1404" s="1" t="n">
        <v>43565</v>
      </c>
      <c r="C1404" s="1" t="n">
        <v>45657</v>
      </c>
      <c r="D1404" t="inlineStr">
        <is>
          <t>VÄSTERNORRLANDS LÄN</t>
        </is>
      </c>
      <c r="E1404" t="inlineStr">
        <is>
          <t>ÖRNSKÖLDSVIK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19553-2019</t>
        </is>
      </c>
      <c r="B1405" s="1" t="n">
        <v>43565</v>
      </c>
      <c r="C1405" s="1" t="n">
        <v>45657</v>
      </c>
      <c r="D1405" t="inlineStr">
        <is>
          <t>VÄSTERNORRLANDS LÄN</t>
        </is>
      </c>
      <c r="E1405" t="inlineStr">
        <is>
          <t>SOLLEFTEÅ</t>
        </is>
      </c>
      <c r="G1405" t="n">
        <v>28.1</v>
      </c>
      <c r="H1405" t="n">
        <v>0</v>
      </c>
      <c r="I1405" t="n">
        <v>0</v>
      </c>
      <c r="J1405" t="n">
        <v>0</v>
      </c>
      <c r="K1405" t="n">
        <v>0</v>
      </c>
      <c r="L1405" t="n">
        <v>0</v>
      </c>
      <c r="M1405" t="n">
        <v>0</v>
      </c>
      <c r="N1405" t="n">
        <v>0</v>
      </c>
      <c r="O1405" t="n">
        <v>0</v>
      </c>
      <c r="P1405" t="n">
        <v>0</v>
      </c>
      <c r="Q1405" t="n">
        <v>0</v>
      </c>
      <c r="R1405" s="2" t="inlineStr"/>
    </row>
    <row r="1406" ht="15" customHeight="1">
      <c r="A1406" t="inlineStr">
        <is>
          <t>A 19545-2019</t>
        </is>
      </c>
      <c r="B1406" s="1" t="n">
        <v>43565</v>
      </c>
      <c r="C1406" s="1" t="n">
        <v>45657</v>
      </c>
      <c r="D1406" t="inlineStr">
        <is>
          <t>VÄSTERNORRLANDS LÄN</t>
        </is>
      </c>
      <c r="E1406" t="inlineStr">
        <is>
          <t>SUNDSVALL</t>
        </is>
      </c>
      <c r="F1406" t="inlineStr">
        <is>
          <t>SCA</t>
        </is>
      </c>
      <c r="G1406" t="n">
        <v>28.6</v>
      </c>
      <c r="H1406" t="n">
        <v>0</v>
      </c>
      <c r="I1406" t="n">
        <v>0</v>
      </c>
      <c r="J1406" t="n">
        <v>0</v>
      </c>
      <c r="K1406" t="n">
        <v>0</v>
      </c>
      <c r="L1406" t="n">
        <v>0</v>
      </c>
      <c r="M1406" t="n">
        <v>0</v>
      </c>
      <c r="N1406" t="n">
        <v>0</v>
      </c>
      <c r="O1406" t="n">
        <v>0</v>
      </c>
      <c r="P1406" t="n">
        <v>0</v>
      </c>
      <c r="Q1406" t="n">
        <v>0</v>
      </c>
      <c r="R1406" s="2" t="inlineStr"/>
    </row>
    <row r="1407" ht="15" customHeight="1">
      <c r="A1407" t="inlineStr">
        <is>
          <t>A 19548-2019</t>
        </is>
      </c>
      <c r="B1407" s="1" t="n">
        <v>43565</v>
      </c>
      <c r="C1407" s="1" t="n">
        <v>45657</v>
      </c>
      <c r="D1407" t="inlineStr">
        <is>
          <t>VÄSTERNORRLANDS LÄN</t>
        </is>
      </c>
      <c r="E1407" t="inlineStr">
        <is>
          <t>SUNDSVALL</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19667-2019</t>
        </is>
      </c>
      <c r="B1408" s="1" t="n">
        <v>43565</v>
      </c>
      <c r="C1408" s="1" t="n">
        <v>45657</v>
      </c>
      <c r="D1408" t="inlineStr">
        <is>
          <t>VÄSTERNORRLANDS LÄN</t>
        </is>
      </c>
      <c r="E1408" t="inlineStr">
        <is>
          <t>ÖRNSKÖLDSVIK</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19730-2019</t>
        </is>
      </c>
      <c r="B1409" s="1" t="n">
        <v>43566</v>
      </c>
      <c r="C1409" s="1" t="n">
        <v>45657</v>
      </c>
      <c r="D1409" t="inlineStr">
        <is>
          <t>VÄSTERNORRLANDS LÄN</t>
        </is>
      </c>
      <c r="E1409" t="inlineStr">
        <is>
          <t>SOLLEFTEÅ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19595-2019</t>
        </is>
      </c>
      <c r="B1410" s="1" t="n">
        <v>43566</v>
      </c>
      <c r="C1410" s="1" t="n">
        <v>45657</v>
      </c>
      <c r="D1410" t="inlineStr">
        <is>
          <t>VÄSTERNORRLANDS LÄN</t>
        </is>
      </c>
      <c r="E1410" t="inlineStr">
        <is>
          <t>SOLLEFTEÅ</t>
        </is>
      </c>
      <c r="F1410" t="inlineStr">
        <is>
          <t>Kyrkan</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19732-2019</t>
        </is>
      </c>
      <c r="B1411" s="1" t="n">
        <v>43566</v>
      </c>
      <c r="C1411" s="1" t="n">
        <v>45657</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19731-2019</t>
        </is>
      </c>
      <c r="B1412" s="1" t="n">
        <v>43566</v>
      </c>
      <c r="C1412" s="1" t="n">
        <v>45657</v>
      </c>
      <c r="D1412" t="inlineStr">
        <is>
          <t>VÄSTERNORRLANDS LÄN</t>
        </is>
      </c>
      <c r="E1412" t="inlineStr">
        <is>
          <t>SOLLEFTEÅ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19813-2019</t>
        </is>
      </c>
      <c r="B1413" s="1" t="n">
        <v>43567</v>
      </c>
      <c r="C1413" s="1" t="n">
        <v>45657</v>
      </c>
      <c r="D1413" t="inlineStr">
        <is>
          <t>VÄSTERNORRLANDS LÄN</t>
        </is>
      </c>
      <c r="E1413" t="inlineStr">
        <is>
          <t>KRAMFORS</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20062-2019</t>
        </is>
      </c>
      <c r="B1414" s="1" t="n">
        <v>43570</v>
      </c>
      <c r="C1414" s="1" t="n">
        <v>45657</v>
      </c>
      <c r="D1414" t="inlineStr">
        <is>
          <t>VÄSTERNORRLANDS LÄN</t>
        </is>
      </c>
      <c r="E1414" t="inlineStr">
        <is>
          <t>ÅNGE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20201-2019</t>
        </is>
      </c>
      <c r="B1415" s="1" t="n">
        <v>43570</v>
      </c>
      <c r="C1415" s="1" t="n">
        <v>45657</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20205-2019</t>
        </is>
      </c>
      <c r="B1416" s="1" t="n">
        <v>43570</v>
      </c>
      <c r="C1416" s="1" t="n">
        <v>45657</v>
      </c>
      <c r="D1416" t="inlineStr">
        <is>
          <t>VÄSTERNORRLANDS LÄN</t>
        </is>
      </c>
      <c r="E1416" t="inlineStr">
        <is>
          <t>TIMRÅ</t>
        </is>
      </c>
      <c r="F1416" t="inlineStr">
        <is>
          <t>SCA</t>
        </is>
      </c>
      <c r="G1416" t="n">
        <v>29.1</v>
      </c>
      <c r="H1416" t="n">
        <v>0</v>
      </c>
      <c r="I1416" t="n">
        <v>0</v>
      </c>
      <c r="J1416" t="n">
        <v>0</v>
      </c>
      <c r="K1416" t="n">
        <v>0</v>
      </c>
      <c r="L1416" t="n">
        <v>0</v>
      </c>
      <c r="M1416" t="n">
        <v>0</v>
      </c>
      <c r="N1416" t="n">
        <v>0</v>
      </c>
      <c r="O1416" t="n">
        <v>0</v>
      </c>
      <c r="P1416" t="n">
        <v>0</v>
      </c>
      <c r="Q1416" t="n">
        <v>0</v>
      </c>
      <c r="R1416" s="2" t="inlineStr"/>
    </row>
    <row r="1417" ht="15" customHeight="1">
      <c r="A1417" t="inlineStr">
        <is>
          <t>A 20198-2019</t>
        </is>
      </c>
      <c r="B1417" s="1" t="n">
        <v>43570</v>
      </c>
      <c r="C1417" s="1" t="n">
        <v>45657</v>
      </c>
      <c r="D1417" t="inlineStr">
        <is>
          <t>VÄSTERNORRLANDS LÄN</t>
        </is>
      </c>
      <c r="E1417" t="inlineStr">
        <is>
          <t>SOLLEFTEÅ</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20102-2019</t>
        </is>
      </c>
      <c r="B1418" s="1" t="n">
        <v>43570</v>
      </c>
      <c r="C1418" s="1" t="n">
        <v>45657</v>
      </c>
      <c r="D1418" t="inlineStr">
        <is>
          <t>VÄSTERNORRLANDS LÄN</t>
        </is>
      </c>
      <c r="E1418" t="inlineStr">
        <is>
          <t>ÅNGE</t>
        </is>
      </c>
      <c r="F1418" t="inlineStr">
        <is>
          <t>Övriga Aktiebolag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20200-2019</t>
        </is>
      </c>
      <c r="B1419" s="1" t="n">
        <v>43570</v>
      </c>
      <c r="C1419" s="1" t="n">
        <v>45657</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20397-2019</t>
        </is>
      </c>
      <c r="B1420" s="1" t="n">
        <v>43571</v>
      </c>
      <c r="C1420" s="1" t="n">
        <v>45657</v>
      </c>
      <c r="D1420" t="inlineStr">
        <is>
          <t>VÄSTERNORRLANDS LÄN</t>
        </is>
      </c>
      <c r="E1420" t="inlineStr">
        <is>
          <t>ÅNGE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21257-2019</t>
        </is>
      </c>
      <c r="B1421" s="1" t="n">
        <v>43571</v>
      </c>
      <c r="C1421" s="1" t="n">
        <v>45657</v>
      </c>
      <c r="D1421" t="inlineStr">
        <is>
          <t>VÄSTERNORRLANDS LÄN</t>
        </is>
      </c>
      <c r="E1421" t="inlineStr">
        <is>
          <t>HÄRNÖSAND</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20444-2019</t>
        </is>
      </c>
      <c r="B1422" s="1" t="n">
        <v>43571</v>
      </c>
      <c r="C1422" s="1" t="n">
        <v>45657</v>
      </c>
      <c r="D1422" t="inlineStr">
        <is>
          <t>VÄSTERNORRLANDS LÄN</t>
        </is>
      </c>
      <c r="E1422" t="inlineStr">
        <is>
          <t>SOLLEFTEÅ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21268-2019</t>
        </is>
      </c>
      <c r="B1423" s="1" t="n">
        <v>43571</v>
      </c>
      <c r="C1423" s="1" t="n">
        <v>45657</v>
      </c>
      <c r="D1423" t="inlineStr">
        <is>
          <t>VÄSTERNORRLANDS LÄN</t>
        </is>
      </c>
      <c r="E1423" t="inlineStr">
        <is>
          <t>HÄRNÖSAND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20400-2019</t>
        </is>
      </c>
      <c r="B1424" s="1" t="n">
        <v>43571</v>
      </c>
      <c r="C1424" s="1" t="n">
        <v>45657</v>
      </c>
      <c r="D1424" t="inlineStr">
        <is>
          <t>VÄSTERNORRLANDS LÄN</t>
        </is>
      </c>
      <c r="E1424" t="inlineStr">
        <is>
          <t>ÅNGE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21256-2019</t>
        </is>
      </c>
      <c r="B1425" s="1" t="n">
        <v>43571</v>
      </c>
      <c r="C1425" s="1" t="n">
        <v>45657</v>
      </c>
      <c r="D1425" t="inlineStr">
        <is>
          <t>VÄSTERNORRLANDS LÄN</t>
        </is>
      </c>
      <c r="E1425" t="inlineStr">
        <is>
          <t>HÄRNÖSAND</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21255-2019</t>
        </is>
      </c>
      <c r="B1426" s="1" t="n">
        <v>43571</v>
      </c>
      <c r="C1426" s="1" t="n">
        <v>45657</v>
      </c>
      <c r="D1426" t="inlineStr">
        <is>
          <t>VÄSTERNORRLANDS LÄN</t>
        </is>
      </c>
      <c r="E1426" t="inlineStr">
        <is>
          <t>HÄRNÖSAND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20439-2019</t>
        </is>
      </c>
      <c r="B1427" s="1" t="n">
        <v>43571</v>
      </c>
      <c r="C1427" s="1" t="n">
        <v>45657</v>
      </c>
      <c r="D1427" t="inlineStr">
        <is>
          <t>VÄSTERNORRLANDS LÄN</t>
        </is>
      </c>
      <c r="E1427" t="inlineStr">
        <is>
          <t>ÖRNSKÖLDSVIK</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21261-2019</t>
        </is>
      </c>
      <c r="B1428" s="1" t="n">
        <v>43571</v>
      </c>
      <c r="C1428" s="1" t="n">
        <v>45657</v>
      </c>
      <c r="D1428" t="inlineStr">
        <is>
          <t>VÄSTERNORRLANDS LÄN</t>
        </is>
      </c>
      <c r="E1428" t="inlineStr">
        <is>
          <t>HÄRNÖSAND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20563-2019</t>
        </is>
      </c>
      <c r="B1429" s="1" t="n">
        <v>43572</v>
      </c>
      <c r="C1429" s="1" t="n">
        <v>45657</v>
      </c>
      <c r="D1429" t="inlineStr">
        <is>
          <t>VÄSTERNORRLANDS LÄN</t>
        </is>
      </c>
      <c r="E1429" t="inlineStr">
        <is>
          <t>SUNDSVALL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20600-2019</t>
        </is>
      </c>
      <c r="B1430" s="1" t="n">
        <v>43572</v>
      </c>
      <c r="C1430" s="1" t="n">
        <v>45657</v>
      </c>
      <c r="D1430" t="inlineStr">
        <is>
          <t>VÄSTERNORRLANDS LÄN</t>
        </is>
      </c>
      <c r="E1430" t="inlineStr">
        <is>
          <t>ÅNGE</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20649-2019</t>
        </is>
      </c>
      <c r="B1431" s="1" t="n">
        <v>43572</v>
      </c>
      <c r="C1431" s="1" t="n">
        <v>45657</v>
      </c>
      <c r="D1431" t="inlineStr">
        <is>
          <t>VÄSTERNORRLANDS LÄN</t>
        </is>
      </c>
      <c r="E1431" t="inlineStr">
        <is>
          <t>SOLLEFTEÅ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20648-2019</t>
        </is>
      </c>
      <c r="B1432" s="1" t="n">
        <v>43572</v>
      </c>
      <c r="C1432" s="1" t="n">
        <v>45657</v>
      </c>
      <c r="D1432" t="inlineStr">
        <is>
          <t>VÄSTERNORRLANDS LÄN</t>
        </is>
      </c>
      <c r="E1432" t="inlineStr">
        <is>
          <t>SOLLEFTEÅ</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20591-2019</t>
        </is>
      </c>
      <c r="B1433" s="1" t="n">
        <v>43572</v>
      </c>
      <c r="C1433" s="1" t="n">
        <v>45657</v>
      </c>
      <c r="D1433" t="inlineStr">
        <is>
          <t>VÄSTERNORRLANDS LÄN</t>
        </is>
      </c>
      <c r="E1433" t="inlineStr">
        <is>
          <t>TIMRÅ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20653-2019</t>
        </is>
      </c>
      <c r="B1434" s="1" t="n">
        <v>43572</v>
      </c>
      <c r="C1434" s="1" t="n">
        <v>45657</v>
      </c>
      <c r="D1434" t="inlineStr">
        <is>
          <t>VÄSTERNORRLANDS LÄN</t>
        </is>
      </c>
      <c r="E1434" t="inlineStr">
        <is>
          <t>KRAMFORS</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20651-2019</t>
        </is>
      </c>
      <c r="B1435" s="1" t="n">
        <v>43572</v>
      </c>
      <c r="C1435" s="1" t="n">
        <v>45657</v>
      </c>
      <c r="D1435" t="inlineStr">
        <is>
          <t>VÄSTERNORRLANDS LÄN</t>
        </is>
      </c>
      <c r="E1435" t="inlineStr">
        <is>
          <t>SUNDSVALL</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20640-2019</t>
        </is>
      </c>
      <c r="B1436" s="1" t="n">
        <v>43572</v>
      </c>
      <c r="C1436" s="1" t="n">
        <v>45657</v>
      </c>
      <c r="D1436" t="inlineStr">
        <is>
          <t>VÄSTERNORRLANDS LÄN</t>
        </is>
      </c>
      <c r="E1436" t="inlineStr">
        <is>
          <t>HÄRNÖSAND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20641-2019</t>
        </is>
      </c>
      <c r="B1437" s="1" t="n">
        <v>43572</v>
      </c>
      <c r="C1437" s="1" t="n">
        <v>45657</v>
      </c>
      <c r="D1437" t="inlineStr">
        <is>
          <t>VÄSTERNORRLANDS LÄN</t>
        </is>
      </c>
      <c r="E1437" t="inlineStr">
        <is>
          <t>HÄRNÖSAND</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20867-2019</t>
        </is>
      </c>
      <c r="B1438" s="1" t="n">
        <v>43578</v>
      </c>
      <c r="C1438" s="1" t="n">
        <v>45657</v>
      </c>
      <c r="D1438" t="inlineStr">
        <is>
          <t>VÄSTERNORRLANDS LÄN</t>
        </is>
      </c>
      <c r="E1438" t="inlineStr">
        <is>
          <t>HÄRNÖSAND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20893-2019</t>
        </is>
      </c>
      <c r="B1439" s="1" t="n">
        <v>43578</v>
      </c>
      <c r="C1439" s="1" t="n">
        <v>45657</v>
      </c>
      <c r="D1439" t="inlineStr">
        <is>
          <t>VÄSTERNORRLANDS LÄN</t>
        </is>
      </c>
      <c r="E1439" t="inlineStr">
        <is>
          <t>KRAMFORS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21533-2019</t>
        </is>
      </c>
      <c r="B1440" s="1" t="n">
        <v>43578</v>
      </c>
      <c r="C1440" s="1" t="n">
        <v>45657</v>
      </c>
      <c r="D1440" t="inlineStr">
        <is>
          <t>VÄSTERNORRLANDS LÄN</t>
        </is>
      </c>
      <c r="E1440" t="inlineStr">
        <is>
          <t>ÖRNSKÖLDSVIK</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21119-2019</t>
        </is>
      </c>
      <c r="B1441" s="1" t="n">
        <v>43578</v>
      </c>
      <c r="C1441" s="1" t="n">
        <v>45657</v>
      </c>
      <c r="D1441" t="inlineStr">
        <is>
          <t>VÄSTERNORRLANDS LÄN</t>
        </is>
      </c>
      <c r="E1441" t="inlineStr">
        <is>
          <t>SOLLEFTEÅ</t>
        </is>
      </c>
      <c r="F1441" t="inlineStr">
        <is>
          <t>SCA</t>
        </is>
      </c>
      <c r="G1441" t="n">
        <v>57.7</v>
      </c>
      <c r="H1441" t="n">
        <v>0</v>
      </c>
      <c r="I1441" t="n">
        <v>0</v>
      </c>
      <c r="J1441" t="n">
        <v>0</v>
      </c>
      <c r="K1441" t="n">
        <v>0</v>
      </c>
      <c r="L1441" t="n">
        <v>0</v>
      </c>
      <c r="M1441" t="n">
        <v>0</v>
      </c>
      <c r="N1441" t="n">
        <v>0</v>
      </c>
      <c r="O1441" t="n">
        <v>0</v>
      </c>
      <c r="P1441" t="n">
        <v>0</v>
      </c>
      <c r="Q1441" t="n">
        <v>0</v>
      </c>
      <c r="R1441" s="2" t="inlineStr"/>
    </row>
    <row r="1442" ht="15" customHeight="1">
      <c r="A1442" t="inlineStr">
        <is>
          <t>A 21375-2019</t>
        </is>
      </c>
      <c r="B1442" s="1" t="n">
        <v>43579</v>
      </c>
      <c r="C1442" s="1" t="n">
        <v>45657</v>
      </c>
      <c r="D1442" t="inlineStr">
        <is>
          <t>VÄSTERNORRLANDS LÄN</t>
        </is>
      </c>
      <c r="E1442" t="inlineStr">
        <is>
          <t>ÅNGE</t>
        </is>
      </c>
      <c r="F1442" t="inlineStr">
        <is>
          <t>SCA</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21570-2019</t>
        </is>
      </c>
      <c r="B1443" s="1" t="n">
        <v>43580</v>
      </c>
      <c r="C1443" s="1" t="n">
        <v>45657</v>
      </c>
      <c r="D1443" t="inlineStr">
        <is>
          <t>VÄSTERNORRLANDS LÄN</t>
        </is>
      </c>
      <c r="E1443" t="inlineStr">
        <is>
          <t>ÖRNSKÖLDSVIK</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21526-2019</t>
        </is>
      </c>
      <c r="B1444" s="1" t="n">
        <v>43580</v>
      </c>
      <c r="C1444" s="1" t="n">
        <v>45657</v>
      </c>
      <c r="D1444" t="inlineStr">
        <is>
          <t>VÄSTERNORRLANDS LÄN</t>
        </is>
      </c>
      <c r="E1444" t="inlineStr">
        <is>
          <t>SOLLEFTEÅ</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21698-2019</t>
        </is>
      </c>
      <c r="B1445" s="1" t="n">
        <v>43581</v>
      </c>
      <c r="C1445" s="1" t="n">
        <v>45657</v>
      </c>
      <c r="D1445" t="inlineStr">
        <is>
          <t>VÄSTERNORRLANDS LÄN</t>
        </is>
      </c>
      <c r="E1445" t="inlineStr">
        <is>
          <t>SUNDSVALL</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21715-2019</t>
        </is>
      </c>
      <c r="B1446" s="1" t="n">
        <v>43581</v>
      </c>
      <c r="C1446" s="1" t="n">
        <v>45657</v>
      </c>
      <c r="D1446" t="inlineStr">
        <is>
          <t>VÄSTERNORRLANDS LÄN</t>
        </is>
      </c>
      <c r="E1446" t="inlineStr">
        <is>
          <t>ÅNGE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21726-2019</t>
        </is>
      </c>
      <c r="B1447" s="1" t="n">
        <v>43581</v>
      </c>
      <c r="C1447" s="1" t="n">
        <v>45657</v>
      </c>
      <c r="D1447" t="inlineStr">
        <is>
          <t>VÄSTERNORRLANDS LÄN</t>
        </is>
      </c>
      <c r="E1447" t="inlineStr">
        <is>
          <t>ÅNGE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21795-2019</t>
        </is>
      </c>
      <c r="B1448" s="1" t="n">
        <v>43581</v>
      </c>
      <c r="C1448" s="1" t="n">
        <v>45657</v>
      </c>
      <c r="D1448" t="inlineStr">
        <is>
          <t>VÄSTERNORRLANDS LÄN</t>
        </is>
      </c>
      <c r="E1448" t="inlineStr">
        <is>
          <t>ÅNGE</t>
        </is>
      </c>
      <c r="F1448" t="inlineStr">
        <is>
          <t>SCA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21799-2019</t>
        </is>
      </c>
      <c r="B1449" s="1" t="n">
        <v>43581</v>
      </c>
      <c r="C1449" s="1" t="n">
        <v>45657</v>
      </c>
      <c r="D1449" t="inlineStr">
        <is>
          <t>VÄSTERNORRLANDS LÄN</t>
        </is>
      </c>
      <c r="E1449" t="inlineStr">
        <is>
          <t>SOLLEFTEÅ</t>
        </is>
      </c>
      <c r="F1449" t="inlineStr">
        <is>
          <t>SCA</t>
        </is>
      </c>
      <c r="G1449" t="n">
        <v>14.1</v>
      </c>
      <c r="H1449" t="n">
        <v>0</v>
      </c>
      <c r="I1449" t="n">
        <v>0</v>
      </c>
      <c r="J1449" t="n">
        <v>0</v>
      </c>
      <c r="K1449" t="n">
        <v>0</v>
      </c>
      <c r="L1449" t="n">
        <v>0</v>
      </c>
      <c r="M1449" t="n">
        <v>0</v>
      </c>
      <c r="N1449" t="n">
        <v>0</v>
      </c>
      <c r="O1449" t="n">
        <v>0</v>
      </c>
      <c r="P1449" t="n">
        <v>0</v>
      </c>
      <c r="Q1449" t="n">
        <v>0</v>
      </c>
      <c r="R1449" s="2" t="inlineStr"/>
    </row>
    <row r="1450" ht="15" customHeight="1">
      <c r="A1450" t="inlineStr">
        <is>
          <t>A 21788-2019</t>
        </is>
      </c>
      <c r="B1450" s="1" t="n">
        <v>43581</v>
      </c>
      <c r="C1450" s="1" t="n">
        <v>45657</v>
      </c>
      <c r="D1450" t="inlineStr">
        <is>
          <t>VÄSTERNORRLANDS LÄN</t>
        </is>
      </c>
      <c r="E1450" t="inlineStr">
        <is>
          <t>SOLLEFTEÅ</t>
        </is>
      </c>
      <c r="F1450" t="inlineStr">
        <is>
          <t>SCA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21633-2019</t>
        </is>
      </c>
      <c r="B1451" s="1" t="n">
        <v>43581</v>
      </c>
      <c r="C1451" s="1" t="n">
        <v>45657</v>
      </c>
      <c r="D1451" t="inlineStr">
        <is>
          <t>VÄSTERNORRLANDS LÄN</t>
        </is>
      </c>
      <c r="E1451" t="inlineStr">
        <is>
          <t>ÅNGE</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21896-2019</t>
        </is>
      </c>
      <c r="B1452" s="1" t="n">
        <v>43584</v>
      </c>
      <c r="C1452" s="1" t="n">
        <v>45657</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22022-2019</t>
        </is>
      </c>
      <c r="B1453" s="1" t="n">
        <v>43584</v>
      </c>
      <c r="C1453" s="1" t="n">
        <v>45657</v>
      </c>
      <c r="D1453" t="inlineStr">
        <is>
          <t>VÄSTERNORRLANDS LÄN</t>
        </is>
      </c>
      <c r="E1453" t="inlineStr">
        <is>
          <t>KRAMFORS</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22036-2019</t>
        </is>
      </c>
      <c r="B1454" s="1" t="n">
        <v>43584</v>
      </c>
      <c r="C1454" s="1" t="n">
        <v>45657</v>
      </c>
      <c r="D1454" t="inlineStr">
        <is>
          <t>VÄSTERNORRLANDS LÄN</t>
        </is>
      </c>
      <c r="E1454" t="inlineStr">
        <is>
          <t>TIMRÅ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22060-2019</t>
        </is>
      </c>
      <c r="B1455" s="1" t="n">
        <v>43584</v>
      </c>
      <c r="C1455" s="1" t="n">
        <v>45657</v>
      </c>
      <c r="D1455" t="inlineStr">
        <is>
          <t>VÄSTERNORRLANDS LÄN</t>
        </is>
      </c>
      <c r="E1455" t="inlineStr">
        <is>
          <t>KRAMFORS</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22088-2019</t>
        </is>
      </c>
      <c r="B1456" s="1" t="n">
        <v>43584</v>
      </c>
      <c r="C1456" s="1" t="n">
        <v>45657</v>
      </c>
      <c r="D1456" t="inlineStr">
        <is>
          <t>VÄSTERNORRLANDS LÄN</t>
        </is>
      </c>
      <c r="E1456" t="inlineStr">
        <is>
          <t>SOLLEFTEÅ</t>
        </is>
      </c>
      <c r="F1456" t="inlineStr">
        <is>
          <t>SCA</t>
        </is>
      </c>
      <c r="G1456" t="n">
        <v>37.9</v>
      </c>
      <c r="H1456" t="n">
        <v>0</v>
      </c>
      <c r="I1456" t="n">
        <v>0</v>
      </c>
      <c r="J1456" t="n">
        <v>0</v>
      </c>
      <c r="K1456" t="n">
        <v>0</v>
      </c>
      <c r="L1456" t="n">
        <v>0</v>
      </c>
      <c r="M1456" t="n">
        <v>0</v>
      </c>
      <c r="N1456" t="n">
        <v>0</v>
      </c>
      <c r="O1456" t="n">
        <v>0</v>
      </c>
      <c r="P1456" t="n">
        <v>0</v>
      </c>
      <c r="Q1456" t="n">
        <v>0</v>
      </c>
      <c r="R1456" s="2" t="inlineStr"/>
    </row>
    <row r="1457" ht="15" customHeight="1">
      <c r="A1457" t="inlineStr">
        <is>
          <t>A 22020-2019</t>
        </is>
      </c>
      <c r="B1457" s="1" t="n">
        <v>43584</v>
      </c>
      <c r="C1457" s="1" t="n">
        <v>45657</v>
      </c>
      <c r="D1457" t="inlineStr">
        <is>
          <t>VÄSTERNORRLANDS LÄN</t>
        </is>
      </c>
      <c r="E1457" t="inlineStr">
        <is>
          <t>KRAMFORS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22089-2019</t>
        </is>
      </c>
      <c r="B1458" s="1" t="n">
        <v>43584</v>
      </c>
      <c r="C1458" s="1" t="n">
        <v>45657</v>
      </c>
      <c r="D1458" t="inlineStr">
        <is>
          <t>VÄSTERNORRLANDS LÄN</t>
        </is>
      </c>
      <c r="E1458" t="inlineStr">
        <is>
          <t>SUNDSVALL</t>
        </is>
      </c>
      <c r="G1458" t="n">
        <v>12.9</v>
      </c>
      <c r="H1458" t="n">
        <v>0</v>
      </c>
      <c r="I1458" t="n">
        <v>0</v>
      </c>
      <c r="J1458" t="n">
        <v>0</v>
      </c>
      <c r="K1458" t="n">
        <v>0</v>
      </c>
      <c r="L1458" t="n">
        <v>0</v>
      </c>
      <c r="M1458" t="n">
        <v>0</v>
      </c>
      <c r="N1458" t="n">
        <v>0</v>
      </c>
      <c r="O1458" t="n">
        <v>0</v>
      </c>
      <c r="P1458" t="n">
        <v>0</v>
      </c>
      <c r="Q1458" t="n">
        <v>0</v>
      </c>
      <c r="R1458" s="2" t="inlineStr"/>
    </row>
    <row r="1459" ht="15" customHeight="1">
      <c r="A1459" t="inlineStr">
        <is>
          <t>A 22202-2019</t>
        </is>
      </c>
      <c r="B1459" s="1" t="n">
        <v>43585</v>
      </c>
      <c r="C1459" s="1" t="n">
        <v>45657</v>
      </c>
      <c r="D1459" t="inlineStr">
        <is>
          <t>VÄSTERNORRLANDS LÄN</t>
        </is>
      </c>
      <c r="E1459" t="inlineStr">
        <is>
          <t>ÅNGE</t>
        </is>
      </c>
      <c r="F1459" t="inlineStr">
        <is>
          <t>Holmen skog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22288-2019</t>
        </is>
      </c>
      <c r="B1460" s="1" t="n">
        <v>43585</v>
      </c>
      <c r="C1460" s="1" t="n">
        <v>45657</v>
      </c>
      <c r="D1460" t="inlineStr">
        <is>
          <t>VÄSTERNORRLANDS LÄN</t>
        </is>
      </c>
      <c r="E1460" t="inlineStr">
        <is>
          <t>KRAMFORS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22120-2019</t>
        </is>
      </c>
      <c r="B1461" s="1" t="n">
        <v>43585</v>
      </c>
      <c r="C1461" s="1" t="n">
        <v>45657</v>
      </c>
      <c r="D1461" t="inlineStr">
        <is>
          <t>VÄSTERNORRLANDS LÄN</t>
        </is>
      </c>
      <c r="E1461" t="inlineStr">
        <is>
          <t>KRAMFORS</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22283-2019</t>
        </is>
      </c>
      <c r="B1462" s="1" t="n">
        <v>43585</v>
      </c>
      <c r="C1462" s="1" t="n">
        <v>45657</v>
      </c>
      <c r="D1462" t="inlineStr">
        <is>
          <t>VÄSTERNORRLANDS LÄN</t>
        </is>
      </c>
      <c r="E1462" t="inlineStr">
        <is>
          <t>SOLLEFTEÅ</t>
        </is>
      </c>
      <c r="F1462" t="inlineStr">
        <is>
          <t>SCA</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22345-2019</t>
        </is>
      </c>
      <c r="B1463" s="1" t="n">
        <v>43587</v>
      </c>
      <c r="C1463" s="1" t="n">
        <v>45657</v>
      </c>
      <c r="D1463" t="inlineStr">
        <is>
          <t>VÄSTERNORRLANDS LÄN</t>
        </is>
      </c>
      <c r="E1463" t="inlineStr">
        <is>
          <t>TIMRÅ</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22373-2019</t>
        </is>
      </c>
      <c r="B1464" s="1" t="n">
        <v>43587</v>
      </c>
      <c r="C1464" s="1" t="n">
        <v>45657</v>
      </c>
      <c r="D1464" t="inlineStr">
        <is>
          <t>VÄSTERNORRLANDS LÄN</t>
        </is>
      </c>
      <c r="E1464" t="inlineStr">
        <is>
          <t>KRAMFORS</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22394-2019</t>
        </is>
      </c>
      <c r="B1465" s="1" t="n">
        <v>43587</v>
      </c>
      <c r="C1465" s="1" t="n">
        <v>45657</v>
      </c>
      <c r="D1465" t="inlineStr">
        <is>
          <t>VÄSTERNORRLANDS LÄN</t>
        </is>
      </c>
      <c r="E1465" t="inlineStr">
        <is>
          <t>ÖRNSKÖLDSVIK</t>
        </is>
      </c>
      <c r="F1465" t="inlineStr">
        <is>
          <t>Holmen skog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22520-2019</t>
        </is>
      </c>
      <c r="B1466" s="1" t="n">
        <v>43587</v>
      </c>
      <c r="C1466" s="1" t="n">
        <v>45657</v>
      </c>
      <c r="D1466" t="inlineStr">
        <is>
          <t>VÄSTERNORRLANDS LÄN</t>
        </is>
      </c>
      <c r="E1466" t="inlineStr">
        <is>
          <t>ÖRNSKÖLDSVIK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22587-2019</t>
        </is>
      </c>
      <c r="B1467" s="1" t="n">
        <v>43587</v>
      </c>
      <c r="C1467" s="1" t="n">
        <v>45657</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22484-2019</t>
        </is>
      </c>
      <c r="B1468" s="1" t="n">
        <v>43587</v>
      </c>
      <c r="C1468" s="1" t="n">
        <v>45657</v>
      </c>
      <c r="D1468" t="inlineStr">
        <is>
          <t>VÄSTERNORRLANDS LÄN</t>
        </is>
      </c>
      <c r="E1468" t="inlineStr">
        <is>
          <t>ÖRNSKÖLDSVIK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22380-2019</t>
        </is>
      </c>
      <c r="B1469" s="1" t="n">
        <v>43587</v>
      </c>
      <c r="C1469" s="1" t="n">
        <v>45657</v>
      </c>
      <c r="D1469" t="inlineStr">
        <is>
          <t>VÄSTERNORRLANDS LÄN</t>
        </is>
      </c>
      <c r="E1469" t="inlineStr">
        <is>
          <t>KRAMFORS</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22603-2019</t>
        </is>
      </c>
      <c r="B1470" s="1" t="n">
        <v>43588</v>
      </c>
      <c r="C1470" s="1" t="n">
        <v>45657</v>
      </c>
      <c r="D1470" t="inlineStr">
        <is>
          <t>VÄSTERNORRLANDS LÄN</t>
        </is>
      </c>
      <c r="E1470" t="inlineStr">
        <is>
          <t>SUNDSVALL</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22782-2019</t>
        </is>
      </c>
      <c r="B1471" s="1" t="n">
        <v>43589</v>
      </c>
      <c r="C1471" s="1" t="n">
        <v>45657</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23074-2019</t>
        </is>
      </c>
      <c r="B1472" s="1" t="n">
        <v>43591</v>
      </c>
      <c r="C1472" s="1" t="n">
        <v>45657</v>
      </c>
      <c r="D1472" t="inlineStr">
        <is>
          <t>VÄSTERNORRLANDS LÄN</t>
        </is>
      </c>
      <c r="E1472" t="inlineStr">
        <is>
          <t>TIMRÅ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23300-2019</t>
        </is>
      </c>
      <c r="B1473" s="1" t="n">
        <v>43591</v>
      </c>
      <c r="C1473" s="1" t="n">
        <v>45657</v>
      </c>
      <c r="D1473" t="inlineStr">
        <is>
          <t>VÄSTERNORRLANDS LÄN</t>
        </is>
      </c>
      <c r="E1473" t="inlineStr">
        <is>
          <t>ÖRNSKÖLDSVIK</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23241-2019</t>
        </is>
      </c>
      <c r="B1474" s="1" t="n">
        <v>43591</v>
      </c>
      <c r="C1474" s="1" t="n">
        <v>45657</v>
      </c>
      <c r="D1474" t="inlineStr">
        <is>
          <t>VÄSTERNORRLANDS LÄN</t>
        </is>
      </c>
      <c r="E1474" t="inlineStr">
        <is>
          <t>SOLLEFTEÅ</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23314-2019</t>
        </is>
      </c>
      <c r="B1475" s="1" t="n">
        <v>43591</v>
      </c>
      <c r="C1475" s="1" t="n">
        <v>45657</v>
      </c>
      <c r="D1475" t="inlineStr">
        <is>
          <t>VÄSTERNORRLANDS LÄN</t>
        </is>
      </c>
      <c r="E1475" t="inlineStr">
        <is>
          <t>SOLLEFTEÅ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23077-2019</t>
        </is>
      </c>
      <c r="B1476" s="1" t="n">
        <v>43591</v>
      </c>
      <c r="C1476" s="1" t="n">
        <v>45657</v>
      </c>
      <c r="D1476" t="inlineStr">
        <is>
          <t>VÄSTERNORRLANDS LÄN</t>
        </is>
      </c>
      <c r="E1476" t="inlineStr">
        <is>
          <t>SUNDSVALL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23299-2019</t>
        </is>
      </c>
      <c r="B1477" s="1" t="n">
        <v>43591</v>
      </c>
      <c r="C1477" s="1" t="n">
        <v>45657</v>
      </c>
      <c r="D1477" t="inlineStr">
        <is>
          <t>VÄSTERNORRLANDS LÄN</t>
        </is>
      </c>
      <c r="E1477" t="inlineStr">
        <is>
          <t>ÖRNSKÖLDSVIK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23323-2019</t>
        </is>
      </c>
      <c r="B1478" s="1" t="n">
        <v>43591</v>
      </c>
      <c r="C1478" s="1" t="n">
        <v>45657</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23069-2019</t>
        </is>
      </c>
      <c r="B1479" s="1" t="n">
        <v>43591</v>
      </c>
      <c r="C1479" s="1" t="n">
        <v>45657</v>
      </c>
      <c r="D1479" t="inlineStr">
        <is>
          <t>VÄSTERNORRLANDS LÄN</t>
        </is>
      </c>
      <c r="E1479" t="inlineStr">
        <is>
          <t>KRAMFORS</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23246-2019</t>
        </is>
      </c>
      <c r="B1480" s="1" t="n">
        <v>43591</v>
      </c>
      <c r="C1480" s="1" t="n">
        <v>45657</v>
      </c>
      <c r="D1480" t="inlineStr">
        <is>
          <t>VÄSTERNORRLANDS LÄN</t>
        </is>
      </c>
      <c r="E1480" t="inlineStr">
        <is>
          <t>SOLLEFTEÅ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23073-2019</t>
        </is>
      </c>
      <c r="B1481" s="1" t="n">
        <v>43591</v>
      </c>
      <c r="C1481" s="1" t="n">
        <v>45657</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23078-2019</t>
        </is>
      </c>
      <c r="B1482" s="1" t="n">
        <v>43591</v>
      </c>
      <c r="C1482" s="1" t="n">
        <v>45657</v>
      </c>
      <c r="D1482" t="inlineStr">
        <is>
          <t>VÄSTERNORRLANDS LÄN</t>
        </is>
      </c>
      <c r="E1482" t="inlineStr">
        <is>
          <t>SUNDSVALL</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23193-2019</t>
        </is>
      </c>
      <c r="B1483" s="1" t="n">
        <v>43592</v>
      </c>
      <c r="C1483" s="1" t="n">
        <v>45657</v>
      </c>
      <c r="D1483" t="inlineStr">
        <is>
          <t>VÄSTERNORRLANDS LÄN</t>
        </is>
      </c>
      <c r="E1483" t="inlineStr">
        <is>
          <t>ÖRNSKÖLDSVIK</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23199-2019</t>
        </is>
      </c>
      <c r="B1484" s="1" t="n">
        <v>43592</v>
      </c>
      <c r="C1484" s="1" t="n">
        <v>45657</v>
      </c>
      <c r="D1484" t="inlineStr">
        <is>
          <t>VÄSTERNORRLANDS LÄN</t>
        </is>
      </c>
      <c r="E1484" t="inlineStr">
        <is>
          <t>ÖRNSKÖLDSVIK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23214-2019</t>
        </is>
      </c>
      <c r="B1485" s="1" t="n">
        <v>43592</v>
      </c>
      <c r="C1485" s="1" t="n">
        <v>45657</v>
      </c>
      <c r="D1485" t="inlineStr">
        <is>
          <t>VÄSTERNORRLANDS LÄN</t>
        </is>
      </c>
      <c r="E1485" t="inlineStr">
        <is>
          <t>ÖRNSKÖLDSVIK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23406-2019</t>
        </is>
      </c>
      <c r="B1486" s="1" t="n">
        <v>43592</v>
      </c>
      <c r="C1486" s="1" t="n">
        <v>45657</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23403-2019</t>
        </is>
      </c>
      <c r="B1487" s="1" t="n">
        <v>43592</v>
      </c>
      <c r="C1487" s="1" t="n">
        <v>45657</v>
      </c>
      <c r="D1487" t="inlineStr">
        <is>
          <t>VÄSTERNORRLANDS LÄN</t>
        </is>
      </c>
      <c r="E1487" t="inlineStr">
        <is>
          <t>ÅNGE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23398-2019</t>
        </is>
      </c>
      <c r="B1488" s="1" t="n">
        <v>43592</v>
      </c>
      <c r="C1488" s="1" t="n">
        <v>45657</v>
      </c>
      <c r="D1488" t="inlineStr">
        <is>
          <t>VÄSTERNORRLANDS LÄN</t>
        </is>
      </c>
      <c r="E1488" t="inlineStr">
        <is>
          <t>ÖRNSKÖLDSVIK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23294-2019</t>
        </is>
      </c>
      <c r="B1489" s="1" t="n">
        <v>43593</v>
      </c>
      <c r="C1489" s="1" t="n">
        <v>45657</v>
      </c>
      <c r="D1489" t="inlineStr">
        <is>
          <t>VÄSTERNORRLANDS LÄN</t>
        </is>
      </c>
      <c r="E1489" t="inlineStr">
        <is>
          <t>ÖRNSKÖLDSVIK</t>
        </is>
      </c>
      <c r="G1489" t="n">
        <v>27.6</v>
      </c>
      <c r="H1489" t="n">
        <v>0</v>
      </c>
      <c r="I1489" t="n">
        <v>0</v>
      </c>
      <c r="J1489" t="n">
        <v>0</v>
      </c>
      <c r="K1489" t="n">
        <v>0</v>
      </c>
      <c r="L1489" t="n">
        <v>0</v>
      </c>
      <c r="M1489" t="n">
        <v>0</v>
      </c>
      <c r="N1489" t="n">
        <v>0</v>
      </c>
      <c r="O1489" t="n">
        <v>0</v>
      </c>
      <c r="P1489" t="n">
        <v>0</v>
      </c>
      <c r="Q1489" t="n">
        <v>0</v>
      </c>
      <c r="R1489" s="2" t="inlineStr"/>
    </row>
    <row r="1490" ht="15" customHeight="1">
      <c r="A1490" t="inlineStr">
        <is>
          <t>A 23309-2019</t>
        </is>
      </c>
      <c r="B1490" s="1" t="n">
        <v>43593</v>
      </c>
      <c r="C1490" s="1" t="n">
        <v>45657</v>
      </c>
      <c r="D1490" t="inlineStr">
        <is>
          <t>VÄSTERNORRLANDS LÄN</t>
        </is>
      </c>
      <c r="E1490" t="inlineStr">
        <is>
          <t>ÖRNSKÖLDSVIK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23455-2019</t>
        </is>
      </c>
      <c r="B1491" s="1" t="n">
        <v>43593</v>
      </c>
      <c r="C1491" s="1" t="n">
        <v>45657</v>
      </c>
      <c r="D1491" t="inlineStr">
        <is>
          <t>VÄSTERNORRLANDS LÄN</t>
        </is>
      </c>
      <c r="E1491" t="inlineStr">
        <is>
          <t>SUNDSVALL</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23296-2019</t>
        </is>
      </c>
      <c r="B1492" s="1" t="n">
        <v>43593</v>
      </c>
      <c r="C1492" s="1" t="n">
        <v>45657</v>
      </c>
      <c r="D1492" t="inlineStr">
        <is>
          <t>VÄSTERNORRLANDS LÄN</t>
        </is>
      </c>
      <c r="E1492" t="inlineStr">
        <is>
          <t>KRAMFORS</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23284-2019</t>
        </is>
      </c>
      <c r="B1493" s="1" t="n">
        <v>43593</v>
      </c>
      <c r="C1493" s="1" t="n">
        <v>45657</v>
      </c>
      <c r="D1493" t="inlineStr">
        <is>
          <t>VÄSTERNORRLANDS LÄN</t>
        </is>
      </c>
      <c r="E1493" t="inlineStr">
        <is>
          <t>ÖRNSKÖLDSVIK</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23288-2019</t>
        </is>
      </c>
      <c r="B1494" s="1" t="n">
        <v>43593</v>
      </c>
      <c r="C1494" s="1" t="n">
        <v>45657</v>
      </c>
      <c r="D1494" t="inlineStr">
        <is>
          <t>VÄSTERNORRLANDS LÄN</t>
        </is>
      </c>
      <c r="E1494" t="inlineStr">
        <is>
          <t>ÅNGE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23626-2019</t>
        </is>
      </c>
      <c r="B1495" s="1" t="n">
        <v>43593</v>
      </c>
      <c r="C1495" s="1" t="n">
        <v>45657</v>
      </c>
      <c r="D1495" t="inlineStr">
        <is>
          <t>VÄSTERNORRLANDS LÄN</t>
        </is>
      </c>
      <c r="E1495" t="inlineStr">
        <is>
          <t>ÖRNSKÖLDSVIK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23734-2019</t>
        </is>
      </c>
      <c r="B1496" s="1" t="n">
        <v>43594</v>
      </c>
      <c r="C1496" s="1" t="n">
        <v>45657</v>
      </c>
      <c r="D1496" t="inlineStr">
        <is>
          <t>VÄSTERNORRLANDS LÄN</t>
        </is>
      </c>
      <c r="E1496" t="inlineStr">
        <is>
          <t>HÄRNÖSAND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23739-2019</t>
        </is>
      </c>
      <c r="B1497" s="1" t="n">
        <v>43594</v>
      </c>
      <c r="C1497" s="1" t="n">
        <v>45657</v>
      </c>
      <c r="D1497" t="inlineStr">
        <is>
          <t>VÄSTERNORRLANDS LÄN</t>
        </is>
      </c>
      <c r="E1497" t="inlineStr">
        <is>
          <t>HÄRNÖSAND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23766-2019</t>
        </is>
      </c>
      <c r="B1498" s="1" t="n">
        <v>43595</v>
      </c>
      <c r="C1498" s="1" t="n">
        <v>45657</v>
      </c>
      <c r="D1498" t="inlineStr">
        <is>
          <t>VÄSTERNORRLANDS LÄN</t>
        </is>
      </c>
      <c r="E1498" t="inlineStr">
        <is>
          <t>KRAMFORS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23790-2019</t>
        </is>
      </c>
      <c r="B1499" s="1" t="n">
        <v>43595</v>
      </c>
      <c r="C1499" s="1" t="n">
        <v>45657</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23929-2019</t>
        </is>
      </c>
      <c r="B1500" s="1" t="n">
        <v>43595</v>
      </c>
      <c r="C1500" s="1" t="n">
        <v>45657</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24227-2019</t>
        </is>
      </c>
      <c r="B1501" s="1" t="n">
        <v>43595</v>
      </c>
      <c r="C1501" s="1" t="n">
        <v>45657</v>
      </c>
      <c r="D1501" t="inlineStr">
        <is>
          <t>VÄSTERNORRLANDS LÄN</t>
        </is>
      </c>
      <c r="E1501" t="inlineStr">
        <is>
          <t>ÖRNSKÖLDSVIK</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23931-2019</t>
        </is>
      </c>
      <c r="B1502" s="1" t="n">
        <v>43595</v>
      </c>
      <c r="C1502" s="1" t="n">
        <v>45657</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23877-2019</t>
        </is>
      </c>
      <c r="B1503" s="1" t="n">
        <v>43595</v>
      </c>
      <c r="C1503" s="1" t="n">
        <v>45657</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24157-2019</t>
        </is>
      </c>
      <c r="B1504" s="1" t="n">
        <v>43598</v>
      </c>
      <c r="C1504" s="1" t="n">
        <v>45657</v>
      </c>
      <c r="D1504" t="inlineStr">
        <is>
          <t>VÄSTERNORRLANDS LÄN</t>
        </is>
      </c>
      <c r="E1504" t="inlineStr">
        <is>
          <t>SOLLEFTEÅ</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24168-2019</t>
        </is>
      </c>
      <c r="B1505" s="1" t="n">
        <v>43598</v>
      </c>
      <c r="C1505" s="1" t="n">
        <v>45657</v>
      </c>
      <c r="D1505" t="inlineStr">
        <is>
          <t>VÄSTERNORRLANDS LÄN</t>
        </is>
      </c>
      <c r="E1505" t="inlineStr">
        <is>
          <t>SOLLEFTEÅ</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24161-2019</t>
        </is>
      </c>
      <c r="B1506" s="1" t="n">
        <v>43598</v>
      </c>
      <c r="C1506" s="1" t="n">
        <v>45657</v>
      </c>
      <c r="D1506" t="inlineStr">
        <is>
          <t>VÄSTERNORRLANDS LÄN</t>
        </is>
      </c>
      <c r="E1506" t="inlineStr">
        <is>
          <t>HÄRNÖSAND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24307-2019</t>
        </is>
      </c>
      <c r="B1507" s="1" t="n">
        <v>43599</v>
      </c>
      <c r="C1507" s="1" t="n">
        <v>45657</v>
      </c>
      <c r="D1507" t="inlineStr">
        <is>
          <t>VÄSTERNORRLANDS LÄN</t>
        </is>
      </c>
      <c r="E1507" t="inlineStr">
        <is>
          <t>ÖRNSKÖLDSVIK</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24271-2019</t>
        </is>
      </c>
      <c r="B1508" s="1" t="n">
        <v>43599</v>
      </c>
      <c r="C1508" s="1" t="n">
        <v>45657</v>
      </c>
      <c r="D1508" t="inlineStr">
        <is>
          <t>VÄSTERNORRLANDS LÄN</t>
        </is>
      </c>
      <c r="E1508" t="inlineStr">
        <is>
          <t>SUNDSVALL</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24567-2019</t>
        </is>
      </c>
      <c r="B1509" s="1" t="n">
        <v>43600</v>
      </c>
      <c r="C1509" s="1" t="n">
        <v>45657</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24800-2019</t>
        </is>
      </c>
      <c r="B1510" s="1" t="n">
        <v>43600</v>
      </c>
      <c r="C1510" s="1" t="n">
        <v>45657</v>
      </c>
      <c r="D1510" t="inlineStr">
        <is>
          <t>VÄSTERNORRLANDS LÄN</t>
        </is>
      </c>
      <c r="E1510" t="inlineStr">
        <is>
          <t>HÄRNÖSAND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24583-2019</t>
        </is>
      </c>
      <c r="B1511" s="1" t="n">
        <v>43600</v>
      </c>
      <c r="C1511" s="1" t="n">
        <v>45657</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24568-2019</t>
        </is>
      </c>
      <c r="B1512" s="1" t="n">
        <v>43600</v>
      </c>
      <c r="C1512" s="1" t="n">
        <v>45657</v>
      </c>
      <c r="D1512" t="inlineStr">
        <is>
          <t>VÄSTERNORRLANDS LÄN</t>
        </is>
      </c>
      <c r="E1512" t="inlineStr">
        <is>
          <t>ÅNGE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24585-2019</t>
        </is>
      </c>
      <c r="B1513" s="1" t="n">
        <v>43600</v>
      </c>
      <c r="C1513" s="1" t="n">
        <v>45657</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24569-2019</t>
        </is>
      </c>
      <c r="B1514" s="1" t="n">
        <v>43600</v>
      </c>
      <c r="C1514" s="1" t="n">
        <v>45657</v>
      </c>
      <c r="D1514" t="inlineStr">
        <is>
          <t>VÄSTERNORRLANDS LÄN</t>
        </is>
      </c>
      <c r="E1514" t="inlineStr">
        <is>
          <t>ÅNGE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24783-2019</t>
        </is>
      </c>
      <c r="B1515" s="1" t="n">
        <v>43601</v>
      </c>
      <c r="C1515" s="1" t="n">
        <v>45657</v>
      </c>
      <c r="D1515" t="inlineStr">
        <is>
          <t>VÄSTERNORRLANDS LÄN</t>
        </is>
      </c>
      <c r="E1515" t="inlineStr">
        <is>
          <t>SUNDSVALL</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24767-2019</t>
        </is>
      </c>
      <c r="B1516" s="1" t="n">
        <v>43601</v>
      </c>
      <c r="C1516" s="1" t="n">
        <v>45657</v>
      </c>
      <c r="D1516" t="inlineStr">
        <is>
          <t>VÄSTERNORRLANDS LÄN</t>
        </is>
      </c>
      <c r="E1516" t="inlineStr">
        <is>
          <t>TIMRÅ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24771-2019</t>
        </is>
      </c>
      <c r="B1517" s="1" t="n">
        <v>43601</v>
      </c>
      <c r="C1517" s="1" t="n">
        <v>45657</v>
      </c>
      <c r="D1517" t="inlineStr">
        <is>
          <t>VÄSTERNORRLANDS LÄN</t>
        </is>
      </c>
      <c r="E1517" t="inlineStr">
        <is>
          <t>SUNDSVALL</t>
        </is>
      </c>
      <c r="F1517" t="inlineStr">
        <is>
          <t>SCA</t>
        </is>
      </c>
      <c r="G1517" t="n">
        <v>17.9</v>
      </c>
      <c r="H1517" t="n">
        <v>0</v>
      </c>
      <c r="I1517" t="n">
        <v>0</v>
      </c>
      <c r="J1517" t="n">
        <v>0</v>
      </c>
      <c r="K1517" t="n">
        <v>0</v>
      </c>
      <c r="L1517" t="n">
        <v>0</v>
      </c>
      <c r="M1517" t="n">
        <v>0</v>
      </c>
      <c r="N1517" t="n">
        <v>0</v>
      </c>
      <c r="O1517" t="n">
        <v>0</v>
      </c>
      <c r="P1517" t="n">
        <v>0</v>
      </c>
      <c r="Q1517" t="n">
        <v>0</v>
      </c>
      <c r="R1517" s="2" t="inlineStr"/>
    </row>
    <row r="1518" ht="15" customHeight="1">
      <c r="A1518" t="inlineStr">
        <is>
          <t>A 24781-2019</t>
        </is>
      </c>
      <c r="B1518" s="1" t="n">
        <v>43601</v>
      </c>
      <c r="C1518" s="1" t="n">
        <v>45657</v>
      </c>
      <c r="D1518" t="inlineStr">
        <is>
          <t>VÄSTERNORRLANDS LÄN</t>
        </is>
      </c>
      <c r="E1518" t="inlineStr">
        <is>
          <t>ÅNGE</t>
        </is>
      </c>
      <c r="F1518" t="inlineStr">
        <is>
          <t>SCA</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25334-2019</t>
        </is>
      </c>
      <c r="B1519" s="1" t="n">
        <v>43601</v>
      </c>
      <c r="C1519" s="1" t="n">
        <v>45657</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25331-2019</t>
        </is>
      </c>
      <c r="B1520" s="1" t="n">
        <v>43601</v>
      </c>
      <c r="C1520" s="1" t="n">
        <v>45657</v>
      </c>
      <c r="D1520" t="inlineStr">
        <is>
          <t>VÄSTERNORRLANDS LÄN</t>
        </is>
      </c>
      <c r="E1520" t="inlineStr">
        <is>
          <t>SOLLEFTEÅ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25601-2019</t>
        </is>
      </c>
      <c r="B1521" s="1" t="n">
        <v>43601</v>
      </c>
      <c r="C1521" s="1" t="n">
        <v>45657</v>
      </c>
      <c r="D1521" t="inlineStr">
        <is>
          <t>VÄSTERNORRLANDS LÄN</t>
        </is>
      </c>
      <c r="E1521" t="inlineStr">
        <is>
          <t>ÖRNSKÖLDSVIK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25260-2019</t>
        </is>
      </c>
      <c r="B1522" s="1" t="n">
        <v>43601</v>
      </c>
      <c r="C1522" s="1" t="n">
        <v>45657</v>
      </c>
      <c r="D1522" t="inlineStr">
        <is>
          <t>VÄSTERNORRLANDS LÄN</t>
        </is>
      </c>
      <c r="E1522" t="inlineStr">
        <is>
          <t>SOLLEFTEÅ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25328-2019</t>
        </is>
      </c>
      <c r="B1523" s="1" t="n">
        <v>43601</v>
      </c>
      <c r="C1523" s="1" t="n">
        <v>45657</v>
      </c>
      <c r="D1523" t="inlineStr">
        <is>
          <t>VÄSTERNORRLANDS LÄN</t>
        </is>
      </c>
      <c r="E1523" t="inlineStr">
        <is>
          <t>SOLLEFTEÅ</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25014-2019</t>
        </is>
      </c>
      <c r="B1524" s="1" t="n">
        <v>43602</v>
      </c>
      <c r="C1524" s="1" t="n">
        <v>45657</v>
      </c>
      <c r="D1524" t="inlineStr">
        <is>
          <t>VÄSTERNORRLANDS LÄN</t>
        </is>
      </c>
      <c r="E1524" t="inlineStr">
        <is>
          <t>SOLLEFTEÅ</t>
        </is>
      </c>
      <c r="F1524" t="inlineStr">
        <is>
          <t>SCA</t>
        </is>
      </c>
      <c r="G1524" t="n">
        <v>11.1</v>
      </c>
      <c r="H1524" t="n">
        <v>0</v>
      </c>
      <c r="I1524" t="n">
        <v>0</v>
      </c>
      <c r="J1524" t="n">
        <v>0</v>
      </c>
      <c r="K1524" t="n">
        <v>0</v>
      </c>
      <c r="L1524" t="n">
        <v>0</v>
      </c>
      <c r="M1524" t="n">
        <v>0</v>
      </c>
      <c r="N1524" t="n">
        <v>0</v>
      </c>
      <c r="O1524" t="n">
        <v>0</v>
      </c>
      <c r="P1524" t="n">
        <v>0</v>
      </c>
      <c r="Q1524" t="n">
        <v>0</v>
      </c>
      <c r="R1524" s="2" t="inlineStr"/>
    </row>
    <row r="1525" ht="15" customHeight="1">
      <c r="A1525" t="inlineStr">
        <is>
          <t>A 24848-2019</t>
        </is>
      </c>
      <c r="B1525" s="1" t="n">
        <v>43602</v>
      </c>
      <c r="C1525" s="1" t="n">
        <v>45657</v>
      </c>
      <c r="D1525" t="inlineStr">
        <is>
          <t>VÄSTERNORRLANDS LÄN</t>
        </is>
      </c>
      <c r="E1525" t="inlineStr">
        <is>
          <t>SUNDSVALL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25044-2019</t>
        </is>
      </c>
      <c r="B1526" s="1" t="n">
        <v>43603</v>
      </c>
      <c r="C1526" s="1" t="n">
        <v>45657</v>
      </c>
      <c r="D1526" t="inlineStr">
        <is>
          <t>VÄSTERNORRLANDS LÄN</t>
        </is>
      </c>
      <c r="E1526" t="inlineStr">
        <is>
          <t>SUNDSVALL</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26111-2019</t>
        </is>
      </c>
      <c r="B1527" s="1" t="n">
        <v>43605</v>
      </c>
      <c r="C1527" s="1" t="n">
        <v>45657</v>
      </c>
      <c r="D1527" t="inlineStr">
        <is>
          <t>VÄSTERNORRLANDS LÄN</t>
        </is>
      </c>
      <c r="E1527" t="inlineStr">
        <is>
          <t>SOLLEFTEÅ</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26089-2019</t>
        </is>
      </c>
      <c r="B1528" s="1" t="n">
        <v>43605</v>
      </c>
      <c r="C1528" s="1" t="n">
        <v>45657</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26498-2019</t>
        </is>
      </c>
      <c r="B1529" s="1" t="n">
        <v>43606</v>
      </c>
      <c r="C1529" s="1" t="n">
        <v>45657</v>
      </c>
      <c r="D1529" t="inlineStr">
        <is>
          <t>VÄSTERNORRLANDS LÄN</t>
        </is>
      </c>
      <c r="E1529" t="inlineStr">
        <is>
          <t>ÖRNSKÖLDSVIK</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25453-2019</t>
        </is>
      </c>
      <c r="B1530" s="1" t="n">
        <v>43606</v>
      </c>
      <c r="C1530" s="1" t="n">
        <v>45657</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25450-2019</t>
        </is>
      </c>
      <c r="B1531" s="1" t="n">
        <v>43606</v>
      </c>
      <c r="C1531" s="1" t="n">
        <v>45657</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25549-2019</t>
        </is>
      </c>
      <c r="B1532" s="1" t="n">
        <v>43607</v>
      </c>
      <c r="C1532" s="1" t="n">
        <v>45657</v>
      </c>
      <c r="D1532" t="inlineStr">
        <is>
          <t>VÄSTERNORRLANDS LÄN</t>
        </is>
      </c>
      <c r="E1532" t="inlineStr">
        <is>
          <t>ÅNGE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25565-2019</t>
        </is>
      </c>
      <c r="B1533" s="1" t="n">
        <v>43607</v>
      </c>
      <c r="C1533" s="1" t="n">
        <v>45657</v>
      </c>
      <c r="D1533" t="inlineStr">
        <is>
          <t>VÄSTERNORRLANDS LÄN</t>
        </is>
      </c>
      <c r="E1533" t="inlineStr">
        <is>
          <t>ÖRNSKÖLDSVIK</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25714-2019</t>
        </is>
      </c>
      <c r="B1534" s="1" t="n">
        <v>43607</v>
      </c>
      <c r="C1534" s="1" t="n">
        <v>45657</v>
      </c>
      <c r="D1534" t="inlineStr">
        <is>
          <t>VÄSTERNORRLANDS LÄN</t>
        </is>
      </c>
      <c r="E1534" t="inlineStr">
        <is>
          <t>SOLLEFTEÅ</t>
        </is>
      </c>
      <c r="F1534" t="inlineStr">
        <is>
          <t>SCA</t>
        </is>
      </c>
      <c r="G1534" t="n">
        <v>28.3</v>
      </c>
      <c r="H1534" t="n">
        <v>0</v>
      </c>
      <c r="I1534" t="n">
        <v>0</v>
      </c>
      <c r="J1534" t="n">
        <v>0</v>
      </c>
      <c r="K1534" t="n">
        <v>0</v>
      </c>
      <c r="L1534" t="n">
        <v>0</v>
      </c>
      <c r="M1534" t="n">
        <v>0</v>
      </c>
      <c r="N1534" t="n">
        <v>0</v>
      </c>
      <c r="O1534" t="n">
        <v>0</v>
      </c>
      <c r="P1534" t="n">
        <v>0</v>
      </c>
      <c r="Q1534" t="n">
        <v>0</v>
      </c>
      <c r="R1534" s="2" t="inlineStr"/>
    </row>
    <row r="1535" ht="15" customHeight="1">
      <c r="A1535" t="inlineStr">
        <is>
          <t>A 25712-2019</t>
        </is>
      </c>
      <c r="B1535" s="1" t="n">
        <v>43607</v>
      </c>
      <c r="C1535" s="1" t="n">
        <v>45657</v>
      </c>
      <c r="D1535" t="inlineStr">
        <is>
          <t>VÄSTERNORRLANDS LÄN</t>
        </is>
      </c>
      <c r="E1535" t="inlineStr">
        <is>
          <t>SUNDSVALL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25979-2019</t>
        </is>
      </c>
      <c r="B1536" s="1" t="n">
        <v>43608</v>
      </c>
      <c r="C1536" s="1" t="n">
        <v>45657</v>
      </c>
      <c r="D1536" t="inlineStr">
        <is>
          <t>VÄSTERNORRLANDS LÄN</t>
        </is>
      </c>
      <c r="E1536" t="inlineStr">
        <is>
          <t>SOLLEFTEÅ</t>
        </is>
      </c>
      <c r="F1536" t="inlineStr">
        <is>
          <t>SCA</t>
        </is>
      </c>
      <c r="G1536" t="n">
        <v>26.1</v>
      </c>
      <c r="H1536" t="n">
        <v>0</v>
      </c>
      <c r="I1536" t="n">
        <v>0</v>
      </c>
      <c r="J1536" t="n">
        <v>0</v>
      </c>
      <c r="K1536" t="n">
        <v>0</v>
      </c>
      <c r="L1536" t="n">
        <v>0</v>
      </c>
      <c r="M1536" t="n">
        <v>0</v>
      </c>
      <c r="N1536" t="n">
        <v>0</v>
      </c>
      <c r="O1536" t="n">
        <v>0</v>
      </c>
      <c r="P1536" t="n">
        <v>0</v>
      </c>
      <c r="Q1536" t="n">
        <v>0</v>
      </c>
      <c r="R1536" s="2" t="inlineStr"/>
    </row>
    <row r="1537" ht="15" customHeight="1">
      <c r="A1537" t="inlineStr">
        <is>
          <t>A 25995-2019</t>
        </is>
      </c>
      <c r="B1537" s="1" t="n">
        <v>43608</v>
      </c>
      <c r="C1537" s="1" t="n">
        <v>45657</v>
      </c>
      <c r="D1537" t="inlineStr">
        <is>
          <t>VÄSTERNORRLANDS LÄN</t>
        </is>
      </c>
      <c r="E1537" t="inlineStr">
        <is>
          <t>KRAMFORS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25962-2019</t>
        </is>
      </c>
      <c r="B1538" s="1" t="n">
        <v>43608</v>
      </c>
      <c r="C1538" s="1" t="n">
        <v>45657</v>
      </c>
      <c r="D1538" t="inlineStr">
        <is>
          <t>VÄSTERNORRLANDS LÄN</t>
        </is>
      </c>
      <c r="E1538" t="inlineStr">
        <is>
          <t>SUNDSVALL</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25982-2019</t>
        </is>
      </c>
      <c r="B1539" s="1" t="n">
        <v>43608</v>
      </c>
      <c r="C1539" s="1" t="n">
        <v>45657</v>
      </c>
      <c r="D1539" t="inlineStr">
        <is>
          <t>VÄSTERNORRLANDS LÄN</t>
        </is>
      </c>
      <c r="E1539" t="inlineStr">
        <is>
          <t>SOLLEFTEÅ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26014-2019</t>
        </is>
      </c>
      <c r="B1540" s="1" t="n">
        <v>43608</v>
      </c>
      <c r="C1540" s="1" t="n">
        <v>45657</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25997-2019</t>
        </is>
      </c>
      <c r="B1541" s="1" t="n">
        <v>43608</v>
      </c>
      <c r="C1541" s="1" t="n">
        <v>45657</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25996-2019</t>
        </is>
      </c>
      <c r="B1542" s="1" t="n">
        <v>43608</v>
      </c>
      <c r="C1542" s="1" t="n">
        <v>45657</v>
      </c>
      <c r="D1542" t="inlineStr">
        <is>
          <t>VÄSTERNORRLANDS LÄN</t>
        </is>
      </c>
      <c r="E1542" t="inlineStr">
        <is>
          <t>KRAMFORS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25959-2019</t>
        </is>
      </c>
      <c r="B1543" s="1" t="n">
        <v>43608</v>
      </c>
      <c r="C1543" s="1" t="n">
        <v>45657</v>
      </c>
      <c r="D1543" t="inlineStr">
        <is>
          <t>VÄSTERNORRLANDS LÄN</t>
        </is>
      </c>
      <c r="E1543" t="inlineStr">
        <is>
          <t>SOLLEFTEÅ</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26922-2019</t>
        </is>
      </c>
      <c r="B1544" s="1" t="n">
        <v>43608</v>
      </c>
      <c r="C1544" s="1" t="n">
        <v>45657</v>
      </c>
      <c r="D1544" t="inlineStr">
        <is>
          <t>VÄSTERNORRLANDS LÄN</t>
        </is>
      </c>
      <c r="E1544" t="inlineStr">
        <is>
          <t>ÖRNSKÖLDSVIK</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26968-2019</t>
        </is>
      </c>
      <c r="B1545" s="1" t="n">
        <v>43609</v>
      </c>
      <c r="C1545" s="1" t="n">
        <v>45657</v>
      </c>
      <c r="D1545" t="inlineStr">
        <is>
          <t>VÄSTERNORRLANDS LÄN</t>
        </is>
      </c>
      <c r="E1545" t="inlineStr">
        <is>
          <t>ÖRNSKÖLDSVIK</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26970-2019</t>
        </is>
      </c>
      <c r="B1546" s="1" t="n">
        <v>43609</v>
      </c>
      <c r="C1546" s="1" t="n">
        <v>45657</v>
      </c>
      <c r="D1546" t="inlineStr">
        <is>
          <t>VÄSTERNORRLANDS LÄN</t>
        </is>
      </c>
      <c r="E1546" t="inlineStr">
        <is>
          <t>ÖRNSKÖLDSVIK</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26254-2019</t>
        </is>
      </c>
      <c r="B1547" s="1" t="n">
        <v>43609</v>
      </c>
      <c r="C1547" s="1" t="n">
        <v>45657</v>
      </c>
      <c r="D1547" t="inlineStr">
        <is>
          <t>VÄSTERNORRLANDS LÄN</t>
        </is>
      </c>
      <c r="E1547" t="inlineStr">
        <is>
          <t>SOLLEFTEÅ</t>
        </is>
      </c>
      <c r="F1547" t="inlineStr">
        <is>
          <t>SCA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26994-2019</t>
        </is>
      </c>
      <c r="B1548" s="1" t="n">
        <v>43609</v>
      </c>
      <c r="C1548" s="1" t="n">
        <v>45657</v>
      </c>
      <c r="D1548" t="inlineStr">
        <is>
          <t>VÄSTERNORRLANDS LÄN</t>
        </is>
      </c>
      <c r="E1548" t="inlineStr">
        <is>
          <t>ÖRNSKÖLDSVIK</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26091-2019</t>
        </is>
      </c>
      <c r="B1549" s="1" t="n">
        <v>43609</v>
      </c>
      <c r="C1549" s="1" t="n">
        <v>45657</v>
      </c>
      <c r="D1549" t="inlineStr">
        <is>
          <t>VÄSTERNORRLANDS LÄN</t>
        </is>
      </c>
      <c r="E1549" t="inlineStr">
        <is>
          <t>ÖRNSKÖLDSVIK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26993-2019</t>
        </is>
      </c>
      <c r="B1550" s="1" t="n">
        <v>43609</v>
      </c>
      <c r="C1550" s="1" t="n">
        <v>45657</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26062-2019</t>
        </is>
      </c>
      <c r="B1551" s="1" t="n">
        <v>43609</v>
      </c>
      <c r="C1551" s="1" t="n">
        <v>45657</v>
      </c>
      <c r="D1551" t="inlineStr">
        <is>
          <t>VÄSTERNORRLANDS LÄN</t>
        </is>
      </c>
      <c r="E1551" t="inlineStr">
        <is>
          <t>KRAMFORS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27032-2019</t>
        </is>
      </c>
      <c r="B1552" s="1" t="n">
        <v>43609</v>
      </c>
      <c r="C1552" s="1" t="n">
        <v>45657</v>
      </c>
      <c r="D1552" t="inlineStr">
        <is>
          <t>VÄSTERNORRLANDS LÄN</t>
        </is>
      </c>
      <c r="E1552" t="inlineStr">
        <is>
          <t>SUNDSVALL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26300-2019</t>
        </is>
      </c>
      <c r="B1553" s="1" t="n">
        <v>43612</v>
      </c>
      <c r="C1553" s="1" t="n">
        <v>45657</v>
      </c>
      <c r="D1553" t="inlineStr">
        <is>
          <t>VÄSTERNORRLANDS LÄN</t>
        </is>
      </c>
      <c r="E1553" t="inlineStr">
        <is>
          <t>KRAMFORS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26545-2019</t>
        </is>
      </c>
      <c r="B1554" s="1" t="n">
        <v>43612</v>
      </c>
      <c r="C1554" s="1" t="n">
        <v>45657</v>
      </c>
      <c r="D1554" t="inlineStr">
        <is>
          <t>VÄSTERNORRLANDS LÄN</t>
        </is>
      </c>
      <c r="E1554" t="inlineStr">
        <is>
          <t>ÅNGE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26640-2019</t>
        </is>
      </c>
      <c r="B1555" s="1" t="n">
        <v>43612</v>
      </c>
      <c r="C1555" s="1" t="n">
        <v>45657</v>
      </c>
      <c r="D1555" t="inlineStr">
        <is>
          <t>VÄSTERNORRLANDS LÄN</t>
        </is>
      </c>
      <c r="E1555" t="inlineStr">
        <is>
          <t>SOLLEFTEÅ</t>
        </is>
      </c>
      <c r="F1555" t="inlineStr">
        <is>
          <t>SCA</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27597-2019</t>
        </is>
      </c>
      <c r="B1556" s="1" t="n">
        <v>43612</v>
      </c>
      <c r="C1556" s="1" t="n">
        <v>45657</v>
      </c>
      <c r="D1556" t="inlineStr">
        <is>
          <t>VÄSTERNORRLANDS LÄN</t>
        </is>
      </c>
      <c r="E1556" t="inlineStr">
        <is>
          <t>SOLLEFTEÅ</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26495-2019</t>
        </is>
      </c>
      <c r="B1557" s="1" t="n">
        <v>43612</v>
      </c>
      <c r="C1557" s="1" t="n">
        <v>45657</v>
      </c>
      <c r="D1557" t="inlineStr">
        <is>
          <t>VÄSTERNORRLANDS LÄN</t>
        </is>
      </c>
      <c r="E1557" t="inlineStr">
        <is>
          <t>ÖRNSKÖLDSVIK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26646-2019</t>
        </is>
      </c>
      <c r="B1558" s="1" t="n">
        <v>43613</v>
      </c>
      <c r="C1558" s="1" t="n">
        <v>45657</v>
      </c>
      <c r="D1558" t="inlineStr">
        <is>
          <t>VÄSTERNORRLANDS LÄN</t>
        </is>
      </c>
      <c r="E1558" t="inlineStr">
        <is>
          <t>ÖRNSKÖLDSVIK</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28066-2019</t>
        </is>
      </c>
      <c r="B1559" s="1" t="n">
        <v>43613</v>
      </c>
      <c r="C1559" s="1" t="n">
        <v>45657</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26945-2019</t>
        </is>
      </c>
      <c r="B1560" s="1" t="n">
        <v>43613</v>
      </c>
      <c r="C1560" s="1" t="n">
        <v>45657</v>
      </c>
      <c r="D1560" t="inlineStr">
        <is>
          <t>VÄSTERNORRLANDS LÄN</t>
        </is>
      </c>
      <c r="E1560" t="inlineStr">
        <is>
          <t>SOLLEFTEÅ</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26957-2019</t>
        </is>
      </c>
      <c r="B1561" s="1" t="n">
        <v>43613</v>
      </c>
      <c r="C1561" s="1" t="n">
        <v>45657</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27226-2019</t>
        </is>
      </c>
      <c r="B1562" s="1" t="n">
        <v>43614</v>
      </c>
      <c r="C1562" s="1" t="n">
        <v>45657</v>
      </c>
      <c r="D1562" t="inlineStr">
        <is>
          <t>VÄSTERNORRLANDS LÄN</t>
        </is>
      </c>
      <c r="E1562" t="inlineStr">
        <is>
          <t>SOLLEFTEÅ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28714-2019</t>
        </is>
      </c>
      <c r="B1563" s="1" t="n">
        <v>43614</v>
      </c>
      <c r="C1563" s="1" t="n">
        <v>45657</v>
      </c>
      <c r="D1563" t="inlineStr">
        <is>
          <t>VÄSTERNORRLANDS LÄN</t>
        </is>
      </c>
      <c r="E1563" t="inlineStr">
        <is>
          <t>ÖRNSKÖLDSVIK</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27211-2019</t>
        </is>
      </c>
      <c r="B1564" s="1" t="n">
        <v>43614</v>
      </c>
      <c r="C1564" s="1" t="n">
        <v>45657</v>
      </c>
      <c r="D1564" t="inlineStr">
        <is>
          <t>VÄSTERNORRLANDS LÄN</t>
        </is>
      </c>
      <c r="E1564" t="inlineStr">
        <is>
          <t>ÅNGE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27419-2019</t>
        </is>
      </c>
      <c r="B1565" s="1" t="n">
        <v>43616</v>
      </c>
      <c r="C1565" s="1" t="n">
        <v>45657</v>
      </c>
      <c r="D1565" t="inlineStr">
        <is>
          <t>VÄSTERNORRLANDS LÄN</t>
        </is>
      </c>
      <c r="E1565" t="inlineStr">
        <is>
          <t>SUNDSVALL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27435-2019</t>
        </is>
      </c>
      <c r="B1566" s="1" t="n">
        <v>43617</v>
      </c>
      <c r="C1566" s="1" t="n">
        <v>45657</v>
      </c>
      <c r="D1566" t="inlineStr">
        <is>
          <t>VÄSTERNORRLANDS LÄN</t>
        </is>
      </c>
      <c r="E1566" t="inlineStr">
        <is>
          <t>ÖRNSKÖLDSVIK</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27775-2019</t>
        </is>
      </c>
      <c r="B1567" s="1" t="n">
        <v>43619</v>
      </c>
      <c r="C1567" s="1" t="n">
        <v>45657</v>
      </c>
      <c r="D1567" t="inlineStr">
        <is>
          <t>VÄSTERNORRLANDS LÄN</t>
        </is>
      </c>
      <c r="E1567" t="inlineStr">
        <is>
          <t>SUNDSVALL</t>
        </is>
      </c>
      <c r="F1567" t="inlineStr">
        <is>
          <t>SCA</t>
        </is>
      </c>
      <c r="G1567" t="n">
        <v>13.8</v>
      </c>
      <c r="H1567" t="n">
        <v>0</v>
      </c>
      <c r="I1567" t="n">
        <v>0</v>
      </c>
      <c r="J1567" t="n">
        <v>0</v>
      </c>
      <c r="K1567" t="n">
        <v>0</v>
      </c>
      <c r="L1567" t="n">
        <v>0</v>
      </c>
      <c r="M1567" t="n">
        <v>0</v>
      </c>
      <c r="N1567" t="n">
        <v>0</v>
      </c>
      <c r="O1567" t="n">
        <v>0</v>
      </c>
      <c r="P1567" t="n">
        <v>0</v>
      </c>
      <c r="Q1567" t="n">
        <v>0</v>
      </c>
      <c r="R1567" s="2" t="inlineStr"/>
    </row>
    <row r="1568" ht="15" customHeight="1">
      <c r="A1568" t="inlineStr">
        <is>
          <t>A 27759-2019</t>
        </is>
      </c>
      <c r="B1568" s="1" t="n">
        <v>43619</v>
      </c>
      <c r="C1568" s="1" t="n">
        <v>45657</v>
      </c>
      <c r="D1568" t="inlineStr">
        <is>
          <t>VÄSTERNORRLANDS LÄN</t>
        </is>
      </c>
      <c r="E1568" t="inlineStr">
        <is>
          <t>ÅNGE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27896-2019</t>
        </is>
      </c>
      <c r="B1569" s="1" t="n">
        <v>43620</v>
      </c>
      <c r="C1569" s="1" t="n">
        <v>45657</v>
      </c>
      <c r="D1569" t="inlineStr">
        <is>
          <t>VÄSTERNORRLANDS LÄN</t>
        </is>
      </c>
      <c r="E1569" t="inlineStr">
        <is>
          <t>KRAMFORS</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27924-2019</t>
        </is>
      </c>
      <c r="B1570" s="1" t="n">
        <v>43620</v>
      </c>
      <c r="C1570" s="1" t="n">
        <v>45657</v>
      </c>
      <c r="D1570" t="inlineStr">
        <is>
          <t>VÄSTERNORRLANDS LÄN</t>
        </is>
      </c>
      <c r="E1570" t="inlineStr">
        <is>
          <t>ÖRNSKÖLDSVIK</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27895-2019</t>
        </is>
      </c>
      <c r="B1571" s="1" t="n">
        <v>43620</v>
      </c>
      <c r="C1571" s="1" t="n">
        <v>45657</v>
      </c>
      <c r="D1571" t="inlineStr">
        <is>
          <t>VÄSTERNORRLANDS LÄN</t>
        </is>
      </c>
      <c r="E1571" t="inlineStr">
        <is>
          <t>KRAMFORS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27972-2019</t>
        </is>
      </c>
      <c r="B1572" s="1" t="n">
        <v>43620</v>
      </c>
      <c r="C1572" s="1" t="n">
        <v>45657</v>
      </c>
      <c r="D1572" t="inlineStr">
        <is>
          <t>VÄSTERNORRLANDS LÄN</t>
        </is>
      </c>
      <c r="E1572" t="inlineStr">
        <is>
          <t>KRAMFORS</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27981-2019</t>
        </is>
      </c>
      <c r="B1573" s="1" t="n">
        <v>43620</v>
      </c>
      <c r="C1573" s="1" t="n">
        <v>45657</v>
      </c>
      <c r="D1573" t="inlineStr">
        <is>
          <t>VÄSTERNORRLANDS LÄN</t>
        </is>
      </c>
      <c r="E1573" t="inlineStr">
        <is>
          <t>SUNDSVALL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27983-2019</t>
        </is>
      </c>
      <c r="B1574" s="1" t="n">
        <v>43620</v>
      </c>
      <c r="C1574" s="1" t="n">
        <v>45657</v>
      </c>
      <c r="D1574" t="inlineStr">
        <is>
          <t>VÄSTERNORRLANDS LÄN</t>
        </is>
      </c>
      <c r="E1574" t="inlineStr">
        <is>
          <t>SUNDSVALL</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27982-2019</t>
        </is>
      </c>
      <c r="B1575" s="1" t="n">
        <v>43620</v>
      </c>
      <c r="C1575" s="1" t="n">
        <v>45657</v>
      </c>
      <c r="D1575" t="inlineStr">
        <is>
          <t>VÄSTERNORRLANDS LÄN</t>
        </is>
      </c>
      <c r="E1575" t="inlineStr">
        <is>
          <t>SUNDSVALL</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27979-2019</t>
        </is>
      </c>
      <c r="B1576" s="1" t="n">
        <v>43620</v>
      </c>
      <c r="C1576" s="1" t="n">
        <v>45657</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27986-2019</t>
        </is>
      </c>
      <c r="B1577" s="1" t="n">
        <v>43620</v>
      </c>
      <c r="C1577" s="1" t="n">
        <v>45657</v>
      </c>
      <c r="D1577" t="inlineStr">
        <is>
          <t>VÄSTERNORRLANDS LÄN</t>
        </is>
      </c>
      <c r="E1577" t="inlineStr">
        <is>
          <t>SUNDSVALL</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28212-2019</t>
        </is>
      </c>
      <c r="B1578" s="1" t="n">
        <v>43621</v>
      </c>
      <c r="C1578" s="1" t="n">
        <v>45657</v>
      </c>
      <c r="D1578" t="inlineStr">
        <is>
          <t>VÄSTERNORRLANDS LÄN</t>
        </is>
      </c>
      <c r="E1578" t="inlineStr">
        <is>
          <t>SOLLEFTEÅ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28186-2019</t>
        </is>
      </c>
      <c r="B1579" s="1" t="n">
        <v>43621</v>
      </c>
      <c r="C1579" s="1" t="n">
        <v>45657</v>
      </c>
      <c r="D1579" t="inlineStr">
        <is>
          <t>VÄSTERNORRLANDS LÄN</t>
        </is>
      </c>
      <c r="E1579" t="inlineStr">
        <is>
          <t>ÖRNSKÖLDSVIK</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28236-2019</t>
        </is>
      </c>
      <c r="B1580" s="1" t="n">
        <v>43621</v>
      </c>
      <c r="C1580" s="1" t="n">
        <v>45657</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29501-2019</t>
        </is>
      </c>
      <c r="B1581" s="1" t="n">
        <v>43621</v>
      </c>
      <c r="C1581" s="1" t="n">
        <v>45657</v>
      </c>
      <c r="D1581" t="inlineStr">
        <is>
          <t>VÄSTERNORRLANDS LÄN</t>
        </is>
      </c>
      <c r="E1581" t="inlineStr">
        <is>
          <t>ÖRNSKÖLDSVIK</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29104-2019</t>
        </is>
      </c>
      <c r="B1582" s="1" t="n">
        <v>43621</v>
      </c>
      <c r="C1582" s="1" t="n">
        <v>45657</v>
      </c>
      <c r="D1582" t="inlineStr">
        <is>
          <t>VÄSTERNORRLANDS LÄN</t>
        </is>
      </c>
      <c r="E1582" t="inlineStr">
        <is>
          <t>ÖRNSKÖLDSVIK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29107-2019</t>
        </is>
      </c>
      <c r="B1583" s="1" t="n">
        <v>43621</v>
      </c>
      <c r="C1583" s="1" t="n">
        <v>45657</v>
      </c>
      <c r="D1583" t="inlineStr">
        <is>
          <t>VÄSTERNORRLANDS LÄN</t>
        </is>
      </c>
      <c r="E1583" t="inlineStr">
        <is>
          <t>ÖRNSKÖLDSVIK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28603-2019</t>
        </is>
      </c>
      <c r="B1584" s="1" t="n">
        <v>43626</v>
      </c>
      <c r="C1584" s="1" t="n">
        <v>45657</v>
      </c>
      <c r="D1584" t="inlineStr">
        <is>
          <t>VÄSTERNORRLANDS LÄN</t>
        </is>
      </c>
      <c r="E1584" t="inlineStr">
        <is>
          <t>KRAMFORS</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28602-2019</t>
        </is>
      </c>
      <c r="B1585" s="1" t="n">
        <v>43626</v>
      </c>
      <c r="C1585" s="1" t="n">
        <v>45657</v>
      </c>
      <c r="D1585" t="inlineStr">
        <is>
          <t>VÄSTERNORRLANDS LÄN</t>
        </is>
      </c>
      <c r="E1585" t="inlineStr">
        <is>
          <t>KRAMFORS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28516-2019</t>
        </is>
      </c>
      <c r="B1586" s="1" t="n">
        <v>43626</v>
      </c>
      <c r="C1586" s="1" t="n">
        <v>45657</v>
      </c>
      <c r="D1586" t="inlineStr">
        <is>
          <t>VÄSTERNORRLANDS LÄN</t>
        </is>
      </c>
      <c r="E1586" t="inlineStr">
        <is>
          <t>KRAMFORS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28425-2019</t>
        </is>
      </c>
      <c r="B1587" s="1" t="n">
        <v>43626</v>
      </c>
      <c r="C1587" s="1" t="n">
        <v>45657</v>
      </c>
      <c r="D1587" t="inlineStr">
        <is>
          <t>VÄSTERNORRLANDS LÄN</t>
        </is>
      </c>
      <c r="E1587" t="inlineStr">
        <is>
          <t>ÖRNSKÖLDSVIK</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28856-2019</t>
        </is>
      </c>
      <c r="B1588" s="1" t="n">
        <v>43627</v>
      </c>
      <c r="C1588" s="1" t="n">
        <v>45657</v>
      </c>
      <c r="D1588" t="inlineStr">
        <is>
          <t>VÄSTERNORRLANDS LÄN</t>
        </is>
      </c>
      <c r="E1588" t="inlineStr">
        <is>
          <t>ÅNGE</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29393-2019</t>
        </is>
      </c>
      <c r="B1589" s="1" t="n">
        <v>43627</v>
      </c>
      <c r="C1589" s="1" t="n">
        <v>45657</v>
      </c>
      <c r="D1589" t="inlineStr">
        <is>
          <t>VÄSTERNORRLANDS LÄN</t>
        </is>
      </c>
      <c r="E1589" t="inlineStr">
        <is>
          <t>ÖRNSKÖLDSVIK</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28858-2019</t>
        </is>
      </c>
      <c r="B1590" s="1" t="n">
        <v>43627</v>
      </c>
      <c r="C1590" s="1" t="n">
        <v>45657</v>
      </c>
      <c r="D1590" t="inlineStr">
        <is>
          <t>VÄSTERNORRLANDS LÄN</t>
        </is>
      </c>
      <c r="E1590" t="inlineStr">
        <is>
          <t>ÅNGE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29551-2019</t>
        </is>
      </c>
      <c r="B1591" s="1" t="n">
        <v>43627</v>
      </c>
      <c r="C1591" s="1" t="n">
        <v>45657</v>
      </c>
      <c r="D1591" t="inlineStr">
        <is>
          <t>VÄSTERNORRLANDS LÄN</t>
        </is>
      </c>
      <c r="E1591" t="inlineStr">
        <is>
          <t>ÖRNSKÖLDSVIK</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28792-2019</t>
        </is>
      </c>
      <c r="B1592" s="1" t="n">
        <v>43627</v>
      </c>
      <c r="C1592" s="1" t="n">
        <v>45657</v>
      </c>
      <c r="D1592" t="inlineStr">
        <is>
          <t>VÄSTERNORRLANDS LÄN</t>
        </is>
      </c>
      <c r="E1592" t="inlineStr">
        <is>
          <t>KRAMFORS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28857-2019</t>
        </is>
      </c>
      <c r="B1593" s="1" t="n">
        <v>43627</v>
      </c>
      <c r="C1593" s="1" t="n">
        <v>45657</v>
      </c>
      <c r="D1593" t="inlineStr">
        <is>
          <t>VÄSTERNORRLANDS LÄN</t>
        </is>
      </c>
      <c r="E1593" t="inlineStr">
        <is>
          <t>ÅNGE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28855-2019</t>
        </is>
      </c>
      <c r="B1594" s="1" t="n">
        <v>43627</v>
      </c>
      <c r="C1594" s="1" t="n">
        <v>45657</v>
      </c>
      <c r="D1594" t="inlineStr">
        <is>
          <t>VÄSTERNORRLANDS LÄN</t>
        </is>
      </c>
      <c r="E1594" t="inlineStr">
        <is>
          <t>ÅNGE</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29625-2019</t>
        </is>
      </c>
      <c r="B1595" s="1" t="n">
        <v>43628</v>
      </c>
      <c r="C1595" s="1" t="n">
        <v>45657</v>
      </c>
      <c r="D1595" t="inlineStr">
        <is>
          <t>VÄSTERNORRLANDS LÄN</t>
        </is>
      </c>
      <c r="E1595" t="inlineStr">
        <is>
          <t>ÖRNSKÖLDSVIK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29698-2019</t>
        </is>
      </c>
      <c r="B1596" s="1" t="n">
        <v>43628</v>
      </c>
      <c r="C1596" s="1" t="n">
        <v>45657</v>
      </c>
      <c r="D1596" t="inlineStr">
        <is>
          <t>VÄSTERNORRLANDS LÄN</t>
        </is>
      </c>
      <c r="E1596" t="inlineStr">
        <is>
          <t>HÄRNÖSAND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29621-2019</t>
        </is>
      </c>
      <c r="B1597" s="1" t="n">
        <v>43628</v>
      </c>
      <c r="C1597" s="1" t="n">
        <v>45657</v>
      </c>
      <c r="D1597" t="inlineStr">
        <is>
          <t>VÄSTERNORRLANDS LÄN</t>
        </is>
      </c>
      <c r="E1597" t="inlineStr">
        <is>
          <t>HÄRNÖSAND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29141-2019</t>
        </is>
      </c>
      <c r="B1598" s="1" t="n">
        <v>43628</v>
      </c>
      <c r="C1598" s="1" t="n">
        <v>45657</v>
      </c>
      <c r="D1598" t="inlineStr">
        <is>
          <t>VÄSTERNORRLANDS LÄN</t>
        </is>
      </c>
      <c r="E1598" t="inlineStr">
        <is>
          <t>ÅNGE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29163-2019</t>
        </is>
      </c>
      <c r="B1599" s="1" t="n">
        <v>43628</v>
      </c>
      <c r="C1599" s="1" t="n">
        <v>45657</v>
      </c>
      <c r="D1599" t="inlineStr">
        <is>
          <t>VÄSTERNORRLANDS LÄN</t>
        </is>
      </c>
      <c r="E1599" t="inlineStr">
        <is>
          <t>TIMRÅ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29168-2019</t>
        </is>
      </c>
      <c r="B1600" s="1" t="n">
        <v>43628</v>
      </c>
      <c r="C1600" s="1" t="n">
        <v>45657</v>
      </c>
      <c r="D1600" t="inlineStr">
        <is>
          <t>VÄSTERNORRLANDS LÄN</t>
        </is>
      </c>
      <c r="E1600" t="inlineStr">
        <is>
          <t>SUNDSVALL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29829-2019</t>
        </is>
      </c>
      <c r="B1601" s="1" t="n">
        <v>43629</v>
      </c>
      <c r="C1601" s="1" t="n">
        <v>45657</v>
      </c>
      <c r="D1601" t="inlineStr">
        <is>
          <t>VÄSTERNORRLANDS LÄN</t>
        </is>
      </c>
      <c r="E1601" t="inlineStr">
        <is>
          <t>ÖRNSKÖLDSVIK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29486-2019</t>
        </is>
      </c>
      <c r="B1602" s="1" t="n">
        <v>43629</v>
      </c>
      <c r="C1602" s="1" t="n">
        <v>45657</v>
      </c>
      <c r="D1602" t="inlineStr">
        <is>
          <t>VÄSTERNORRLANDS LÄN</t>
        </is>
      </c>
      <c r="E1602" t="inlineStr">
        <is>
          <t>HÄRNÖSAND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29838-2019</t>
        </is>
      </c>
      <c r="B1603" s="1" t="n">
        <v>43629</v>
      </c>
      <c r="C1603" s="1" t="n">
        <v>45657</v>
      </c>
      <c r="D1603" t="inlineStr">
        <is>
          <t>VÄSTERNORRLANDS LÄN</t>
        </is>
      </c>
      <c r="E1603" t="inlineStr">
        <is>
          <t>ÖRNSKÖLDSVIK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29485-2019</t>
        </is>
      </c>
      <c r="B1604" s="1" t="n">
        <v>43629</v>
      </c>
      <c r="C1604" s="1" t="n">
        <v>45657</v>
      </c>
      <c r="D1604" t="inlineStr">
        <is>
          <t>VÄSTERNORRLANDS LÄN</t>
        </is>
      </c>
      <c r="E1604" t="inlineStr">
        <is>
          <t>TIMRÅ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29587-2019</t>
        </is>
      </c>
      <c r="B1605" s="1" t="n">
        <v>43630</v>
      </c>
      <c r="C1605" s="1" t="n">
        <v>45657</v>
      </c>
      <c r="D1605" t="inlineStr">
        <is>
          <t>VÄSTERNORRLANDS LÄN</t>
        </is>
      </c>
      <c r="E1605" t="inlineStr">
        <is>
          <t>ÖRNSKÖLDSVIK</t>
        </is>
      </c>
      <c r="F1605" t="inlineStr">
        <is>
          <t>Holmen skog AB</t>
        </is>
      </c>
      <c r="G1605" t="n">
        <v>14.6</v>
      </c>
      <c r="H1605" t="n">
        <v>0</v>
      </c>
      <c r="I1605" t="n">
        <v>0</v>
      </c>
      <c r="J1605" t="n">
        <v>0</v>
      </c>
      <c r="K1605" t="n">
        <v>0</v>
      </c>
      <c r="L1605" t="n">
        <v>0</v>
      </c>
      <c r="M1605" t="n">
        <v>0</v>
      </c>
      <c r="N1605" t="n">
        <v>0</v>
      </c>
      <c r="O1605" t="n">
        <v>0</v>
      </c>
      <c r="P1605" t="n">
        <v>0</v>
      </c>
      <c r="Q1605" t="n">
        <v>0</v>
      </c>
      <c r="R1605" s="2" t="inlineStr"/>
    </row>
    <row r="1606" ht="15" customHeight="1">
      <c r="A1606" t="inlineStr">
        <is>
          <t>A 29978-2019</t>
        </is>
      </c>
      <c r="B1606" s="1" t="n">
        <v>43630</v>
      </c>
      <c r="C1606" s="1" t="n">
        <v>45657</v>
      </c>
      <c r="D1606" t="inlineStr">
        <is>
          <t>VÄSTERNORRLANDS LÄN</t>
        </is>
      </c>
      <c r="E1606" t="inlineStr">
        <is>
          <t>SUNDSVALL</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29985-2019</t>
        </is>
      </c>
      <c r="B1607" s="1" t="n">
        <v>43630</v>
      </c>
      <c r="C1607" s="1" t="n">
        <v>45657</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29751-2019</t>
        </is>
      </c>
      <c r="B1608" s="1" t="n">
        <v>43630</v>
      </c>
      <c r="C1608" s="1" t="n">
        <v>45657</v>
      </c>
      <c r="D1608" t="inlineStr">
        <is>
          <t>VÄSTERNORRLANDS LÄN</t>
        </is>
      </c>
      <c r="E1608" t="inlineStr">
        <is>
          <t>TIMRÅ</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29772-2019</t>
        </is>
      </c>
      <c r="B1609" s="1" t="n">
        <v>43632</v>
      </c>
      <c r="C1609" s="1" t="n">
        <v>45657</v>
      </c>
      <c r="D1609" t="inlineStr">
        <is>
          <t>VÄSTERNORRLANDS LÄN</t>
        </is>
      </c>
      <c r="E1609" t="inlineStr">
        <is>
          <t>ÖRNSKÖLDSVIK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29794-2019</t>
        </is>
      </c>
      <c r="B1610" s="1" t="n">
        <v>43633</v>
      </c>
      <c r="C1610" s="1" t="n">
        <v>45657</v>
      </c>
      <c r="D1610" t="inlineStr">
        <is>
          <t>VÄSTERNORRLANDS LÄN</t>
        </is>
      </c>
      <c r="E1610" t="inlineStr">
        <is>
          <t>ÅNGE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30423-2019</t>
        </is>
      </c>
      <c r="B1611" s="1" t="n">
        <v>43633</v>
      </c>
      <c r="C1611" s="1" t="n">
        <v>45657</v>
      </c>
      <c r="D1611" t="inlineStr">
        <is>
          <t>VÄSTERNORRLANDS LÄN</t>
        </is>
      </c>
      <c r="E1611" t="inlineStr">
        <is>
          <t>ÖRNSKÖLDSVIK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30427-2019</t>
        </is>
      </c>
      <c r="B1612" s="1" t="n">
        <v>43633</v>
      </c>
      <c r="C1612" s="1" t="n">
        <v>45657</v>
      </c>
      <c r="D1612" t="inlineStr">
        <is>
          <t>VÄSTERNORRLANDS LÄN</t>
        </is>
      </c>
      <c r="E1612" t="inlineStr">
        <is>
          <t>ÖRNSKÖLDSVIK</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29786-2019</t>
        </is>
      </c>
      <c r="B1613" s="1" t="n">
        <v>43633</v>
      </c>
      <c r="C1613" s="1" t="n">
        <v>45657</v>
      </c>
      <c r="D1613" t="inlineStr">
        <is>
          <t>VÄSTERNORRLANDS LÄN</t>
        </is>
      </c>
      <c r="E1613" t="inlineStr">
        <is>
          <t>ÅNGE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29813-2019</t>
        </is>
      </c>
      <c r="B1614" s="1" t="n">
        <v>43633</v>
      </c>
      <c r="C1614" s="1" t="n">
        <v>45657</v>
      </c>
      <c r="D1614" t="inlineStr">
        <is>
          <t>VÄSTERNORRLANDS LÄN</t>
        </is>
      </c>
      <c r="E1614" t="inlineStr">
        <is>
          <t>SUNDSVALL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30383-2019</t>
        </is>
      </c>
      <c r="B1615" s="1" t="n">
        <v>43634</v>
      </c>
      <c r="C1615" s="1" t="n">
        <v>45657</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30253-2019</t>
        </is>
      </c>
      <c r="B1616" s="1" t="n">
        <v>43634</v>
      </c>
      <c r="C1616" s="1" t="n">
        <v>45657</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30628-2019</t>
        </is>
      </c>
      <c r="B1617" s="1" t="n">
        <v>43635</v>
      </c>
      <c r="C1617" s="1" t="n">
        <v>45657</v>
      </c>
      <c r="D1617" t="inlineStr">
        <is>
          <t>VÄSTERNORRLANDS LÄN</t>
        </is>
      </c>
      <c r="E1617" t="inlineStr">
        <is>
          <t>SOLLEFTEÅ</t>
        </is>
      </c>
      <c r="F1617" t="inlineStr">
        <is>
          <t>SCA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31217-2019</t>
        </is>
      </c>
      <c r="B1618" s="1" t="n">
        <v>43635</v>
      </c>
      <c r="C1618" s="1" t="n">
        <v>45657</v>
      </c>
      <c r="D1618" t="inlineStr">
        <is>
          <t>VÄSTERNORRLANDS LÄN</t>
        </is>
      </c>
      <c r="E1618" t="inlineStr">
        <is>
          <t>ÖRNSKÖLDSVIK</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30608-2019</t>
        </is>
      </c>
      <c r="B1619" s="1" t="n">
        <v>43635</v>
      </c>
      <c r="C1619" s="1" t="n">
        <v>45657</v>
      </c>
      <c r="D1619" t="inlineStr">
        <is>
          <t>VÄSTERNORRLANDS LÄN</t>
        </is>
      </c>
      <c r="E1619" t="inlineStr">
        <is>
          <t>SUNDSVALL</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31214-2019</t>
        </is>
      </c>
      <c r="B1620" s="1" t="n">
        <v>43635</v>
      </c>
      <c r="C1620" s="1" t="n">
        <v>45657</v>
      </c>
      <c r="D1620" t="inlineStr">
        <is>
          <t>VÄSTERNORRLANDS LÄN</t>
        </is>
      </c>
      <c r="E1620" t="inlineStr">
        <is>
          <t>ÖRNSKÖLDSVIK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30704-2019</t>
        </is>
      </c>
      <c r="B1621" s="1" t="n">
        <v>43636</v>
      </c>
      <c r="C1621" s="1" t="n">
        <v>45657</v>
      </c>
      <c r="D1621" t="inlineStr">
        <is>
          <t>VÄSTERNORRLANDS LÄN</t>
        </is>
      </c>
      <c r="E1621" t="inlineStr">
        <is>
          <t>ÖRNSKÖLDSVIK</t>
        </is>
      </c>
      <c r="F1621" t="inlineStr">
        <is>
          <t>Holmen skog AB</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31064-2019</t>
        </is>
      </c>
      <c r="B1622" s="1" t="n">
        <v>43636</v>
      </c>
      <c r="C1622" s="1" t="n">
        <v>45657</v>
      </c>
      <c r="D1622" t="inlineStr">
        <is>
          <t>VÄSTERNORRLANDS LÄN</t>
        </is>
      </c>
      <c r="E1622" t="inlineStr">
        <is>
          <t>SUNDSVALL</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30952-2019</t>
        </is>
      </c>
      <c r="B1623" s="1" t="n">
        <v>43637</v>
      </c>
      <c r="C1623" s="1" t="n">
        <v>45657</v>
      </c>
      <c r="D1623" t="inlineStr">
        <is>
          <t>VÄSTERNORRLANDS LÄN</t>
        </is>
      </c>
      <c r="E1623" t="inlineStr">
        <is>
          <t>ÖRNSKÖLDSVIK</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31042-2019</t>
        </is>
      </c>
      <c r="B1624" s="1" t="n">
        <v>43640</v>
      </c>
      <c r="C1624" s="1" t="n">
        <v>45657</v>
      </c>
      <c r="D1624" t="inlineStr">
        <is>
          <t>VÄSTERNORRLANDS LÄN</t>
        </is>
      </c>
      <c r="E1624" t="inlineStr">
        <is>
          <t>ÖRNSKÖLDSVIK</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31248-2019</t>
        </is>
      </c>
      <c r="B1625" s="1" t="n">
        <v>43640</v>
      </c>
      <c r="C1625" s="1" t="n">
        <v>45657</v>
      </c>
      <c r="D1625" t="inlineStr">
        <is>
          <t>VÄSTERNORRLANDS LÄN</t>
        </is>
      </c>
      <c r="E1625" t="inlineStr">
        <is>
          <t>HÄRNÖSAND</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31287-2019</t>
        </is>
      </c>
      <c r="B1626" s="1" t="n">
        <v>43640</v>
      </c>
      <c r="C1626" s="1" t="n">
        <v>45657</v>
      </c>
      <c r="D1626" t="inlineStr">
        <is>
          <t>VÄSTERNORRLANDS LÄN</t>
        </is>
      </c>
      <c r="E1626" t="inlineStr">
        <is>
          <t>HÄRNÖSAND</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30985-2019</t>
        </is>
      </c>
      <c r="B1627" s="1" t="n">
        <v>43640</v>
      </c>
      <c r="C1627" s="1" t="n">
        <v>45657</v>
      </c>
      <c r="D1627" t="inlineStr">
        <is>
          <t>VÄSTERNORRLANDS LÄN</t>
        </is>
      </c>
      <c r="E1627" t="inlineStr">
        <is>
          <t>KRAMFORS</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31285-2019</t>
        </is>
      </c>
      <c r="B1628" s="1" t="n">
        <v>43640</v>
      </c>
      <c r="C1628" s="1" t="n">
        <v>45657</v>
      </c>
      <c r="D1628" t="inlineStr">
        <is>
          <t>VÄSTERNORRLANDS LÄN</t>
        </is>
      </c>
      <c r="E1628" t="inlineStr">
        <is>
          <t>SUNDSVALL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31001-2019</t>
        </is>
      </c>
      <c r="B1629" s="1" t="n">
        <v>43640</v>
      </c>
      <c r="C1629" s="1" t="n">
        <v>45657</v>
      </c>
      <c r="D1629" t="inlineStr">
        <is>
          <t>VÄSTERNORRLANDS LÄN</t>
        </is>
      </c>
      <c r="E1629" t="inlineStr">
        <is>
          <t>ÅNGE</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31578-2019</t>
        </is>
      </c>
      <c r="B1630" s="1" t="n">
        <v>43641</v>
      </c>
      <c r="C1630" s="1" t="n">
        <v>45657</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31572-2019</t>
        </is>
      </c>
      <c r="B1631" s="1" t="n">
        <v>43641</v>
      </c>
      <c r="C1631" s="1" t="n">
        <v>45657</v>
      </c>
      <c r="D1631" t="inlineStr">
        <is>
          <t>VÄSTERNORRLANDS LÄN</t>
        </is>
      </c>
      <c r="E1631" t="inlineStr">
        <is>
          <t>SUNDSVALL</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31369-2019</t>
        </is>
      </c>
      <c r="B1632" s="1" t="n">
        <v>43641</v>
      </c>
      <c r="C1632" s="1" t="n">
        <v>45657</v>
      </c>
      <c r="D1632" t="inlineStr">
        <is>
          <t>VÄSTERNORRLANDS LÄN</t>
        </is>
      </c>
      <c r="E1632" t="inlineStr">
        <is>
          <t>ÖRNSKÖLDSVIK</t>
        </is>
      </c>
      <c r="F1632" t="inlineStr">
        <is>
          <t>Holmen skog AB</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31804-2019</t>
        </is>
      </c>
      <c r="B1633" s="1" t="n">
        <v>43642</v>
      </c>
      <c r="C1633" s="1" t="n">
        <v>45657</v>
      </c>
      <c r="D1633" t="inlineStr">
        <is>
          <t>VÄSTERNORRLANDS LÄN</t>
        </is>
      </c>
      <c r="E1633" t="inlineStr">
        <is>
          <t>ÅNGE</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31944-2019</t>
        </is>
      </c>
      <c r="B1634" s="1" t="n">
        <v>43643</v>
      </c>
      <c r="C1634" s="1" t="n">
        <v>45657</v>
      </c>
      <c r="D1634" t="inlineStr">
        <is>
          <t>VÄSTERNORRLANDS LÄN</t>
        </is>
      </c>
      <c r="E1634" t="inlineStr">
        <is>
          <t>ÖRNSKÖLDSVIK</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31940-2019</t>
        </is>
      </c>
      <c r="B1635" s="1" t="n">
        <v>43643</v>
      </c>
      <c r="C1635" s="1" t="n">
        <v>45657</v>
      </c>
      <c r="D1635" t="inlineStr">
        <is>
          <t>VÄSTERNORRLANDS LÄN</t>
        </is>
      </c>
      <c r="E1635" t="inlineStr">
        <is>
          <t>ÖRNSKÖLDSVIK</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32202-2019</t>
        </is>
      </c>
      <c r="B1636" s="1" t="n">
        <v>43643</v>
      </c>
      <c r="C1636" s="1" t="n">
        <v>45657</v>
      </c>
      <c r="D1636" t="inlineStr">
        <is>
          <t>VÄSTERNORRLANDS LÄN</t>
        </is>
      </c>
      <c r="E1636" t="inlineStr">
        <is>
          <t>SOLLEFTEÅ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32207-2019</t>
        </is>
      </c>
      <c r="B1637" s="1" t="n">
        <v>43643</v>
      </c>
      <c r="C1637" s="1" t="n">
        <v>45657</v>
      </c>
      <c r="D1637" t="inlineStr">
        <is>
          <t>VÄSTERNORRLANDS LÄN</t>
        </is>
      </c>
      <c r="E1637" t="inlineStr">
        <is>
          <t>SUNDSVALL</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32203-2019</t>
        </is>
      </c>
      <c r="B1638" s="1" t="n">
        <v>43643</v>
      </c>
      <c r="C1638" s="1" t="n">
        <v>45657</v>
      </c>
      <c r="D1638" t="inlineStr">
        <is>
          <t>VÄSTERNORRLANDS LÄN</t>
        </is>
      </c>
      <c r="E1638" t="inlineStr">
        <is>
          <t>SOLLEFTEÅ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33257-2019</t>
        </is>
      </c>
      <c r="B1639" s="1" t="n">
        <v>43643</v>
      </c>
      <c r="C1639" s="1" t="n">
        <v>45657</v>
      </c>
      <c r="D1639" t="inlineStr">
        <is>
          <t>VÄSTERNORRLANDS LÄN</t>
        </is>
      </c>
      <c r="E1639" t="inlineStr">
        <is>
          <t>ÖRNSKÖLDSVIK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33237-2019</t>
        </is>
      </c>
      <c r="B1640" s="1" t="n">
        <v>43643</v>
      </c>
      <c r="C1640" s="1" t="n">
        <v>45657</v>
      </c>
      <c r="D1640" t="inlineStr">
        <is>
          <t>VÄSTERNORRLANDS LÄN</t>
        </is>
      </c>
      <c r="E1640" t="inlineStr">
        <is>
          <t>ÖRNSKÖLDSVIK</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32774-2019</t>
        </is>
      </c>
      <c r="B1641" s="1" t="n">
        <v>43643</v>
      </c>
      <c r="C1641" s="1" t="n">
        <v>45657</v>
      </c>
      <c r="D1641" t="inlineStr">
        <is>
          <t>VÄSTERNORRLANDS LÄN</t>
        </is>
      </c>
      <c r="E1641" t="inlineStr">
        <is>
          <t>ÖRNSKÖLDSVIK</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32184-2019</t>
        </is>
      </c>
      <c r="B1642" s="1" t="n">
        <v>43643</v>
      </c>
      <c r="C1642" s="1" t="n">
        <v>45657</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32252-2019</t>
        </is>
      </c>
      <c r="B1643" s="1" t="n">
        <v>43644</v>
      </c>
      <c r="C1643" s="1" t="n">
        <v>45657</v>
      </c>
      <c r="D1643" t="inlineStr">
        <is>
          <t>VÄSTERNORRLANDS LÄN</t>
        </is>
      </c>
      <c r="E1643" t="inlineStr">
        <is>
          <t>ÖRNSKÖLDSVIK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32249-2019</t>
        </is>
      </c>
      <c r="B1644" s="1" t="n">
        <v>43644</v>
      </c>
      <c r="C1644" s="1" t="n">
        <v>45657</v>
      </c>
      <c r="D1644" t="inlineStr">
        <is>
          <t>VÄSTERNORRLANDS LÄN</t>
        </is>
      </c>
      <c r="E1644" t="inlineStr">
        <is>
          <t>ÖRNSKÖLDSVIK</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32331-2019</t>
        </is>
      </c>
      <c r="B1645" s="1" t="n">
        <v>43644</v>
      </c>
      <c r="C1645" s="1" t="n">
        <v>45657</v>
      </c>
      <c r="D1645" t="inlineStr">
        <is>
          <t>VÄSTERNORRLANDS LÄN</t>
        </is>
      </c>
      <c r="E1645" t="inlineStr">
        <is>
          <t>ÖRNSKÖLDSVIK</t>
        </is>
      </c>
      <c r="F1645" t="inlineStr">
        <is>
          <t>Holmen skog AB</t>
        </is>
      </c>
      <c r="G1645" t="n">
        <v>30.6</v>
      </c>
      <c r="H1645" t="n">
        <v>0</v>
      </c>
      <c r="I1645" t="n">
        <v>0</v>
      </c>
      <c r="J1645" t="n">
        <v>0</v>
      </c>
      <c r="K1645" t="n">
        <v>0</v>
      </c>
      <c r="L1645" t="n">
        <v>0</v>
      </c>
      <c r="M1645" t="n">
        <v>0</v>
      </c>
      <c r="N1645" t="n">
        <v>0</v>
      </c>
      <c r="O1645" t="n">
        <v>0</v>
      </c>
      <c r="P1645" t="n">
        <v>0</v>
      </c>
      <c r="Q1645" t="n">
        <v>0</v>
      </c>
      <c r="R1645" s="2" t="inlineStr"/>
    </row>
    <row r="1646" ht="15" customHeight="1">
      <c r="A1646" t="inlineStr">
        <is>
          <t>A 32259-2019</t>
        </is>
      </c>
      <c r="B1646" s="1" t="n">
        <v>43644</v>
      </c>
      <c r="C1646" s="1" t="n">
        <v>45657</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32268-2019</t>
        </is>
      </c>
      <c r="B1647" s="1" t="n">
        <v>43644</v>
      </c>
      <c r="C1647" s="1" t="n">
        <v>45657</v>
      </c>
      <c r="D1647" t="inlineStr">
        <is>
          <t>VÄSTERNORRLANDS LÄN</t>
        </is>
      </c>
      <c r="E1647" t="inlineStr">
        <is>
          <t>SUNDSVALL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32466-2019</t>
        </is>
      </c>
      <c r="B1648" s="1" t="n">
        <v>43644</v>
      </c>
      <c r="C1648" s="1" t="n">
        <v>45657</v>
      </c>
      <c r="D1648" t="inlineStr">
        <is>
          <t>VÄSTERNORRLANDS LÄN</t>
        </is>
      </c>
      <c r="E1648" t="inlineStr">
        <is>
          <t>ÖRNSKÖLDSVIK</t>
        </is>
      </c>
      <c r="F1648" t="inlineStr">
        <is>
          <t>Holmen skog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32744-2019</t>
        </is>
      </c>
      <c r="B1649" s="1" t="n">
        <v>43647</v>
      </c>
      <c r="C1649" s="1" t="n">
        <v>45657</v>
      </c>
      <c r="D1649" t="inlineStr">
        <is>
          <t>VÄSTERNORRLANDS LÄN</t>
        </is>
      </c>
      <c r="E1649" t="inlineStr">
        <is>
          <t>SOLLEFTEÅ</t>
        </is>
      </c>
      <c r="F1649" t="inlineStr">
        <is>
          <t>SCA</t>
        </is>
      </c>
      <c r="G1649" t="n">
        <v>33.3</v>
      </c>
      <c r="H1649" t="n">
        <v>0</v>
      </c>
      <c r="I1649" t="n">
        <v>0</v>
      </c>
      <c r="J1649" t="n">
        <v>0</v>
      </c>
      <c r="K1649" t="n">
        <v>0</v>
      </c>
      <c r="L1649" t="n">
        <v>0</v>
      </c>
      <c r="M1649" t="n">
        <v>0</v>
      </c>
      <c r="N1649" t="n">
        <v>0</v>
      </c>
      <c r="O1649" t="n">
        <v>0</v>
      </c>
      <c r="P1649" t="n">
        <v>0</v>
      </c>
      <c r="Q1649" t="n">
        <v>0</v>
      </c>
      <c r="R1649" s="2" t="inlineStr"/>
    </row>
    <row r="1650" ht="15" customHeight="1">
      <c r="A1650" t="inlineStr">
        <is>
          <t>A 32740-2019</t>
        </is>
      </c>
      <c r="B1650" s="1" t="n">
        <v>43647</v>
      </c>
      <c r="C1650" s="1" t="n">
        <v>45657</v>
      </c>
      <c r="D1650" t="inlineStr">
        <is>
          <t>VÄSTERNORRLANDS LÄN</t>
        </is>
      </c>
      <c r="E1650" t="inlineStr">
        <is>
          <t>ÅNGE</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32737-2019</t>
        </is>
      </c>
      <c r="B1651" s="1" t="n">
        <v>43647</v>
      </c>
      <c r="C1651" s="1" t="n">
        <v>45657</v>
      </c>
      <c r="D1651" t="inlineStr">
        <is>
          <t>VÄSTERNORRLANDS LÄN</t>
        </is>
      </c>
      <c r="E1651" t="inlineStr">
        <is>
          <t>KRAMFORS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34006-2019</t>
        </is>
      </c>
      <c r="B1652" s="1" t="n">
        <v>43647</v>
      </c>
      <c r="C1652" s="1" t="n">
        <v>45657</v>
      </c>
      <c r="D1652" t="inlineStr">
        <is>
          <t>VÄSTERNORRLANDS LÄN</t>
        </is>
      </c>
      <c r="E1652" t="inlineStr">
        <is>
          <t>SUNDSVALL</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33993-2019</t>
        </is>
      </c>
      <c r="B1653" s="1" t="n">
        <v>43647</v>
      </c>
      <c r="C1653" s="1" t="n">
        <v>45657</v>
      </c>
      <c r="D1653" t="inlineStr">
        <is>
          <t>VÄSTERNORRLANDS LÄN</t>
        </is>
      </c>
      <c r="E1653" t="inlineStr">
        <is>
          <t>SUNDSVALL</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28804-2019</t>
        </is>
      </c>
      <c r="B1654" s="1" t="n">
        <v>43647</v>
      </c>
      <c r="C1654" s="1" t="n">
        <v>45657</v>
      </c>
      <c r="D1654" t="inlineStr">
        <is>
          <t>VÄSTERNORRLANDS LÄN</t>
        </is>
      </c>
      <c r="E1654" t="inlineStr">
        <is>
          <t>ÖRNSKÖLDSVIK</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32982-2019</t>
        </is>
      </c>
      <c r="B1655" s="1" t="n">
        <v>43648</v>
      </c>
      <c r="C1655" s="1" t="n">
        <v>45657</v>
      </c>
      <c r="D1655" t="inlineStr">
        <is>
          <t>VÄSTERNORRLANDS LÄN</t>
        </is>
      </c>
      <c r="E1655" t="inlineStr">
        <is>
          <t>TIMRÅ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34846-2019</t>
        </is>
      </c>
      <c r="B1656" s="1" t="n">
        <v>43648</v>
      </c>
      <c r="C1656" s="1" t="n">
        <v>45657</v>
      </c>
      <c r="D1656" t="inlineStr">
        <is>
          <t>VÄSTERNORRLANDS LÄN</t>
        </is>
      </c>
      <c r="E1656" t="inlineStr">
        <is>
          <t>ÖRNSKÖLDSVIK</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34863-2019</t>
        </is>
      </c>
      <c r="B1657" s="1" t="n">
        <v>43649</v>
      </c>
      <c r="C1657" s="1" t="n">
        <v>45657</v>
      </c>
      <c r="D1657" t="inlineStr">
        <is>
          <t>VÄSTERNORRLANDS LÄN</t>
        </is>
      </c>
      <c r="E1657" t="inlineStr">
        <is>
          <t>ÖRNSKÖLDSVIK</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33160-2019</t>
        </is>
      </c>
      <c r="B1658" s="1" t="n">
        <v>43649</v>
      </c>
      <c r="C1658" s="1" t="n">
        <v>45657</v>
      </c>
      <c r="D1658" t="inlineStr">
        <is>
          <t>VÄSTERNORRLANDS LÄN</t>
        </is>
      </c>
      <c r="E1658" t="inlineStr">
        <is>
          <t>ÖRNSKÖLDSVIK</t>
        </is>
      </c>
      <c r="F1658" t="inlineStr">
        <is>
          <t>Holmen skog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33217-2019</t>
        </is>
      </c>
      <c r="B1659" s="1" t="n">
        <v>43649</v>
      </c>
      <c r="C1659" s="1" t="n">
        <v>45657</v>
      </c>
      <c r="D1659" t="inlineStr">
        <is>
          <t>VÄSTERNORRLANDS LÄN</t>
        </is>
      </c>
      <c r="E1659" t="inlineStr">
        <is>
          <t>SOLLEFTEÅ</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33072-2019</t>
        </is>
      </c>
      <c r="B1660" s="1" t="n">
        <v>43649</v>
      </c>
      <c r="C1660" s="1" t="n">
        <v>45657</v>
      </c>
      <c r="D1660" t="inlineStr">
        <is>
          <t>VÄSTERNORRLANDS LÄN</t>
        </is>
      </c>
      <c r="E1660" t="inlineStr">
        <is>
          <t>ÖRNSKÖLDSVIK</t>
        </is>
      </c>
      <c r="F1660" t="inlineStr">
        <is>
          <t>Holmen skog AB</t>
        </is>
      </c>
      <c r="G1660" t="n">
        <v>11.1</v>
      </c>
      <c r="H1660" t="n">
        <v>0</v>
      </c>
      <c r="I1660" t="n">
        <v>0</v>
      </c>
      <c r="J1660" t="n">
        <v>0</v>
      </c>
      <c r="K1660" t="n">
        <v>0</v>
      </c>
      <c r="L1660" t="n">
        <v>0</v>
      </c>
      <c r="M1660" t="n">
        <v>0</v>
      </c>
      <c r="N1660" t="n">
        <v>0</v>
      </c>
      <c r="O1660" t="n">
        <v>0</v>
      </c>
      <c r="P1660" t="n">
        <v>0</v>
      </c>
      <c r="Q1660" t="n">
        <v>0</v>
      </c>
      <c r="R1660" s="2" t="inlineStr"/>
    </row>
    <row r="1661" ht="15" customHeight="1">
      <c r="A1661" t="inlineStr">
        <is>
          <t>A 33471-2019</t>
        </is>
      </c>
      <c r="B1661" s="1" t="n">
        <v>43650</v>
      </c>
      <c r="C1661" s="1" t="n">
        <v>45657</v>
      </c>
      <c r="D1661" t="inlineStr">
        <is>
          <t>VÄSTERNORRLANDS LÄN</t>
        </is>
      </c>
      <c r="E1661" t="inlineStr">
        <is>
          <t>ÅNGE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33253-2019</t>
        </is>
      </c>
      <c r="B1662" s="1" t="n">
        <v>43650</v>
      </c>
      <c r="C1662" s="1" t="n">
        <v>45657</v>
      </c>
      <c r="D1662" t="inlineStr">
        <is>
          <t>VÄSTERNORRLANDS LÄN</t>
        </is>
      </c>
      <c r="E1662" t="inlineStr">
        <is>
          <t>ÖRNSKÖLDSVIK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33470-2019</t>
        </is>
      </c>
      <c r="B1663" s="1" t="n">
        <v>43650</v>
      </c>
      <c r="C1663" s="1" t="n">
        <v>45657</v>
      </c>
      <c r="D1663" t="inlineStr">
        <is>
          <t>VÄSTERNORRLANDS LÄN</t>
        </is>
      </c>
      <c r="E1663" t="inlineStr">
        <is>
          <t>ÅNGE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33486-2019</t>
        </is>
      </c>
      <c r="B1664" s="1" t="n">
        <v>43650</v>
      </c>
      <c r="C1664" s="1" t="n">
        <v>45657</v>
      </c>
      <c r="D1664" t="inlineStr">
        <is>
          <t>VÄSTERNORRLANDS LÄN</t>
        </is>
      </c>
      <c r="E1664" t="inlineStr">
        <is>
          <t>SUNDSVALL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34886-2019</t>
        </is>
      </c>
      <c r="B1665" s="1" t="n">
        <v>43650</v>
      </c>
      <c r="C1665" s="1" t="n">
        <v>45657</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33833-2019</t>
        </is>
      </c>
      <c r="B1666" s="1" t="n">
        <v>43651</v>
      </c>
      <c r="C1666" s="1" t="n">
        <v>45657</v>
      </c>
      <c r="D1666" t="inlineStr">
        <is>
          <t>VÄSTERNORRLANDS LÄN</t>
        </is>
      </c>
      <c r="E1666" t="inlineStr">
        <is>
          <t>SOLLEFTEÅ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33799-2019</t>
        </is>
      </c>
      <c r="B1667" s="1" t="n">
        <v>43651</v>
      </c>
      <c r="C1667" s="1" t="n">
        <v>45657</v>
      </c>
      <c r="D1667" t="inlineStr">
        <is>
          <t>VÄSTERNORRLANDS LÄN</t>
        </is>
      </c>
      <c r="E1667" t="inlineStr">
        <is>
          <t>ÖRNSKÖLDSVIK</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33826-2019</t>
        </is>
      </c>
      <c r="B1668" s="1" t="n">
        <v>43651</v>
      </c>
      <c r="C1668" s="1" t="n">
        <v>45657</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33835-2019</t>
        </is>
      </c>
      <c r="B1669" s="1" t="n">
        <v>43651</v>
      </c>
      <c r="C1669" s="1" t="n">
        <v>45657</v>
      </c>
      <c r="D1669" t="inlineStr">
        <is>
          <t>VÄSTERNORRLANDS LÄN</t>
        </is>
      </c>
      <c r="E1669" t="inlineStr">
        <is>
          <t>TIMRÅ</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33834-2019</t>
        </is>
      </c>
      <c r="B1670" s="1" t="n">
        <v>43651</v>
      </c>
      <c r="C1670" s="1" t="n">
        <v>45657</v>
      </c>
      <c r="D1670" t="inlineStr">
        <is>
          <t>VÄSTERNORRLANDS LÄN</t>
        </is>
      </c>
      <c r="E1670" t="inlineStr">
        <is>
          <t>TIMRÅ</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35401-2019</t>
        </is>
      </c>
      <c r="B1671" s="1" t="n">
        <v>43651</v>
      </c>
      <c r="C1671" s="1" t="n">
        <v>45657</v>
      </c>
      <c r="D1671" t="inlineStr">
        <is>
          <t>VÄSTERNORRLANDS LÄN</t>
        </is>
      </c>
      <c r="E1671" t="inlineStr">
        <is>
          <t>ÖRNSKÖLDSVIK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35449-2019</t>
        </is>
      </c>
      <c r="B1672" s="1" t="n">
        <v>43651</v>
      </c>
      <c r="C1672" s="1" t="n">
        <v>45657</v>
      </c>
      <c r="D1672" t="inlineStr">
        <is>
          <t>VÄSTERNORRLANDS LÄN</t>
        </is>
      </c>
      <c r="E1672" t="inlineStr">
        <is>
          <t>ÖRNSKÖLDSVIK</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33852-2019</t>
        </is>
      </c>
      <c r="B1673" s="1" t="n">
        <v>43651</v>
      </c>
      <c r="C1673" s="1" t="n">
        <v>45657</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33872-2019</t>
        </is>
      </c>
      <c r="B1674" s="1" t="n">
        <v>43652</v>
      </c>
      <c r="C1674" s="1" t="n">
        <v>45657</v>
      </c>
      <c r="D1674" t="inlineStr">
        <is>
          <t>VÄSTERNORRLANDS LÄN</t>
        </is>
      </c>
      <c r="E1674" t="inlineStr">
        <is>
          <t>ÖRNSKÖLDSVIK</t>
        </is>
      </c>
      <c r="G1674" t="n">
        <v>13.1</v>
      </c>
      <c r="H1674" t="n">
        <v>0</v>
      </c>
      <c r="I1674" t="n">
        <v>0</v>
      </c>
      <c r="J1674" t="n">
        <v>0</v>
      </c>
      <c r="K1674" t="n">
        <v>0</v>
      </c>
      <c r="L1674" t="n">
        <v>0</v>
      </c>
      <c r="M1674" t="n">
        <v>0</v>
      </c>
      <c r="N1674" t="n">
        <v>0</v>
      </c>
      <c r="O1674" t="n">
        <v>0</v>
      </c>
      <c r="P1674" t="n">
        <v>0</v>
      </c>
      <c r="Q1674" t="n">
        <v>0</v>
      </c>
      <c r="R1674" s="2" t="inlineStr"/>
    </row>
    <row r="1675" ht="15" customHeight="1">
      <c r="A1675" t="inlineStr">
        <is>
          <t>A 33914-2019</t>
        </is>
      </c>
      <c r="B1675" s="1" t="n">
        <v>43654</v>
      </c>
      <c r="C1675" s="1" t="n">
        <v>45657</v>
      </c>
      <c r="D1675" t="inlineStr">
        <is>
          <t>VÄSTERNORRLANDS LÄN</t>
        </is>
      </c>
      <c r="E1675" t="inlineStr">
        <is>
          <t>SOLLEFTEÅ</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33965-2019</t>
        </is>
      </c>
      <c r="B1676" s="1" t="n">
        <v>43654</v>
      </c>
      <c r="C1676" s="1" t="n">
        <v>45657</v>
      </c>
      <c r="D1676" t="inlineStr">
        <is>
          <t>VÄSTERNORRLANDS LÄN</t>
        </is>
      </c>
      <c r="E1676" t="inlineStr">
        <is>
          <t>KRAMFORS</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34135-2019</t>
        </is>
      </c>
      <c r="B1677" s="1" t="n">
        <v>43654</v>
      </c>
      <c r="C1677" s="1" t="n">
        <v>45657</v>
      </c>
      <c r="D1677" t="inlineStr">
        <is>
          <t>VÄSTERNORRLANDS LÄN</t>
        </is>
      </c>
      <c r="E1677" t="inlineStr">
        <is>
          <t>ÅNGE</t>
        </is>
      </c>
      <c r="G1677" t="n">
        <v>0.3</v>
      </c>
      <c r="H1677" t="n">
        <v>0</v>
      </c>
      <c r="I1677" t="n">
        <v>0</v>
      </c>
      <c r="J1677" t="n">
        <v>0</v>
      </c>
      <c r="K1677" t="n">
        <v>0</v>
      </c>
      <c r="L1677" t="n">
        <v>0</v>
      </c>
      <c r="M1677" t="n">
        <v>0</v>
      </c>
      <c r="N1677" t="n">
        <v>0</v>
      </c>
      <c r="O1677" t="n">
        <v>0</v>
      </c>
      <c r="P1677" t="n">
        <v>0</v>
      </c>
      <c r="Q1677" t="n">
        <v>0</v>
      </c>
      <c r="R1677" s="2" t="inlineStr"/>
      <c r="U1677">
        <f>HYPERLINK("https://klasma.github.io/Logging_2260/knärot/A 34135-2019 karta knärot.png", "A 34135-2019")</f>
        <v/>
      </c>
      <c r="V1677">
        <f>HYPERLINK("https://klasma.github.io/Logging_2260/klagomål/A 34135-2019 FSC-klagomål.docx", "A 34135-2019")</f>
        <v/>
      </c>
      <c r="W1677">
        <f>HYPERLINK("https://klasma.github.io/Logging_2260/klagomålsmail/A 34135-2019 FSC-klagomål mail.docx", "A 34135-2019")</f>
        <v/>
      </c>
      <c r="X1677">
        <f>HYPERLINK("https://klasma.github.io/Logging_2260/tillsyn/A 34135-2019 tillsynsbegäran.docx", "A 34135-2019")</f>
        <v/>
      </c>
      <c r="Y1677">
        <f>HYPERLINK("https://klasma.github.io/Logging_2260/tillsynsmail/A 34135-2019 tillsynsbegäran mail.docx", "A 34135-2019")</f>
        <v/>
      </c>
    </row>
    <row r="1678" ht="15" customHeight="1">
      <c r="A1678" t="inlineStr">
        <is>
          <t>A 34136-2019</t>
        </is>
      </c>
      <c r="B1678" s="1" t="n">
        <v>43654</v>
      </c>
      <c r="C1678" s="1" t="n">
        <v>45657</v>
      </c>
      <c r="D1678" t="inlineStr">
        <is>
          <t>VÄSTERNORRLANDS LÄN</t>
        </is>
      </c>
      <c r="E1678" t="inlineStr">
        <is>
          <t>SUNDSVALL</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34113-2019</t>
        </is>
      </c>
      <c r="B1679" s="1" t="n">
        <v>43654</v>
      </c>
      <c r="C1679" s="1" t="n">
        <v>45657</v>
      </c>
      <c r="D1679" t="inlineStr">
        <is>
          <t>VÄSTERNORRLANDS LÄN</t>
        </is>
      </c>
      <c r="E1679" t="inlineStr">
        <is>
          <t>SOLLEFTEÅ</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34106-2019</t>
        </is>
      </c>
      <c r="B1680" s="1" t="n">
        <v>43654</v>
      </c>
      <c r="C1680" s="1" t="n">
        <v>45657</v>
      </c>
      <c r="D1680" t="inlineStr">
        <is>
          <t>VÄSTERNORRLANDS LÄN</t>
        </is>
      </c>
      <c r="E1680" t="inlineStr">
        <is>
          <t>TIMRÅ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34311-2019</t>
        </is>
      </c>
      <c r="B1681" s="1" t="n">
        <v>43655</v>
      </c>
      <c r="C1681" s="1" t="n">
        <v>45657</v>
      </c>
      <c r="D1681" t="inlineStr">
        <is>
          <t>VÄSTERNORRLANDS LÄN</t>
        </is>
      </c>
      <c r="E1681" t="inlineStr">
        <is>
          <t>SOLLEFTEÅ</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34229-2019</t>
        </is>
      </c>
      <c r="B1682" s="1" t="n">
        <v>43655</v>
      </c>
      <c r="C1682" s="1" t="n">
        <v>45657</v>
      </c>
      <c r="D1682" t="inlineStr">
        <is>
          <t>VÄSTERNORRLANDS LÄN</t>
        </is>
      </c>
      <c r="E1682" t="inlineStr">
        <is>
          <t>SOLLEFTEÅ</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34302-2019</t>
        </is>
      </c>
      <c r="B1683" s="1" t="n">
        <v>43655</v>
      </c>
      <c r="C1683" s="1" t="n">
        <v>45657</v>
      </c>
      <c r="D1683" t="inlineStr">
        <is>
          <t>VÄSTERNORRLANDS LÄN</t>
        </is>
      </c>
      <c r="E1683" t="inlineStr">
        <is>
          <t>SOLLEFTEÅ</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34317-2019</t>
        </is>
      </c>
      <c r="B1684" s="1" t="n">
        <v>43656</v>
      </c>
      <c r="C1684" s="1" t="n">
        <v>45657</v>
      </c>
      <c r="D1684" t="inlineStr">
        <is>
          <t>VÄSTERNORRLANDS LÄN</t>
        </is>
      </c>
      <c r="E1684" t="inlineStr">
        <is>
          <t>ÖRNSKÖLDSVIK</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34677-2019</t>
        </is>
      </c>
      <c r="B1685" s="1" t="n">
        <v>43657</v>
      </c>
      <c r="C1685" s="1" t="n">
        <v>45657</v>
      </c>
      <c r="D1685" t="inlineStr">
        <is>
          <t>VÄSTERNORRLANDS LÄN</t>
        </is>
      </c>
      <c r="E1685" t="inlineStr">
        <is>
          <t>KRAMFORS</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36074-2019</t>
        </is>
      </c>
      <c r="B1686" s="1" t="n">
        <v>43657</v>
      </c>
      <c r="C1686" s="1" t="n">
        <v>45657</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34684-2019</t>
        </is>
      </c>
      <c r="B1687" s="1" t="n">
        <v>43657</v>
      </c>
      <c r="C1687" s="1" t="n">
        <v>45657</v>
      </c>
      <c r="D1687" t="inlineStr">
        <is>
          <t>VÄSTERNORRLANDS LÄN</t>
        </is>
      </c>
      <c r="E1687" t="inlineStr">
        <is>
          <t>ÖRNSKÖLDSVIK</t>
        </is>
      </c>
      <c r="F1687" t="inlineStr">
        <is>
          <t>Holmen skog AB</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34694-2019</t>
        </is>
      </c>
      <c r="B1688" s="1" t="n">
        <v>43657</v>
      </c>
      <c r="C1688" s="1" t="n">
        <v>45657</v>
      </c>
      <c r="D1688" t="inlineStr">
        <is>
          <t>VÄSTERNORRLANDS LÄN</t>
        </is>
      </c>
      <c r="E1688" t="inlineStr">
        <is>
          <t>HÄRNÖSAND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36077-2019</t>
        </is>
      </c>
      <c r="B1689" s="1" t="n">
        <v>43657</v>
      </c>
      <c r="C1689" s="1" t="n">
        <v>45657</v>
      </c>
      <c r="D1689" t="inlineStr">
        <is>
          <t>VÄSTERNORRLANDS LÄN</t>
        </is>
      </c>
      <c r="E1689" t="inlineStr">
        <is>
          <t>SUNDSVALL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34738-2019</t>
        </is>
      </c>
      <c r="B1690" s="1" t="n">
        <v>43657</v>
      </c>
      <c r="C1690" s="1" t="n">
        <v>45657</v>
      </c>
      <c r="D1690" t="inlineStr">
        <is>
          <t>VÄSTERNORRLANDS LÄN</t>
        </is>
      </c>
      <c r="E1690" t="inlineStr">
        <is>
          <t>SOLLEFTEÅ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34916-2019</t>
        </is>
      </c>
      <c r="B1691" s="1" t="n">
        <v>43658</v>
      </c>
      <c r="C1691" s="1" t="n">
        <v>45657</v>
      </c>
      <c r="D1691" t="inlineStr">
        <is>
          <t>VÄSTERNORRLANDS LÄN</t>
        </is>
      </c>
      <c r="E1691" t="inlineStr">
        <is>
          <t>SOLLEFTEÅ</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35171-2019</t>
        </is>
      </c>
      <c r="B1692" s="1" t="n">
        <v>43661</v>
      </c>
      <c r="C1692" s="1" t="n">
        <v>45657</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35170-2019</t>
        </is>
      </c>
      <c r="B1693" s="1" t="n">
        <v>43661</v>
      </c>
      <c r="C1693" s="1" t="n">
        <v>45657</v>
      </c>
      <c r="D1693" t="inlineStr">
        <is>
          <t>VÄSTERNORRLANDS LÄN</t>
        </is>
      </c>
      <c r="E1693" t="inlineStr">
        <is>
          <t>SUNDSVALL</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36278-2019</t>
        </is>
      </c>
      <c r="B1694" s="1" t="n">
        <v>43661</v>
      </c>
      <c r="C1694" s="1" t="n">
        <v>45657</v>
      </c>
      <c r="D1694" t="inlineStr">
        <is>
          <t>VÄSTERNORRLANDS LÄN</t>
        </is>
      </c>
      <c r="E1694" t="inlineStr">
        <is>
          <t>ÖRNSKÖLDSVIK</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35320-2019</t>
        </is>
      </c>
      <c r="B1695" s="1" t="n">
        <v>43662</v>
      </c>
      <c r="C1695" s="1" t="n">
        <v>45657</v>
      </c>
      <c r="D1695" t="inlineStr">
        <is>
          <t>VÄSTERNORRLANDS LÄN</t>
        </is>
      </c>
      <c r="E1695" t="inlineStr">
        <is>
          <t>SOLLEFTEÅ</t>
        </is>
      </c>
      <c r="F1695" t="inlineStr">
        <is>
          <t>SCA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35671-2019</t>
        </is>
      </c>
      <c r="B1696" s="1" t="n">
        <v>43664</v>
      </c>
      <c r="C1696" s="1" t="n">
        <v>45657</v>
      </c>
      <c r="D1696" t="inlineStr">
        <is>
          <t>VÄSTERNORRLANDS LÄN</t>
        </is>
      </c>
      <c r="E1696" t="inlineStr">
        <is>
          <t>ÖRNSKÖLDSVIK</t>
        </is>
      </c>
      <c r="F1696" t="inlineStr">
        <is>
          <t>Holmen skog AB</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36438-2019</t>
        </is>
      </c>
      <c r="B1697" s="1" t="n">
        <v>43664</v>
      </c>
      <c r="C1697" s="1" t="n">
        <v>45657</v>
      </c>
      <c r="D1697" t="inlineStr">
        <is>
          <t>VÄSTERNORRLANDS LÄN</t>
        </is>
      </c>
      <c r="E1697" t="inlineStr">
        <is>
          <t>ÅNGE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35970-2019</t>
        </is>
      </c>
      <c r="B1698" s="1" t="n">
        <v>43665</v>
      </c>
      <c r="C1698" s="1" t="n">
        <v>45657</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35966-2019</t>
        </is>
      </c>
      <c r="B1699" s="1" t="n">
        <v>43665</v>
      </c>
      <c r="C1699" s="1" t="n">
        <v>45657</v>
      </c>
      <c r="D1699" t="inlineStr">
        <is>
          <t>VÄSTERNORRLANDS LÄN</t>
        </is>
      </c>
      <c r="E1699" t="inlineStr">
        <is>
          <t>SUNDSVALL</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35877-2019</t>
        </is>
      </c>
      <c r="B1700" s="1" t="n">
        <v>43665</v>
      </c>
      <c r="C1700" s="1" t="n">
        <v>45657</v>
      </c>
      <c r="D1700" t="inlineStr">
        <is>
          <t>VÄSTERNORRLANDS LÄN</t>
        </is>
      </c>
      <c r="E1700" t="inlineStr">
        <is>
          <t>TIMRÅ</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35907-2019</t>
        </is>
      </c>
      <c r="B1701" s="1" t="n">
        <v>43665</v>
      </c>
      <c r="C1701" s="1" t="n">
        <v>45657</v>
      </c>
      <c r="D1701" t="inlineStr">
        <is>
          <t>VÄSTERNORRLANDS LÄN</t>
        </is>
      </c>
      <c r="E1701" t="inlineStr">
        <is>
          <t>ÖRNSKÖLDSVIK</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35969-2019</t>
        </is>
      </c>
      <c r="B1702" s="1" t="n">
        <v>43665</v>
      </c>
      <c r="C1702" s="1" t="n">
        <v>45657</v>
      </c>
      <c r="D1702" t="inlineStr">
        <is>
          <t>VÄSTERNORRLANDS LÄN</t>
        </is>
      </c>
      <c r="E1702" t="inlineStr">
        <is>
          <t>SOLLEFTEÅ</t>
        </is>
      </c>
      <c r="F1702" t="inlineStr">
        <is>
          <t>SCA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36026-2019</t>
        </is>
      </c>
      <c r="B1703" s="1" t="n">
        <v>43668</v>
      </c>
      <c r="C1703" s="1" t="n">
        <v>45657</v>
      </c>
      <c r="D1703" t="inlineStr">
        <is>
          <t>VÄSTERNORRLANDS LÄN</t>
        </is>
      </c>
      <c r="E1703" t="inlineStr">
        <is>
          <t>SUNDSVALL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36137-2019</t>
        </is>
      </c>
      <c r="B1704" s="1" t="n">
        <v>43668</v>
      </c>
      <c r="C1704" s="1" t="n">
        <v>45657</v>
      </c>
      <c r="D1704" t="inlineStr">
        <is>
          <t>VÄSTERNORRLANDS LÄN</t>
        </is>
      </c>
      <c r="E1704" t="inlineStr">
        <is>
          <t>SOLLEFTEÅ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36486-2019</t>
        </is>
      </c>
      <c r="B1705" s="1" t="n">
        <v>43668</v>
      </c>
      <c r="C1705" s="1" t="n">
        <v>45657</v>
      </c>
      <c r="D1705" t="inlineStr">
        <is>
          <t>VÄSTERNORRLANDS LÄN</t>
        </is>
      </c>
      <c r="E1705" t="inlineStr">
        <is>
          <t>SOLLEFTEÅ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36176-2019</t>
        </is>
      </c>
      <c r="B1706" s="1" t="n">
        <v>43668</v>
      </c>
      <c r="C1706" s="1" t="n">
        <v>45657</v>
      </c>
      <c r="D1706" t="inlineStr">
        <is>
          <t>VÄSTERNORRLANDS LÄN</t>
        </is>
      </c>
      <c r="E1706" t="inlineStr">
        <is>
          <t>TIMRÅ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36293-2019</t>
        </is>
      </c>
      <c r="B1707" s="1" t="n">
        <v>43669</v>
      </c>
      <c r="C1707" s="1" t="n">
        <v>45657</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36311-2019</t>
        </is>
      </c>
      <c r="B1708" s="1" t="n">
        <v>43670</v>
      </c>
      <c r="C1708" s="1" t="n">
        <v>45657</v>
      </c>
      <c r="D1708" t="inlineStr">
        <is>
          <t>VÄSTERNORRLANDS LÄN</t>
        </is>
      </c>
      <c r="E1708" t="inlineStr">
        <is>
          <t>ÅNGE</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36711-2019</t>
        </is>
      </c>
      <c r="B1709" s="1" t="n">
        <v>43671</v>
      </c>
      <c r="C1709" s="1" t="n">
        <v>45657</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36631-2019</t>
        </is>
      </c>
      <c r="B1710" s="1" t="n">
        <v>43671</v>
      </c>
      <c r="C1710" s="1" t="n">
        <v>45657</v>
      </c>
      <c r="D1710" t="inlineStr">
        <is>
          <t>VÄSTERNORRLANDS LÄN</t>
        </is>
      </c>
      <c r="E1710" t="inlineStr">
        <is>
          <t>ÖRNSKÖLDSVIK</t>
        </is>
      </c>
      <c r="F1710" t="inlineStr">
        <is>
          <t>Holmen skog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36806-2019</t>
        </is>
      </c>
      <c r="B1711" s="1" t="n">
        <v>43672</v>
      </c>
      <c r="C1711" s="1" t="n">
        <v>45657</v>
      </c>
      <c r="D1711" t="inlineStr">
        <is>
          <t>VÄSTERNORRLANDS LÄN</t>
        </is>
      </c>
      <c r="E1711" t="inlineStr">
        <is>
          <t>TIMRÅ</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37070-2019</t>
        </is>
      </c>
      <c r="B1712" s="1" t="n">
        <v>43675</v>
      </c>
      <c r="C1712" s="1" t="n">
        <v>45657</v>
      </c>
      <c r="D1712" t="inlineStr">
        <is>
          <t>VÄSTERNORRLANDS LÄN</t>
        </is>
      </c>
      <c r="E1712" t="inlineStr">
        <is>
          <t>ÖRNSKÖLDSVIK</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37069-2019</t>
        </is>
      </c>
      <c r="B1713" s="1" t="n">
        <v>43676</v>
      </c>
      <c r="C1713" s="1" t="n">
        <v>45657</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37203-2019</t>
        </is>
      </c>
      <c r="B1714" s="1" t="n">
        <v>43677</v>
      </c>
      <c r="C1714" s="1" t="n">
        <v>45657</v>
      </c>
      <c r="D1714" t="inlineStr">
        <is>
          <t>VÄSTERNORRLANDS LÄN</t>
        </is>
      </c>
      <c r="E1714" t="inlineStr">
        <is>
          <t>ÖRNSKÖLDSVIK</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37211-2019</t>
        </is>
      </c>
      <c r="B1715" s="1" t="n">
        <v>43677</v>
      </c>
      <c r="C1715" s="1" t="n">
        <v>45657</v>
      </c>
      <c r="D1715" t="inlineStr">
        <is>
          <t>VÄSTERNORRLANDS LÄN</t>
        </is>
      </c>
      <c r="E1715" t="inlineStr">
        <is>
          <t>ÖRNSKÖLDSVIK</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37201-2019</t>
        </is>
      </c>
      <c r="B1716" s="1" t="n">
        <v>43677</v>
      </c>
      <c r="C1716" s="1" t="n">
        <v>45657</v>
      </c>
      <c r="D1716" t="inlineStr">
        <is>
          <t>VÄSTERNORRLANDS LÄN</t>
        </is>
      </c>
      <c r="E1716" t="inlineStr">
        <is>
          <t>ÖRNSKÖLDSVIK</t>
        </is>
      </c>
      <c r="F1716" t="inlineStr">
        <is>
          <t>Holmen skog AB</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37210-2019</t>
        </is>
      </c>
      <c r="B1717" s="1" t="n">
        <v>43677</v>
      </c>
      <c r="C1717" s="1" t="n">
        <v>45657</v>
      </c>
      <c r="D1717" t="inlineStr">
        <is>
          <t>VÄSTERNORRLANDS LÄN</t>
        </is>
      </c>
      <c r="E1717" t="inlineStr">
        <is>
          <t>ÖRNSKÖLDSVIK</t>
        </is>
      </c>
      <c r="F1717" t="inlineStr">
        <is>
          <t>Holmen skog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37292-2019</t>
        </is>
      </c>
      <c r="B1718" s="1" t="n">
        <v>43677</v>
      </c>
      <c r="C1718" s="1" t="n">
        <v>45657</v>
      </c>
      <c r="D1718" t="inlineStr">
        <is>
          <t>VÄSTERNORRLANDS LÄN</t>
        </is>
      </c>
      <c r="E1718" t="inlineStr">
        <is>
          <t>SOLLEFTEÅ</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37202-2019</t>
        </is>
      </c>
      <c r="B1719" s="1" t="n">
        <v>43677</v>
      </c>
      <c r="C1719" s="1" t="n">
        <v>45657</v>
      </c>
      <c r="D1719" t="inlineStr">
        <is>
          <t>VÄSTERNORRLANDS LÄN</t>
        </is>
      </c>
      <c r="E1719" t="inlineStr">
        <is>
          <t>ÖRNSKÖLDSVIK</t>
        </is>
      </c>
      <c r="F1719" t="inlineStr">
        <is>
          <t>Holmen skog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37291-2019</t>
        </is>
      </c>
      <c r="B1720" s="1" t="n">
        <v>43677</v>
      </c>
      <c r="C1720" s="1" t="n">
        <v>45657</v>
      </c>
      <c r="D1720" t="inlineStr">
        <is>
          <t>VÄSTERNORRLANDS LÄN</t>
        </is>
      </c>
      <c r="E1720" t="inlineStr">
        <is>
          <t>SOLLEFTEÅ</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37378-2019</t>
        </is>
      </c>
      <c r="B1721" s="1" t="n">
        <v>43678</v>
      </c>
      <c r="C1721" s="1" t="n">
        <v>45657</v>
      </c>
      <c r="D1721" t="inlineStr">
        <is>
          <t>VÄSTERNORRLANDS LÄN</t>
        </is>
      </c>
      <c r="E1721" t="inlineStr">
        <is>
          <t>SUNDSVALL</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37434-2019</t>
        </is>
      </c>
      <c r="B1722" s="1" t="n">
        <v>43678</v>
      </c>
      <c r="C1722" s="1" t="n">
        <v>45657</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37652-2019</t>
        </is>
      </c>
      <c r="B1723" s="1" t="n">
        <v>43679</v>
      </c>
      <c r="C1723" s="1" t="n">
        <v>45657</v>
      </c>
      <c r="D1723" t="inlineStr">
        <is>
          <t>VÄSTERNORRLANDS LÄN</t>
        </is>
      </c>
      <c r="E1723" t="inlineStr">
        <is>
          <t>SOLLEFTEÅ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37718-2019</t>
        </is>
      </c>
      <c r="B1724" s="1" t="n">
        <v>43679</v>
      </c>
      <c r="C1724" s="1" t="n">
        <v>45657</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37721-2019</t>
        </is>
      </c>
      <c r="B1725" s="1" t="n">
        <v>43679</v>
      </c>
      <c r="C1725" s="1" t="n">
        <v>45657</v>
      </c>
      <c r="D1725" t="inlineStr">
        <is>
          <t>VÄSTERNORRLANDS LÄN</t>
        </is>
      </c>
      <c r="E1725" t="inlineStr">
        <is>
          <t>ÖRNSKÖLDSVIK</t>
        </is>
      </c>
      <c r="G1725" t="n">
        <v>15.3</v>
      </c>
      <c r="H1725" t="n">
        <v>0</v>
      </c>
      <c r="I1725" t="n">
        <v>0</v>
      </c>
      <c r="J1725" t="n">
        <v>0</v>
      </c>
      <c r="K1725" t="n">
        <v>0</v>
      </c>
      <c r="L1725" t="n">
        <v>0</v>
      </c>
      <c r="M1725" t="n">
        <v>0</v>
      </c>
      <c r="N1725" t="n">
        <v>0</v>
      </c>
      <c r="O1725" t="n">
        <v>0</v>
      </c>
      <c r="P1725" t="n">
        <v>0</v>
      </c>
      <c r="Q1725" t="n">
        <v>0</v>
      </c>
      <c r="R1725" s="2" t="inlineStr"/>
    </row>
    <row r="1726" ht="15" customHeight="1">
      <c r="A1726" t="inlineStr">
        <is>
          <t>A 37745-2019</t>
        </is>
      </c>
      <c r="B1726" s="1" t="n">
        <v>43679</v>
      </c>
      <c r="C1726" s="1" t="n">
        <v>45657</v>
      </c>
      <c r="D1726" t="inlineStr">
        <is>
          <t>VÄSTERNORRLANDS LÄN</t>
        </is>
      </c>
      <c r="E1726" t="inlineStr">
        <is>
          <t>ÅNGE</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37670-2019</t>
        </is>
      </c>
      <c r="B1727" s="1" t="n">
        <v>43679</v>
      </c>
      <c r="C1727" s="1" t="n">
        <v>45657</v>
      </c>
      <c r="D1727" t="inlineStr">
        <is>
          <t>VÄSTERNORRLANDS LÄN</t>
        </is>
      </c>
      <c r="E1727" t="inlineStr">
        <is>
          <t>SOLLEFTEÅ</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38081-2019</t>
        </is>
      </c>
      <c r="B1728" s="1" t="n">
        <v>43682</v>
      </c>
      <c r="C1728" s="1" t="n">
        <v>45657</v>
      </c>
      <c r="D1728" t="inlineStr">
        <is>
          <t>VÄSTERNORRLANDS LÄN</t>
        </is>
      </c>
      <c r="E1728" t="inlineStr">
        <is>
          <t>SOLLEFTEÅ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37891-2019</t>
        </is>
      </c>
      <c r="B1729" s="1" t="n">
        <v>43682</v>
      </c>
      <c r="C1729" s="1" t="n">
        <v>45657</v>
      </c>
      <c r="D1729" t="inlineStr">
        <is>
          <t>VÄSTERNORRLANDS LÄN</t>
        </is>
      </c>
      <c r="E1729" t="inlineStr">
        <is>
          <t>SUNDSVALL</t>
        </is>
      </c>
      <c r="F1729" t="inlineStr">
        <is>
          <t>SCA</t>
        </is>
      </c>
      <c r="G1729" t="n">
        <v>40.1</v>
      </c>
      <c r="H1729" t="n">
        <v>0</v>
      </c>
      <c r="I1729" t="n">
        <v>0</v>
      </c>
      <c r="J1729" t="n">
        <v>0</v>
      </c>
      <c r="K1729" t="n">
        <v>0</v>
      </c>
      <c r="L1729" t="n">
        <v>0</v>
      </c>
      <c r="M1729" t="n">
        <v>0</v>
      </c>
      <c r="N1729" t="n">
        <v>0</v>
      </c>
      <c r="O1729" t="n">
        <v>0</v>
      </c>
      <c r="P1729" t="n">
        <v>0</v>
      </c>
      <c r="Q1729" t="n">
        <v>0</v>
      </c>
      <c r="R1729" s="2" t="inlineStr"/>
    </row>
    <row r="1730" ht="15" customHeight="1">
      <c r="A1730" t="inlineStr">
        <is>
          <t>A 38074-2019</t>
        </is>
      </c>
      <c r="B1730" s="1" t="n">
        <v>43682</v>
      </c>
      <c r="C1730" s="1" t="n">
        <v>45657</v>
      </c>
      <c r="D1730" t="inlineStr">
        <is>
          <t>VÄSTERNORRLANDS LÄN</t>
        </is>
      </c>
      <c r="E1730" t="inlineStr">
        <is>
          <t>SOLLEFTEÅ</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37887-2019</t>
        </is>
      </c>
      <c r="B1731" s="1" t="n">
        <v>43682</v>
      </c>
      <c r="C1731" s="1" t="n">
        <v>45657</v>
      </c>
      <c r="D1731" t="inlineStr">
        <is>
          <t>VÄSTERNORRLANDS LÄN</t>
        </is>
      </c>
      <c r="E1731" t="inlineStr">
        <is>
          <t>ÅNGE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38080-2019</t>
        </is>
      </c>
      <c r="B1732" s="1" t="n">
        <v>43682</v>
      </c>
      <c r="C1732" s="1" t="n">
        <v>45657</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38083-2019</t>
        </is>
      </c>
      <c r="B1733" s="1" t="n">
        <v>43682</v>
      </c>
      <c r="C1733" s="1" t="n">
        <v>45657</v>
      </c>
      <c r="D1733" t="inlineStr">
        <is>
          <t>VÄSTERNORRLANDS LÄN</t>
        </is>
      </c>
      <c r="E1733" t="inlineStr">
        <is>
          <t>SOLLEFTEÅ</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37986-2019</t>
        </is>
      </c>
      <c r="B1734" s="1" t="n">
        <v>43682</v>
      </c>
      <c r="C1734" s="1" t="n">
        <v>45657</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37954-2019</t>
        </is>
      </c>
      <c r="B1735" s="1" t="n">
        <v>43683</v>
      </c>
      <c r="C1735" s="1" t="n">
        <v>45657</v>
      </c>
      <c r="D1735" t="inlineStr">
        <is>
          <t>VÄSTERNORRLANDS LÄN</t>
        </is>
      </c>
      <c r="E1735" t="inlineStr">
        <is>
          <t>ÅNGE</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37914-2019</t>
        </is>
      </c>
      <c r="B1736" s="1" t="n">
        <v>43683</v>
      </c>
      <c r="C1736" s="1" t="n">
        <v>45657</v>
      </c>
      <c r="D1736" t="inlineStr">
        <is>
          <t>VÄSTERNORRLANDS LÄN</t>
        </is>
      </c>
      <c r="E1736" t="inlineStr">
        <is>
          <t>KRAMFORS</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37907-2019</t>
        </is>
      </c>
      <c r="B1737" s="1" t="n">
        <v>43683</v>
      </c>
      <c r="C1737" s="1" t="n">
        <v>45657</v>
      </c>
      <c r="D1737" t="inlineStr">
        <is>
          <t>VÄSTERNORRLANDS LÄN</t>
        </is>
      </c>
      <c r="E1737" t="inlineStr">
        <is>
          <t>SUNDSVALL</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38222-2019</t>
        </is>
      </c>
      <c r="B1738" s="1" t="n">
        <v>43684</v>
      </c>
      <c r="C1738" s="1" t="n">
        <v>45657</v>
      </c>
      <c r="D1738" t="inlineStr">
        <is>
          <t>VÄSTERNORRLANDS LÄN</t>
        </is>
      </c>
      <c r="E1738" t="inlineStr">
        <is>
          <t>ÅNGE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38215-2019</t>
        </is>
      </c>
      <c r="B1739" s="1" t="n">
        <v>43684</v>
      </c>
      <c r="C1739" s="1" t="n">
        <v>45657</v>
      </c>
      <c r="D1739" t="inlineStr">
        <is>
          <t>VÄSTERNORRLANDS LÄN</t>
        </is>
      </c>
      <c r="E1739" t="inlineStr">
        <is>
          <t>ÅNGE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38544-2019</t>
        </is>
      </c>
      <c r="B1740" s="1" t="n">
        <v>43684</v>
      </c>
      <c r="C1740" s="1" t="n">
        <v>45657</v>
      </c>
      <c r="D1740" t="inlineStr">
        <is>
          <t>VÄSTERNORRLANDS LÄN</t>
        </is>
      </c>
      <c r="E1740" t="inlineStr">
        <is>
          <t>SOLLEFTEÅ</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38175-2019</t>
        </is>
      </c>
      <c r="B1741" s="1" t="n">
        <v>43684</v>
      </c>
      <c r="C1741" s="1" t="n">
        <v>45657</v>
      </c>
      <c r="D1741" t="inlineStr">
        <is>
          <t>VÄSTERNORRLANDS LÄN</t>
        </is>
      </c>
      <c r="E1741" t="inlineStr">
        <is>
          <t>ÖRNSKÖLDSVIK</t>
        </is>
      </c>
      <c r="F1741" t="inlineStr">
        <is>
          <t>Holmen skog AB</t>
        </is>
      </c>
      <c r="G1741" t="n">
        <v>44.3</v>
      </c>
      <c r="H1741" t="n">
        <v>0</v>
      </c>
      <c r="I1741" t="n">
        <v>0</v>
      </c>
      <c r="J1741" t="n">
        <v>0</v>
      </c>
      <c r="K1741" t="n">
        <v>0</v>
      </c>
      <c r="L1741" t="n">
        <v>0</v>
      </c>
      <c r="M1741" t="n">
        <v>0</v>
      </c>
      <c r="N1741" t="n">
        <v>0</v>
      </c>
      <c r="O1741" t="n">
        <v>0</v>
      </c>
      <c r="P1741" t="n">
        <v>0</v>
      </c>
      <c r="Q1741" t="n">
        <v>0</v>
      </c>
      <c r="R1741" s="2" t="inlineStr"/>
    </row>
    <row r="1742" ht="15" customHeight="1">
      <c r="A1742" t="inlineStr">
        <is>
          <t>A 38310-2019</t>
        </is>
      </c>
      <c r="B1742" s="1" t="n">
        <v>43684</v>
      </c>
      <c r="C1742" s="1" t="n">
        <v>45657</v>
      </c>
      <c r="D1742" t="inlineStr">
        <is>
          <t>VÄSTERNORRLANDS LÄN</t>
        </is>
      </c>
      <c r="E1742" t="inlineStr">
        <is>
          <t>ÅNGE</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38290-2019</t>
        </is>
      </c>
      <c r="B1743" s="1" t="n">
        <v>43684</v>
      </c>
      <c r="C1743" s="1" t="n">
        <v>45657</v>
      </c>
      <c r="D1743" t="inlineStr">
        <is>
          <t>VÄSTERNORRLANDS LÄN</t>
        </is>
      </c>
      <c r="E1743" t="inlineStr">
        <is>
          <t>SUNDSVALL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38252-2019</t>
        </is>
      </c>
      <c r="B1744" s="1" t="n">
        <v>43684</v>
      </c>
      <c r="C1744" s="1" t="n">
        <v>45657</v>
      </c>
      <c r="D1744" t="inlineStr">
        <is>
          <t>VÄSTERNORRLANDS LÄN</t>
        </is>
      </c>
      <c r="E1744" t="inlineStr">
        <is>
          <t>SOLLEFTEÅ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38396-2019</t>
        </is>
      </c>
      <c r="B1745" s="1" t="n">
        <v>43685</v>
      </c>
      <c r="C1745" s="1" t="n">
        <v>45657</v>
      </c>
      <c r="D1745" t="inlineStr">
        <is>
          <t>VÄSTERNORRLANDS LÄN</t>
        </is>
      </c>
      <c r="E1745" t="inlineStr">
        <is>
          <t>HÄRNÖSAND</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38566-2019</t>
        </is>
      </c>
      <c r="B1746" s="1" t="n">
        <v>43685</v>
      </c>
      <c r="C1746" s="1" t="n">
        <v>45657</v>
      </c>
      <c r="D1746" t="inlineStr">
        <is>
          <t>VÄSTERNORRLANDS LÄN</t>
        </is>
      </c>
      <c r="E1746" t="inlineStr">
        <is>
          <t>SOLLEFTEÅ</t>
        </is>
      </c>
      <c r="F1746" t="inlineStr">
        <is>
          <t>SCA</t>
        </is>
      </c>
      <c r="G1746" t="n">
        <v>15.1</v>
      </c>
      <c r="H1746" t="n">
        <v>0</v>
      </c>
      <c r="I1746" t="n">
        <v>0</v>
      </c>
      <c r="J1746" t="n">
        <v>0</v>
      </c>
      <c r="K1746" t="n">
        <v>0</v>
      </c>
      <c r="L1746" t="n">
        <v>0</v>
      </c>
      <c r="M1746" t="n">
        <v>0</v>
      </c>
      <c r="N1746" t="n">
        <v>0</v>
      </c>
      <c r="O1746" t="n">
        <v>0</v>
      </c>
      <c r="P1746" t="n">
        <v>0</v>
      </c>
      <c r="Q1746" t="n">
        <v>0</v>
      </c>
      <c r="R1746" s="2" t="inlineStr"/>
    </row>
    <row r="1747" ht="15" customHeight="1">
      <c r="A1747" t="inlineStr">
        <is>
          <t>A 38573-2019</t>
        </is>
      </c>
      <c r="B1747" s="1" t="n">
        <v>43685</v>
      </c>
      <c r="C1747" s="1" t="n">
        <v>45657</v>
      </c>
      <c r="D1747" t="inlineStr">
        <is>
          <t>VÄSTERNORRLANDS LÄN</t>
        </is>
      </c>
      <c r="E1747" t="inlineStr">
        <is>
          <t>ÅNGE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38494-2019</t>
        </is>
      </c>
      <c r="B1748" s="1" t="n">
        <v>43685</v>
      </c>
      <c r="C1748" s="1" t="n">
        <v>45657</v>
      </c>
      <c r="D1748" t="inlineStr">
        <is>
          <t>VÄSTERNORRLANDS LÄN</t>
        </is>
      </c>
      <c r="E1748" t="inlineStr">
        <is>
          <t>HÄRNÖSAND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38398-2019</t>
        </is>
      </c>
      <c r="B1749" s="1" t="n">
        <v>43685</v>
      </c>
      <c r="C1749" s="1" t="n">
        <v>45657</v>
      </c>
      <c r="D1749" t="inlineStr">
        <is>
          <t>VÄSTERNORRLANDS LÄN</t>
        </is>
      </c>
      <c r="E1749" t="inlineStr">
        <is>
          <t>HÄRNÖSAND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38388-2019</t>
        </is>
      </c>
      <c r="B1750" s="1" t="n">
        <v>43685</v>
      </c>
      <c r="C1750" s="1" t="n">
        <v>45657</v>
      </c>
      <c r="D1750" t="inlineStr">
        <is>
          <t>VÄSTERNORRLANDS LÄN</t>
        </is>
      </c>
      <c r="E1750" t="inlineStr">
        <is>
          <t>HÄRNÖSAND</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38762-2019</t>
        </is>
      </c>
      <c r="B1751" s="1" t="n">
        <v>43686</v>
      </c>
      <c r="C1751" s="1" t="n">
        <v>45657</v>
      </c>
      <c r="D1751" t="inlineStr">
        <is>
          <t>VÄSTERNORRLANDS LÄN</t>
        </is>
      </c>
      <c r="E1751" t="inlineStr">
        <is>
          <t>SOLLEFTEÅ</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38763-2019</t>
        </is>
      </c>
      <c r="B1752" s="1" t="n">
        <v>43686</v>
      </c>
      <c r="C1752" s="1" t="n">
        <v>45657</v>
      </c>
      <c r="D1752" t="inlineStr">
        <is>
          <t>VÄSTERNORRLANDS LÄN</t>
        </is>
      </c>
      <c r="E1752" t="inlineStr">
        <is>
          <t>SOLLEFTEÅ</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38813-2019</t>
        </is>
      </c>
      <c r="B1753" s="1" t="n">
        <v>43689</v>
      </c>
      <c r="C1753" s="1" t="n">
        <v>45657</v>
      </c>
      <c r="D1753" t="inlineStr">
        <is>
          <t>VÄSTERNORRLANDS LÄN</t>
        </is>
      </c>
      <c r="E1753" t="inlineStr">
        <is>
          <t>ÖRNSKÖLDSVIK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39046-2019</t>
        </is>
      </c>
      <c r="B1754" s="1" t="n">
        <v>43689</v>
      </c>
      <c r="C1754" s="1" t="n">
        <v>45657</v>
      </c>
      <c r="D1754" t="inlineStr">
        <is>
          <t>VÄSTERNORRLANDS LÄN</t>
        </is>
      </c>
      <c r="E1754" t="inlineStr">
        <is>
          <t>ÖRNSKÖLDSVIK</t>
        </is>
      </c>
      <c r="F1754" t="inlineStr">
        <is>
          <t>Holmen skog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39858-2019</t>
        </is>
      </c>
      <c r="B1755" s="1" t="n">
        <v>43689</v>
      </c>
      <c r="C1755" s="1" t="n">
        <v>45657</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39048-2019</t>
        </is>
      </c>
      <c r="B1756" s="1" t="n">
        <v>43689</v>
      </c>
      <c r="C1756" s="1" t="n">
        <v>45657</v>
      </c>
      <c r="D1756" t="inlineStr">
        <is>
          <t>VÄSTERNORRLANDS LÄN</t>
        </is>
      </c>
      <c r="E1756" t="inlineStr">
        <is>
          <t>ÖRNSKÖLDSVIK</t>
        </is>
      </c>
      <c r="F1756" t="inlineStr">
        <is>
          <t>Holmen skog AB</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39857-2019</t>
        </is>
      </c>
      <c r="B1757" s="1" t="n">
        <v>43689</v>
      </c>
      <c r="C1757" s="1" t="n">
        <v>45657</v>
      </c>
      <c r="D1757" t="inlineStr">
        <is>
          <t>VÄSTERNORRLANDS LÄN</t>
        </is>
      </c>
      <c r="E1757" t="inlineStr">
        <is>
          <t>ÖRNSKÖLDSVIK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39123-2019</t>
        </is>
      </c>
      <c r="B1758" s="1" t="n">
        <v>43689</v>
      </c>
      <c r="C1758" s="1" t="n">
        <v>45657</v>
      </c>
      <c r="D1758" t="inlineStr">
        <is>
          <t>VÄSTERNORRLANDS LÄN</t>
        </is>
      </c>
      <c r="E1758" t="inlineStr">
        <is>
          <t>SOLLEFTEÅ</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39768-2019</t>
        </is>
      </c>
      <c r="B1759" s="1" t="n">
        <v>43689</v>
      </c>
      <c r="C1759" s="1" t="n">
        <v>45657</v>
      </c>
      <c r="D1759" t="inlineStr">
        <is>
          <t>VÄSTERNORRLANDS LÄN</t>
        </is>
      </c>
      <c r="E1759" t="inlineStr">
        <is>
          <t>SOLLEFTEÅ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40294-2019</t>
        </is>
      </c>
      <c r="B1760" s="1" t="n">
        <v>43690</v>
      </c>
      <c r="C1760" s="1" t="n">
        <v>45657</v>
      </c>
      <c r="D1760" t="inlineStr">
        <is>
          <t>VÄSTERNORRLANDS LÄN</t>
        </is>
      </c>
      <c r="E1760" t="inlineStr">
        <is>
          <t>ÖRNSKÖLDSVIK</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39395-2019</t>
        </is>
      </c>
      <c r="B1761" s="1" t="n">
        <v>43690</v>
      </c>
      <c r="C1761" s="1" t="n">
        <v>45657</v>
      </c>
      <c r="D1761" t="inlineStr">
        <is>
          <t>VÄSTERNORRLANDS LÄN</t>
        </is>
      </c>
      <c r="E1761" t="inlineStr">
        <is>
          <t>KRAMFORS</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40421-2019</t>
        </is>
      </c>
      <c r="B1762" s="1" t="n">
        <v>43690</v>
      </c>
      <c r="C1762" s="1" t="n">
        <v>45657</v>
      </c>
      <c r="D1762" t="inlineStr">
        <is>
          <t>VÄSTERNORRLANDS LÄN</t>
        </is>
      </c>
      <c r="E1762" t="inlineStr">
        <is>
          <t>ÖRNSKÖLDSVIK</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39403-2019</t>
        </is>
      </c>
      <c r="B1763" s="1" t="n">
        <v>43690</v>
      </c>
      <c r="C1763" s="1" t="n">
        <v>45657</v>
      </c>
      <c r="D1763" t="inlineStr">
        <is>
          <t>VÄSTERNORRLANDS LÄN</t>
        </is>
      </c>
      <c r="E1763" t="inlineStr">
        <is>
          <t>ÅNGE</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39439-2019</t>
        </is>
      </c>
      <c r="B1764" s="1" t="n">
        <v>43691</v>
      </c>
      <c r="C1764" s="1" t="n">
        <v>45657</v>
      </c>
      <c r="D1764" t="inlineStr">
        <is>
          <t>VÄSTERNORRLANDS LÄN</t>
        </is>
      </c>
      <c r="E1764" t="inlineStr">
        <is>
          <t>ÖRNSKÖLDSVIK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40764-2019</t>
        </is>
      </c>
      <c r="B1765" s="1" t="n">
        <v>43692</v>
      </c>
      <c r="C1765" s="1" t="n">
        <v>45657</v>
      </c>
      <c r="D1765" t="inlineStr">
        <is>
          <t>VÄSTERNORRLANDS LÄN</t>
        </is>
      </c>
      <c r="E1765" t="inlineStr">
        <is>
          <t>SOLLEFTEÅ</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40769-2019</t>
        </is>
      </c>
      <c r="B1766" s="1" t="n">
        <v>43692</v>
      </c>
      <c r="C1766" s="1" t="n">
        <v>45657</v>
      </c>
      <c r="D1766" t="inlineStr">
        <is>
          <t>VÄSTERNORRLANDS LÄN</t>
        </is>
      </c>
      <c r="E1766" t="inlineStr">
        <is>
          <t>SOLLEFTEÅ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41069-2019</t>
        </is>
      </c>
      <c r="B1767" s="1" t="n">
        <v>43693</v>
      </c>
      <c r="C1767" s="1" t="n">
        <v>45657</v>
      </c>
      <c r="D1767" t="inlineStr">
        <is>
          <t>VÄSTERNORRLANDS LÄN</t>
        </is>
      </c>
      <c r="E1767" t="inlineStr">
        <is>
          <t>SOLLEFTEÅ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40213-2019</t>
        </is>
      </c>
      <c r="B1768" s="1" t="n">
        <v>43693</v>
      </c>
      <c r="C1768" s="1" t="n">
        <v>45657</v>
      </c>
      <c r="D1768" t="inlineStr">
        <is>
          <t>VÄSTERNORRLANDS LÄN</t>
        </is>
      </c>
      <c r="E1768" t="inlineStr">
        <is>
          <t>ÖRNSKÖLDSVIK</t>
        </is>
      </c>
      <c r="F1768" t="inlineStr">
        <is>
          <t>Holmen skog AB</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41346-2019</t>
        </is>
      </c>
      <c r="B1769" s="1" t="n">
        <v>43695</v>
      </c>
      <c r="C1769" s="1" t="n">
        <v>45657</v>
      </c>
      <c r="D1769" t="inlineStr">
        <is>
          <t>VÄSTERNORRLANDS LÄN</t>
        </is>
      </c>
      <c r="E1769" t="inlineStr">
        <is>
          <t>ÖRNSKÖLDSVIK</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41340-2019</t>
        </is>
      </c>
      <c r="B1770" s="1" t="n">
        <v>43695</v>
      </c>
      <c r="C1770" s="1" t="n">
        <v>45657</v>
      </c>
      <c r="D1770" t="inlineStr">
        <is>
          <t>VÄSTERNORRLANDS LÄN</t>
        </is>
      </c>
      <c r="E1770" t="inlineStr">
        <is>
          <t>ÖRNSKÖLDSVIK</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41296-2019</t>
        </is>
      </c>
      <c r="B1771" s="1" t="n">
        <v>43695</v>
      </c>
      <c r="C1771" s="1" t="n">
        <v>45657</v>
      </c>
      <c r="D1771" t="inlineStr">
        <is>
          <t>VÄSTERNORRLANDS LÄN</t>
        </is>
      </c>
      <c r="E1771" t="inlineStr">
        <is>
          <t>ÖRNSKÖLDSVIK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41331-2019</t>
        </is>
      </c>
      <c r="B1772" s="1" t="n">
        <v>43695</v>
      </c>
      <c r="C1772" s="1" t="n">
        <v>45657</v>
      </c>
      <c r="D1772" t="inlineStr">
        <is>
          <t>VÄSTERNORRLANDS LÄN</t>
        </is>
      </c>
      <c r="E1772" t="inlineStr">
        <is>
          <t>ÖRNSKÖLDSVIK</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40417-2019</t>
        </is>
      </c>
      <c r="B1773" s="1" t="n">
        <v>43696</v>
      </c>
      <c r="C1773" s="1" t="n">
        <v>45657</v>
      </c>
      <c r="D1773" t="inlineStr">
        <is>
          <t>VÄSTERNORRLANDS LÄN</t>
        </is>
      </c>
      <c r="E1773" t="inlineStr">
        <is>
          <t>ÖRNSKÖLDSVIK</t>
        </is>
      </c>
      <c r="F1773" t="inlineStr">
        <is>
          <t>Holmen skog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40526-2019</t>
        </is>
      </c>
      <c r="B1774" s="1" t="n">
        <v>43696</v>
      </c>
      <c r="C1774" s="1" t="n">
        <v>45657</v>
      </c>
      <c r="D1774" t="inlineStr">
        <is>
          <t>VÄSTERNORRLANDS LÄN</t>
        </is>
      </c>
      <c r="E1774" t="inlineStr">
        <is>
          <t>SUNDSVALL</t>
        </is>
      </c>
      <c r="F1774" t="inlineStr">
        <is>
          <t>SCA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40481-2019</t>
        </is>
      </c>
      <c r="B1775" s="1" t="n">
        <v>43696</v>
      </c>
      <c r="C1775" s="1" t="n">
        <v>45657</v>
      </c>
      <c r="D1775" t="inlineStr">
        <is>
          <t>VÄSTERNORRLANDS LÄN</t>
        </is>
      </c>
      <c r="E1775" t="inlineStr">
        <is>
          <t>KRAMFORS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40549-2019</t>
        </is>
      </c>
      <c r="B1776" s="1" t="n">
        <v>43696</v>
      </c>
      <c r="C1776" s="1" t="n">
        <v>45657</v>
      </c>
      <c r="D1776" t="inlineStr">
        <is>
          <t>VÄSTERNORRLANDS LÄN</t>
        </is>
      </c>
      <c r="E1776" t="inlineStr">
        <is>
          <t>SUNDSVALL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41480-2019</t>
        </is>
      </c>
      <c r="B1777" s="1" t="n">
        <v>43696</v>
      </c>
      <c r="C1777" s="1" t="n">
        <v>45657</v>
      </c>
      <c r="D1777" t="inlineStr">
        <is>
          <t>VÄSTERNORRLANDS LÄN</t>
        </is>
      </c>
      <c r="E1777" t="inlineStr">
        <is>
          <t>ÖRNSKÖLDSVIK</t>
        </is>
      </c>
      <c r="F1777" t="inlineStr">
        <is>
          <t>Kyrkan</t>
        </is>
      </c>
      <c r="G1777" t="n">
        <v>14.1</v>
      </c>
      <c r="H1777" t="n">
        <v>0</v>
      </c>
      <c r="I1777" t="n">
        <v>0</v>
      </c>
      <c r="J1777" t="n">
        <v>0</v>
      </c>
      <c r="K1777" t="n">
        <v>0</v>
      </c>
      <c r="L1777" t="n">
        <v>0</v>
      </c>
      <c r="M1777" t="n">
        <v>0</v>
      </c>
      <c r="N1777" t="n">
        <v>0</v>
      </c>
      <c r="O1777" t="n">
        <v>0</v>
      </c>
      <c r="P1777" t="n">
        <v>0</v>
      </c>
      <c r="Q1777" t="n">
        <v>0</v>
      </c>
      <c r="R1777" s="2" t="inlineStr"/>
    </row>
    <row r="1778" ht="15" customHeight="1">
      <c r="A1778" t="inlineStr">
        <is>
          <t>A 41510-2019</t>
        </is>
      </c>
      <c r="B1778" s="1" t="n">
        <v>43696</v>
      </c>
      <c r="C1778" s="1" t="n">
        <v>45657</v>
      </c>
      <c r="D1778" t="inlineStr">
        <is>
          <t>VÄSTERNORRLANDS LÄN</t>
        </is>
      </c>
      <c r="E1778" t="inlineStr">
        <is>
          <t>ÅNGE</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40685-2019</t>
        </is>
      </c>
      <c r="B1779" s="1" t="n">
        <v>43696</v>
      </c>
      <c r="C1779" s="1" t="n">
        <v>45657</v>
      </c>
      <c r="D1779" t="inlineStr">
        <is>
          <t>VÄSTERNORRLANDS LÄN</t>
        </is>
      </c>
      <c r="E1779" t="inlineStr">
        <is>
          <t>SOLLEFTEÅ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40516-2019</t>
        </is>
      </c>
      <c r="B1780" s="1" t="n">
        <v>43696</v>
      </c>
      <c r="C1780" s="1" t="n">
        <v>45657</v>
      </c>
      <c r="D1780" t="inlineStr">
        <is>
          <t>VÄSTERNORRLANDS LÄN</t>
        </is>
      </c>
      <c r="E1780" t="inlineStr">
        <is>
          <t>KRAMFORS</t>
        </is>
      </c>
      <c r="G1780" t="n">
        <v>16.7</v>
      </c>
      <c r="H1780" t="n">
        <v>0</v>
      </c>
      <c r="I1780" t="n">
        <v>0</v>
      </c>
      <c r="J1780" t="n">
        <v>0</v>
      </c>
      <c r="K1780" t="n">
        <v>0</v>
      </c>
      <c r="L1780" t="n">
        <v>0</v>
      </c>
      <c r="M1780" t="n">
        <v>0</v>
      </c>
      <c r="N1780" t="n">
        <v>0</v>
      </c>
      <c r="O1780" t="n">
        <v>0</v>
      </c>
      <c r="P1780" t="n">
        <v>0</v>
      </c>
      <c r="Q1780" t="n">
        <v>0</v>
      </c>
      <c r="R1780" s="2" t="inlineStr"/>
    </row>
    <row r="1781" ht="15" customHeight="1">
      <c r="A1781" t="inlineStr">
        <is>
          <t>A 40682-2019</t>
        </is>
      </c>
      <c r="B1781" s="1" t="n">
        <v>43696</v>
      </c>
      <c r="C1781" s="1" t="n">
        <v>45657</v>
      </c>
      <c r="D1781" t="inlineStr">
        <is>
          <t>VÄSTERNORRLANDS LÄN</t>
        </is>
      </c>
      <c r="E1781" t="inlineStr">
        <is>
          <t>SOLLEFTEÅ</t>
        </is>
      </c>
      <c r="F1781" t="inlineStr">
        <is>
          <t>SCA</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40544-2019</t>
        </is>
      </c>
      <c r="B1782" s="1" t="n">
        <v>43696</v>
      </c>
      <c r="C1782" s="1" t="n">
        <v>45657</v>
      </c>
      <c r="D1782" t="inlineStr">
        <is>
          <t>VÄSTERNORRLANDS LÄN</t>
        </is>
      </c>
      <c r="E1782" t="inlineStr">
        <is>
          <t>ÖRNSKÖLDSVIK</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40514-2019</t>
        </is>
      </c>
      <c r="B1783" s="1" t="n">
        <v>43696</v>
      </c>
      <c r="C1783" s="1" t="n">
        <v>45657</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40480-2019</t>
        </is>
      </c>
      <c r="B1784" s="1" t="n">
        <v>43696</v>
      </c>
      <c r="C1784" s="1" t="n">
        <v>45657</v>
      </c>
      <c r="D1784" t="inlineStr">
        <is>
          <t>VÄSTERNORRLANDS LÄN</t>
        </is>
      </c>
      <c r="E1784" t="inlineStr">
        <is>
          <t>KRAMFORS</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40487-2019</t>
        </is>
      </c>
      <c r="B1785" s="1" t="n">
        <v>43696</v>
      </c>
      <c r="C1785" s="1" t="n">
        <v>45657</v>
      </c>
      <c r="D1785" t="inlineStr">
        <is>
          <t>VÄSTERNORRLANDS LÄN</t>
        </is>
      </c>
      <c r="E1785" t="inlineStr">
        <is>
          <t>SUNDSVALL</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40619-2019</t>
        </is>
      </c>
      <c r="B1786" s="1" t="n">
        <v>43696</v>
      </c>
      <c r="C1786" s="1" t="n">
        <v>45657</v>
      </c>
      <c r="D1786" t="inlineStr">
        <is>
          <t>VÄSTERNORRLANDS LÄN</t>
        </is>
      </c>
      <c r="E1786" t="inlineStr">
        <is>
          <t>ÖRNSKÖLDSVIK</t>
        </is>
      </c>
      <c r="F1786" t="inlineStr">
        <is>
          <t>Holmen skog AB</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40679-2019</t>
        </is>
      </c>
      <c r="B1787" s="1" t="n">
        <v>43696</v>
      </c>
      <c r="C1787" s="1" t="n">
        <v>45657</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40956-2019</t>
        </is>
      </c>
      <c r="B1788" s="1" t="n">
        <v>43697</v>
      </c>
      <c r="C1788" s="1" t="n">
        <v>45657</v>
      </c>
      <c r="D1788" t="inlineStr">
        <is>
          <t>VÄSTERNORRLANDS LÄN</t>
        </is>
      </c>
      <c r="E1788" t="inlineStr">
        <is>
          <t>TIMRÅ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41018-2019</t>
        </is>
      </c>
      <c r="B1789" s="1" t="n">
        <v>43697</v>
      </c>
      <c r="C1789" s="1" t="n">
        <v>45657</v>
      </c>
      <c r="D1789" t="inlineStr">
        <is>
          <t>VÄSTERNORRLANDS LÄN</t>
        </is>
      </c>
      <c r="E1789" t="inlineStr">
        <is>
          <t>ÅNGE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41828-2019</t>
        </is>
      </c>
      <c r="B1790" s="1" t="n">
        <v>43697</v>
      </c>
      <c r="C1790" s="1" t="n">
        <v>45657</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41888-2019</t>
        </is>
      </c>
      <c r="B1791" s="1" t="n">
        <v>43697</v>
      </c>
      <c r="C1791" s="1" t="n">
        <v>45657</v>
      </c>
      <c r="D1791" t="inlineStr">
        <is>
          <t>VÄSTERNORRLANDS LÄN</t>
        </is>
      </c>
      <c r="E1791" t="inlineStr">
        <is>
          <t>HÄRNÖSAND</t>
        </is>
      </c>
      <c r="F1791" t="inlineStr">
        <is>
          <t>SCA</t>
        </is>
      </c>
      <c r="G1791" t="n">
        <v>13.8</v>
      </c>
      <c r="H1791" t="n">
        <v>0</v>
      </c>
      <c r="I1791" t="n">
        <v>0</v>
      </c>
      <c r="J1791" t="n">
        <v>0</v>
      </c>
      <c r="K1791" t="n">
        <v>0</v>
      </c>
      <c r="L1791" t="n">
        <v>0</v>
      </c>
      <c r="M1791" t="n">
        <v>0</v>
      </c>
      <c r="N1791" t="n">
        <v>0</v>
      </c>
      <c r="O1791" t="n">
        <v>0</v>
      </c>
      <c r="P1791" t="n">
        <v>0</v>
      </c>
      <c r="Q1791" t="n">
        <v>0</v>
      </c>
      <c r="R1791" s="2" t="inlineStr"/>
    </row>
    <row r="1792" ht="15" customHeight="1">
      <c r="A1792" t="inlineStr">
        <is>
          <t>A 41861-2019</t>
        </is>
      </c>
      <c r="B1792" s="1" t="n">
        <v>43697</v>
      </c>
      <c r="C1792" s="1" t="n">
        <v>45657</v>
      </c>
      <c r="D1792" t="inlineStr">
        <is>
          <t>VÄSTERNORRLANDS LÄN</t>
        </is>
      </c>
      <c r="E1792" t="inlineStr">
        <is>
          <t>ÖRNSKÖLDSVIK</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41895-2019</t>
        </is>
      </c>
      <c r="B1793" s="1" t="n">
        <v>43697</v>
      </c>
      <c r="C1793" s="1" t="n">
        <v>45657</v>
      </c>
      <c r="D1793" t="inlineStr">
        <is>
          <t>VÄSTERNORRLANDS LÄN</t>
        </is>
      </c>
      <c r="E1793" t="inlineStr">
        <is>
          <t>SUNDSVALL</t>
        </is>
      </c>
      <c r="F1793" t="inlineStr">
        <is>
          <t>Kyrkan</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41900-2019</t>
        </is>
      </c>
      <c r="B1794" s="1" t="n">
        <v>43697</v>
      </c>
      <c r="C1794" s="1" t="n">
        <v>45657</v>
      </c>
      <c r="D1794" t="inlineStr">
        <is>
          <t>VÄSTERNORRLANDS LÄN</t>
        </is>
      </c>
      <c r="E1794" t="inlineStr">
        <is>
          <t>HÄRNÖSAND</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41862-2019</t>
        </is>
      </c>
      <c r="B1795" s="1" t="n">
        <v>43697</v>
      </c>
      <c r="C1795" s="1" t="n">
        <v>45657</v>
      </c>
      <c r="D1795" t="inlineStr">
        <is>
          <t>VÄSTERNORRLANDS LÄN</t>
        </is>
      </c>
      <c r="E1795" t="inlineStr">
        <is>
          <t>ÖRNSKÖLDSVIK</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41075-2019</t>
        </is>
      </c>
      <c r="B1796" s="1" t="n">
        <v>43698</v>
      </c>
      <c r="C1796" s="1" t="n">
        <v>45657</v>
      </c>
      <c r="D1796" t="inlineStr">
        <is>
          <t>VÄSTERNORRLANDS LÄN</t>
        </is>
      </c>
      <c r="E1796" t="inlineStr">
        <is>
          <t>ÖRNSKÖLDSVIK</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41172-2019</t>
        </is>
      </c>
      <c r="B1797" s="1" t="n">
        <v>43698</v>
      </c>
      <c r="C1797" s="1" t="n">
        <v>45657</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41136-2019</t>
        </is>
      </c>
      <c r="B1798" s="1" t="n">
        <v>43698</v>
      </c>
      <c r="C1798" s="1" t="n">
        <v>45657</v>
      </c>
      <c r="D1798" t="inlineStr">
        <is>
          <t>VÄSTERNORRLANDS LÄN</t>
        </is>
      </c>
      <c r="E1798" t="inlineStr">
        <is>
          <t>ÖRNSKÖLDSVIK</t>
        </is>
      </c>
      <c r="F1798" t="inlineStr">
        <is>
          <t>Holmen skog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41786-2019</t>
        </is>
      </c>
      <c r="B1799" s="1" t="n">
        <v>43699</v>
      </c>
      <c r="C1799" s="1" t="n">
        <v>45657</v>
      </c>
      <c r="D1799" t="inlineStr">
        <is>
          <t>VÄSTERNORRLANDS LÄN</t>
        </is>
      </c>
      <c r="E1799" t="inlineStr">
        <is>
          <t>SOLLEFTEÅ</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41841-2019</t>
        </is>
      </c>
      <c r="B1800" s="1" t="n">
        <v>43699</v>
      </c>
      <c r="C1800" s="1" t="n">
        <v>45657</v>
      </c>
      <c r="D1800" t="inlineStr">
        <is>
          <t>VÄSTERNORRLANDS LÄN</t>
        </is>
      </c>
      <c r="E1800" t="inlineStr">
        <is>
          <t>HÄRNÖSAND</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42507-2019</t>
        </is>
      </c>
      <c r="B1801" s="1" t="n">
        <v>43699</v>
      </c>
      <c r="C1801" s="1" t="n">
        <v>45657</v>
      </c>
      <c r="D1801" t="inlineStr">
        <is>
          <t>VÄSTERNORRLANDS LÄN</t>
        </is>
      </c>
      <c r="E1801" t="inlineStr">
        <is>
          <t>ÖRNSKÖLDSVIK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42453-2019</t>
        </is>
      </c>
      <c r="B1802" s="1" t="n">
        <v>43699</v>
      </c>
      <c r="C1802" s="1" t="n">
        <v>45657</v>
      </c>
      <c r="D1802" t="inlineStr">
        <is>
          <t>VÄSTERNORRLANDS LÄN</t>
        </is>
      </c>
      <c r="E1802" t="inlineStr">
        <is>
          <t>ÖRNSKÖLDSVIK</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42217-2019</t>
        </is>
      </c>
      <c r="B1803" s="1" t="n">
        <v>43699</v>
      </c>
      <c r="C1803" s="1" t="n">
        <v>45657</v>
      </c>
      <c r="D1803" t="inlineStr">
        <is>
          <t>VÄSTERNORRLANDS LÄN</t>
        </is>
      </c>
      <c r="E1803" t="inlineStr">
        <is>
          <t>SUNDSVALL</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41901-2019</t>
        </is>
      </c>
      <c r="B1804" s="1" t="n">
        <v>43700</v>
      </c>
      <c r="C1804" s="1" t="n">
        <v>45657</v>
      </c>
      <c r="D1804" t="inlineStr">
        <is>
          <t>VÄSTERNORRLANDS LÄN</t>
        </is>
      </c>
      <c r="E1804" t="inlineStr">
        <is>
          <t>ÖRNSKÖLDSVIK</t>
        </is>
      </c>
      <c r="F1804" t="inlineStr">
        <is>
          <t>Holmen skog AB</t>
        </is>
      </c>
      <c r="G1804" t="n">
        <v>13.5</v>
      </c>
      <c r="H1804" t="n">
        <v>0</v>
      </c>
      <c r="I1804" t="n">
        <v>0</v>
      </c>
      <c r="J1804" t="n">
        <v>0</v>
      </c>
      <c r="K1804" t="n">
        <v>0</v>
      </c>
      <c r="L1804" t="n">
        <v>0</v>
      </c>
      <c r="M1804" t="n">
        <v>0</v>
      </c>
      <c r="N1804" t="n">
        <v>0</v>
      </c>
      <c r="O1804" t="n">
        <v>0</v>
      </c>
      <c r="P1804" t="n">
        <v>0</v>
      </c>
      <c r="Q1804" t="n">
        <v>0</v>
      </c>
      <c r="R1804" s="2" t="inlineStr"/>
    </row>
    <row r="1805" ht="15" customHeight="1">
      <c r="A1805" t="inlineStr">
        <is>
          <t>A 42066-2019</t>
        </is>
      </c>
      <c r="B1805" s="1" t="n">
        <v>43700</v>
      </c>
      <c r="C1805" s="1" t="n">
        <v>45657</v>
      </c>
      <c r="D1805" t="inlineStr">
        <is>
          <t>VÄSTERNORRLANDS LÄN</t>
        </is>
      </c>
      <c r="E1805" t="inlineStr">
        <is>
          <t>ÅNGE</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42361-2019</t>
        </is>
      </c>
      <c r="B1806" s="1" t="n">
        <v>43703</v>
      </c>
      <c r="C1806" s="1" t="n">
        <v>45657</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42305-2019</t>
        </is>
      </c>
      <c r="B1807" s="1" t="n">
        <v>43703</v>
      </c>
      <c r="C1807" s="1" t="n">
        <v>45657</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42375-2019</t>
        </is>
      </c>
      <c r="B1808" s="1" t="n">
        <v>43703</v>
      </c>
      <c r="C1808" s="1" t="n">
        <v>45657</v>
      </c>
      <c r="D1808" t="inlineStr">
        <is>
          <t>VÄSTERNORRLANDS LÄN</t>
        </is>
      </c>
      <c r="E1808" t="inlineStr">
        <is>
          <t>SUNDSVALL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42417-2019</t>
        </is>
      </c>
      <c r="B1809" s="1" t="n">
        <v>43703</v>
      </c>
      <c r="C1809" s="1" t="n">
        <v>45657</v>
      </c>
      <c r="D1809" t="inlineStr">
        <is>
          <t>VÄSTERNORRLANDS LÄN</t>
        </is>
      </c>
      <c r="E1809" t="inlineStr">
        <is>
          <t>SOLLEFTEÅ</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42372-2019</t>
        </is>
      </c>
      <c r="B1810" s="1" t="n">
        <v>43703</v>
      </c>
      <c r="C1810" s="1" t="n">
        <v>45657</v>
      </c>
      <c r="D1810" t="inlineStr">
        <is>
          <t>VÄSTERNORRLANDS LÄN</t>
        </is>
      </c>
      <c r="E1810" t="inlineStr">
        <is>
          <t>SUNDSVALL</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42791-2019</t>
        </is>
      </c>
      <c r="B1811" s="1" t="n">
        <v>43704</v>
      </c>
      <c r="C1811" s="1" t="n">
        <v>45657</v>
      </c>
      <c r="D1811" t="inlineStr">
        <is>
          <t>VÄSTERNORRLANDS LÄN</t>
        </is>
      </c>
      <c r="E1811" t="inlineStr">
        <is>
          <t>SOLLEFTEÅ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42792-2019</t>
        </is>
      </c>
      <c r="B1812" s="1" t="n">
        <v>43704</v>
      </c>
      <c r="C1812" s="1" t="n">
        <v>45657</v>
      </c>
      <c r="D1812" t="inlineStr">
        <is>
          <t>VÄSTERNORRLANDS LÄN</t>
        </is>
      </c>
      <c r="E1812" t="inlineStr">
        <is>
          <t>SOLLEFTEÅ</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43201-2019</t>
        </is>
      </c>
      <c r="B1813" s="1" t="n">
        <v>43705</v>
      </c>
      <c r="C1813" s="1" t="n">
        <v>45657</v>
      </c>
      <c r="D1813" t="inlineStr">
        <is>
          <t>VÄSTERNORRLANDS LÄN</t>
        </is>
      </c>
      <c r="E1813" t="inlineStr">
        <is>
          <t>KRAMFORS</t>
        </is>
      </c>
      <c r="F1813" t="inlineStr">
        <is>
          <t>SCA</t>
        </is>
      </c>
      <c r="G1813" t="n">
        <v>16.6</v>
      </c>
      <c r="H1813" t="n">
        <v>0</v>
      </c>
      <c r="I1813" t="n">
        <v>0</v>
      </c>
      <c r="J1813" t="n">
        <v>0</v>
      </c>
      <c r="K1813" t="n">
        <v>0</v>
      </c>
      <c r="L1813" t="n">
        <v>0</v>
      </c>
      <c r="M1813" t="n">
        <v>0</v>
      </c>
      <c r="N1813" t="n">
        <v>0</v>
      </c>
      <c r="O1813" t="n">
        <v>0</v>
      </c>
      <c r="P1813" t="n">
        <v>0</v>
      </c>
      <c r="Q1813" t="n">
        <v>0</v>
      </c>
      <c r="R1813" s="2" t="inlineStr"/>
    </row>
    <row r="1814" ht="15" customHeight="1">
      <c r="A1814" t="inlineStr">
        <is>
          <t>A 43193-2019</t>
        </is>
      </c>
      <c r="B1814" s="1" t="n">
        <v>43705</v>
      </c>
      <c r="C1814" s="1" t="n">
        <v>45657</v>
      </c>
      <c r="D1814" t="inlineStr">
        <is>
          <t>VÄSTERNORRLANDS LÄN</t>
        </is>
      </c>
      <c r="E1814" t="inlineStr">
        <is>
          <t>SUNDSVALL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43240-2019</t>
        </is>
      </c>
      <c r="B1815" s="1" t="n">
        <v>43706</v>
      </c>
      <c r="C1815" s="1" t="n">
        <v>45657</v>
      </c>
      <c r="D1815" t="inlineStr">
        <is>
          <t>VÄSTERNORRLANDS LÄN</t>
        </is>
      </c>
      <c r="E1815" t="inlineStr">
        <is>
          <t>ÅNGE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43250-2019</t>
        </is>
      </c>
      <c r="B1816" s="1" t="n">
        <v>43706</v>
      </c>
      <c r="C1816" s="1" t="n">
        <v>45657</v>
      </c>
      <c r="D1816" t="inlineStr">
        <is>
          <t>VÄSTERNORRLANDS LÄN</t>
        </is>
      </c>
      <c r="E1816" t="inlineStr">
        <is>
          <t>ÅNGE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43236-2019</t>
        </is>
      </c>
      <c r="B1817" s="1" t="n">
        <v>43706</v>
      </c>
      <c r="C1817" s="1" t="n">
        <v>45657</v>
      </c>
      <c r="D1817" t="inlineStr">
        <is>
          <t>VÄSTERNORRLANDS LÄN</t>
        </is>
      </c>
      <c r="E1817" t="inlineStr">
        <is>
          <t>ÅNGE</t>
        </is>
      </c>
      <c r="G1817" t="n">
        <v>33.1</v>
      </c>
      <c r="H1817" t="n">
        <v>0</v>
      </c>
      <c r="I1817" t="n">
        <v>0</v>
      </c>
      <c r="J1817" t="n">
        <v>0</v>
      </c>
      <c r="K1817" t="n">
        <v>0</v>
      </c>
      <c r="L1817" t="n">
        <v>0</v>
      </c>
      <c r="M1817" t="n">
        <v>0</v>
      </c>
      <c r="N1817" t="n">
        <v>0</v>
      </c>
      <c r="O1817" t="n">
        <v>0</v>
      </c>
      <c r="P1817" t="n">
        <v>0</v>
      </c>
      <c r="Q1817" t="n">
        <v>0</v>
      </c>
      <c r="R1817" s="2" t="inlineStr"/>
    </row>
    <row r="1818" ht="15" customHeight="1">
      <c r="A1818" t="inlineStr">
        <is>
          <t>A 43248-2019</t>
        </is>
      </c>
      <c r="B1818" s="1" t="n">
        <v>43706</v>
      </c>
      <c r="C1818" s="1" t="n">
        <v>45657</v>
      </c>
      <c r="D1818" t="inlineStr">
        <is>
          <t>VÄSTERNORRLANDS LÄN</t>
        </is>
      </c>
      <c r="E1818" t="inlineStr">
        <is>
          <t>ÅNGE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43499-2019</t>
        </is>
      </c>
      <c r="B1819" s="1" t="n">
        <v>43706</v>
      </c>
      <c r="C1819" s="1" t="n">
        <v>45657</v>
      </c>
      <c r="D1819" t="inlineStr">
        <is>
          <t>VÄSTERNORRLANDS LÄN</t>
        </is>
      </c>
      <c r="E1819" t="inlineStr">
        <is>
          <t>SOLLEFTEÅ</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43241-2019</t>
        </is>
      </c>
      <c r="B1820" s="1" t="n">
        <v>43706</v>
      </c>
      <c r="C1820" s="1" t="n">
        <v>45657</v>
      </c>
      <c r="D1820" t="inlineStr">
        <is>
          <t>VÄSTERNORRLANDS LÄN</t>
        </is>
      </c>
      <c r="E1820" t="inlineStr">
        <is>
          <t>ÅNGE</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43254-2019</t>
        </is>
      </c>
      <c r="B1821" s="1" t="n">
        <v>43706</v>
      </c>
      <c r="C1821" s="1" t="n">
        <v>45657</v>
      </c>
      <c r="D1821" t="inlineStr">
        <is>
          <t>VÄSTERNORRLANDS LÄN</t>
        </is>
      </c>
      <c r="E1821" t="inlineStr">
        <is>
          <t>ÅNGE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43509-2019</t>
        </is>
      </c>
      <c r="B1822" s="1" t="n">
        <v>43706</v>
      </c>
      <c r="C1822" s="1" t="n">
        <v>45657</v>
      </c>
      <c r="D1822" t="inlineStr">
        <is>
          <t>VÄSTERNORRLANDS LÄN</t>
        </is>
      </c>
      <c r="E1822" t="inlineStr">
        <is>
          <t>ÅNGE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43517-2019</t>
        </is>
      </c>
      <c r="B1823" s="1" t="n">
        <v>43706</v>
      </c>
      <c r="C1823" s="1" t="n">
        <v>45657</v>
      </c>
      <c r="D1823" t="inlineStr">
        <is>
          <t>VÄSTERNORRLANDS LÄN</t>
        </is>
      </c>
      <c r="E1823" t="inlineStr">
        <is>
          <t>ÅNGE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43769-2019</t>
        </is>
      </c>
      <c r="B1824" s="1" t="n">
        <v>43707</v>
      </c>
      <c r="C1824" s="1" t="n">
        <v>45657</v>
      </c>
      <c r="D1824" t="inlineStr">
        <is>
          <t>VÄSTERNORRLANDS LÄN</t>
        </is>
      </c>
      <c r="E1824" t="inlineStr">
        <is>
          <t>ÖRNSKÖLDSVIK</t>
        </is>
      </c>
      <c r="F1824" t="inlineStr">
        <is>
          <t>Holmen skog AB</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43880-2019</t>
        </is>
      </c>
      <c r="B1825" s="1" t="n">
        <v>43707</v>
      </c>
      <c r="C1825" s="1" t="n">
        <v>45657</v>
      </c>
      <c r="D1825" t="inlineStr">
        <is>
          <t>VÄSTERNORRLANDS LÄN</t>
        </is>
      </c>
      <c r="E1825" t="inlineStr">
        <is>
          <t>SUNDSVALL</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43796-2019</t>
        </is>
      </c>
      <c r="B1826" s="1" t="n">
        <v>43707</v>
      </c>
      <c r="C1826" s="1" t="n">
        <v>45657</v>
      </c>
      <c r="D1826" t="inlineStr">
        <is>
          <t>VÄSTERNORRLANDS LÄN</t>
        </is>
      </c>
      <c r="E1826" t="inlineStr">
        <is>
          <t>SUNDSVALL</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45012-2019</t>
        </is>
      </c>
      <c r="B1827" s="1" t="n">
        <v>43707</v>
      </c>
      <c r="C1827" s="1" t="n">
        <v>45657</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45040-2019</t>
        </is>
      </c>
      <c r="B1828" s="1" t="n">
        <v>43707</v>
      </c>
      <c r="C1828" s="1" t="n">
        <v>45657</v>
      </c>
      <c r="D1828" t="inlineStr">
        <is>
          <t>VÄSTERNORRLANDS LÄN</t>
        </is>
      </c>
      <c r="E1828" t="inlineStr">
        <is>
          <t>ÖRNSKÖLDSVIK</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45018-2019</t>
        </is>
      </c>
      <c r="B1829" s="1" t="n">
        <v>43707</v>
      </c>
      <c r="C1829" s="1" t="n">
        <v>45657</v>
      </c>
      <c r="D1829" t="inlineStr">
        <is>
          <t>VÄSTERNORRLANDS LÄN</t>
        </is>
      </c>
      <c r="E1829" t="inlineStr">
        <is>
          <t>ÖRNSKÖLDSVIK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45032-2019</t>
        </is>
      </c>
      <c r="B1830" s="1" t="n">
        <v>43707</v>
      </c>
      <c r="C1830" s="1" t="n">
        <v>45657</v>
      </c>
      <c r="D1830" t="inlineStr">
        <is>
          <t>VÄSTERNORRLANDS LÄN</t>
        </is>
      </c>
      <c r="E1830" t="inlineStr">
        <is>
          <t>SOLLEFTEÅ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43895-2019</t>
        </is>
      </c>
      <c r="B1831" s="1" t="n">
        <v>43707</v>
      </c>
      <c r="C1831" s="1" t="n">
        <v>45657</v>
      </c>
      <c r="D1831" t="inlineStr">
        <is>
          <t>VÄSTERNORRLANDS LÄN</t>
        </is>
      </c>
      <c r="E1831" t="inlineStr">
        <is>
          <t>ÅNGE</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43975-2019</t>
        </is>
      </c>
      <c r="B1832" s="1" t="n">
        <v>43708</v>
      </c>
      <c r="C1832" s="1" t="n">
        <v>45657</v>
      </c>
      <c r="D1832" t="inlineStr">
        <is>
          <t>VÄSTERNORRLANDS LÄN</t>
        </is>
      </c>
      <c r="E1832" t="inlineStr">
        <is>
          <t>TIMRÅ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43973-2019</t>
        </is>
      </c>
      <c r="B1833" s="1" t="n">
        <v>43708</v>
      </c>
      <c r="C1833" s="1" t="n">
        <v>45657</v>
      </c>
      <c r="D1833" t="inlineStr">
        <is>
          <t>VÄSTERNORRLANDS LÄN</t>
        </is>
      </c>
      <c r="E1833" t="inlineStr">
        <is>
          <t>HÄRNÖSAND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44313-2019</t>
        </is>
      </c>
      <c r="B1834" s="1" t="n">
        <v>43710</v>
      </c>
      <c r="C1834" s="1" t="n">
        <v>45657</v>
      </c>
      <c r="D1834" t="inlineStr">
        <is>
          <t>VÄSTERNORRLANDS LÄN</t>
        </is>
      </c>
      <c r="E1834" t="inlineStr">
        <is>
          <t>ÅNGE</t>
        </is>
      </c>
      <c r="F1834" t="inlineStr">
        <is>
          <t>SCA</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44328-2019</t>
        </is>
      </c>
      <c r="B1835" s="1" t="n">
        <v>43710</v>
      </c>
      <c r="C1835" s="1" t="n">
        <v>45657</v>
      </c>
      <c r="D1835" t="inlineStr">
        <is>
          <t>VÄSTERNORRLANDS LÄN</t>
        </is>
      </c>
      <c r="E1835" t="inlineStr">
        <is>
          <t>KRAMFORS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44321-2019</t>
        </is>
      </c>
      <c r="B1836" s="1" t="n">
        <v>43710</v>
      </c>
      <c r="C1836" s="1" t="n">
        <v>45657</v>
      </c>
      <c r="D1836" t="inlineStr">
        <is>
          <t>VÄSTERNORRLANDS LÄN</t>
        </is>
      </c>
      <c r="E1836" t="inlineStr">
        <is>
          <t>SUNDSVALL</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44325-2019</t>
        </is>
      </c>
      <c r="B1837" s="1" t="n">
        <v>43710</v>
      </c>
      <c r="C1837" s="1" t="n">
        <v>45657</v>
      </c>
      <c r="D1837" t="inlineStr">
        <is>
          <t>VÄSTERNORRLANDS LÄN</t>
        </is>
      </c>
      <c r="E1837" t="inlineStr">
        <is>
          <t>SUNDSVALL</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44232-2019</t>
        </is>
      </c>
      <c r="B1838" s="1" t="n">
        <v>43710</v>
      </c>
      <c r="C1838" s="1" t="n">
        <v>45657</v>
      </c>
      <c r="D1838" t="inlineStr">
        <is>
          <t>VÄSTERNORRLANDS LÄN</t>
        </is>
      </c>
      <c r="E1838" t="inlineStr">
        <is>
          <t>ÖRNSKÖLDSVIK</t>
        </is>
      </c>
      <c r="F1838" t="inlineStr">
        <is>
          <t>Holmen skog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44317-2019</t>
        </is>
      </c>
      <c r="B1839" s="1" t="n">
        <v>43710</v>
      </c>
      <c r="C1839" s="1" t="n">
        <v>45657</v>
      </c>
      <c r="D1839" t="inlineStr">
        <is>
          <t>VÄSTERNORRLANDS LÄN</t>
        </is>
      </c>
      <c r="E1839" t="inlineStr">
        <is>
          <t>KRAMFORS</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44246-2019</t>
        </is>
      </c>
      <c r="B1840" s="1" t="n">
        <v>43710</v>
      </c>
      <c r="C1840" s="1" t="n">
        <v>45657</v>
      </c>
      <c r="D1840" t="inlineStr">
        <is>
          <t>VÄSTERNORRLANDS LÄN</t>
        </is>
      </c>
      <c r="E1840" t="inlineStr">
        <is>
          <t>ÖRNSKÖLDSVIK</t>
        </is>
      </c>
      <c r="F1840" t="inlineStr">
        <is>
          <t>Holmen skog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44416-2019</t>
        </is>
      </c>
      <c r="B1841" s="1" t="n">
        <v>43711</v>
      </c>
      <c r="C1841" s="1" t="n">
        <v>45657</v>
      </c>
      <c r="D1841" t="inlineStr">
        <is>
          <t>VÄSTERNORRLANDS LÄN</t>
        </is>
      </c>
      <c r="E1841" t="inlineStr">
        <is>
          <t>SUNDSVALL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44608-2019</t>
        </is>
      </c>
      <c r="B1842" s="1" t="n">
        <v>43711</v>
      </c>
      <c r="C1842" s="1" t="n">
        <v>45657</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44610-2019</t>
        </is>
      </c>
      <c r="B1843" s="1" t="n">
        <v>43711</v>
      </c>
      <c r="C1843" s="1" t="n">
        <v>45657</v>
      </c>
      <c r="D1843" t="inlineStr">
        <is>
          <t>VÄSTERNORRLANDS LÄN</t>
        </is>
      </c>
      <c r="E1843" t="inlineStr">
        <is>
          <t>SUNDSVALL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44619-2019</t>
        </is>
      </c>
      <c r="B1844" s="1" t="n">
        <v>43712</v>
      </c>
      <c r="C1844" s="1" t="n">
        <v>45657</v>
      </c>
      <c r="D1844" t="inlineStr">
        <is>
          <t>VÄSTERNORRLANDS LÄN</t>
        </is>
      </c>
      <c r="E1844" t="inlineStr">
        <is>
          <t>HÄRNÖSAND</t>
        </is>
      </c>
      <c r="G1844" t="n">
        <v>16.1</v>
      </c>
      <c r="H1844" t="n">
        <v>0</v>
      </c>
      <c r="I1844" t="n">
        <v>0</v>
      </c>
      <c r="J1844" t="n">
        <v>0</v>
      </c>
      <c r="K1844" t="n">
        <v>0</v>
      </c>
      <c r="L1844" t="n">
        <v>0</v>
      </c>
      <c r="M1844" t="n">
        <v>0</v>
      </c>
      <c r="N1844" t="n">
        <v>0</v>
      </c>
      <c r="O1844" t="n">
        <v>0</v>
      </c>
      <c r="P1844" t="n">
        <v>0</v>
      </c>
      <c r="Q1844" t="n">
        <v>0</v>
      </c>
      <c r="R1844" s="2" t="inlineStr"/>
    </row>
    <row r="1845" ht="15" customHeight="1">
      <c r="A1845" t="inlineStr">
        <is>
          <t>A 44726-2019</t>
        </is>
      </c>
      <c r="B1845" s="1" t="n">
        <v>43712</v>
      </c>
      <c r="C1845" s="1" t="n">
        <v>45657</v>
      </c>
      <c r="D1845" t="inlineStr">
        <is>
          <t>VÄSTERNORRLANDS LÄN</t>
        </is>
      </c>
      <c r="E1845" t="inlineStr">
        <is>
          <t>ÖRNSKÖLDSVIK</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44728-2019</t>
        </is>
      </c>
      <c r="B1846" s="1" t="n">
        <v>43712</v>
      </c>
      <c r="C1846" s="1" t="n">
        <v>45657</v>
      </c>
      <c r="D1846" t="inlineStr">
        <is>
          <t>VÄSTERNORRLANDS LÄN</t>
        </is>
      </c>
      <c r="E1846" t="inlineStr">
        <is>
          <t>ÖRNSKÖLDSVIK</t>
        </is>
      </c>
      <c r="F1846" t="inlineStr">
        <is>
          <t>Holmen skog AB</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44673-2019</t>
        </is>
      </c>
      <c r="B1847" s="1" t="n">
        <v>43712</v>
      </c>
      <c r="C1847" s="1" t="n">
        <v>45657</v>
      </c>
      <c r="D1847" t="inlineStr">
        <is>
          <t>VÄSTERNORRLANDS LÄN</t>
        </is>
      </c>
      <c r="E1847" t="inlineStr">
        <is>
          <t>TIMRÅ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44815-2019</t>
        </is>
      </c>
      <c r="B1848" s="1" t="n">
        <v>43712</v>
      </c>
      <c r="C1848" s="1" t="n">
        <v>45657</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46195-2019</t>
        </is>
      </c>
      <c r="B1849" s="1" t="n">
        <v>43712</v>
      </c>
      <c r="C1849" s="1" t="n">
        <v>45657</v>
      </c>
      <c r="D1849" t="inlineStr">
        <is>
          <t>VÄSTERNORRLANDS LÄN</t>
        </is>
      </c>
      <c r="E1849" t="inlineStr">
        <is>
          <t>ÖRNSKÖLDSVIK</t>
        </is>
      </c>
      <c r="G1849" t="n">
        <v>11.2</v>
      </c>
      <c r="H1849" t="n">
        <v>0</v>
      </c>
      <c r="I1849" t="n">
        <v>0</v>
      </c>
      <c r="J1849" t="n">
        <v>0</v>
      </c>
      <c r="K1849" t="n">
        <v>0</v>
      </c>
      <c r="L1849" t="n">
        <v>0</v>
      </c>
      <c r="M1849" t="n">
        <v>0</v>
      </c>
      <c r="N1849" t="n">
        <v>0</v>
      </c>
      <c r="O1849" t="n">
        <v>0</v>
      </c>
      <c r="P1849" t="n">
        <v>0</v>
      </c>
      <c r="Q1849" t="n">
        <v>0</v>
      </c>
      <c r="R1849" s="2" t="inlineStr"/>
    </row>
    <row r="1850" ht="15" customHeight="1">
      <c r="A1850" t="inlineStr">
        <is>
          <t>A 45941-2019</t>
        </is>
      </c>
      <c r="B1850" s="1" t="n">
        <v>43712</v>
      </c>
      <c r="C1850" s="1" t="n">
        <v>45657</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45952-2019</t>
        </is>
      </c>
      <c r="B1851" s="1" t="n">
        <v>43712</v>
      </c>
      <c r="C1851" s="1" t="n">
        <v>45657</v>
      </c>
      <c r="D1851" t="inlineStr">
        <is>
          <t>VÄSTERNORRLANDS LÄN</t>
        </is>
      </c>
      <c r="E1851" t="inlineStr">
        <is>
          <t>ÖRNSKÖLDSVIK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45960-2019</t>
        </is>
      </c>
      <c r="B1852" s="1" t="n">
        <v>43712</v>
      </c>
      <c r="C1852" s="1" t="n">
        <v>45657</v>
      </c>
      <c r="D1852" t="inlineStr">
        <is>
          <t>VÄSTERNORRLANDS LÄN</t>
        </is>
      </c>
      <c r="E1852" t="inlineStr">
        <is>
          <t>SUNDSVALL</t>
        </is>
      </c>
      <c r="F1852" t="inlineStr">
        <is>
          <t>Kyrkan</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44888-2019</t>
        </is>
      </c>
      <c r="B1853" s="1" t="n">
        <v>43712</v>
      </c>
      <c r="C1853" s="1" t="n">
        <v>45657</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45964-2019</t>
        </is>
      </c>
      <c r="B1854" s="1" t="n">
        <v>43712</v>
      </c>
      <c r="C1854" s="1" t="n">
        <v>45657</v>
      </c>
      <c r="D1854" t="inlineStr">
        <is>
          <t>VÄSTERNORRLANDS LÄN</t>
        </is>
      </c>
      <c r="E1854" t="inlineStr">
        <is>
          <t>SUNDSVALL</t>
        </is>
      </c>
      <c r="F1854" t="inlineStr">
        <is>
          <t>Kyrkan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44772-2019</t>
        </is>
      </c>
      <c r="B1855" s="1" t="n">
        <v>43712</v>
      </c>
      <c r="C1855" s="1" t="n">
        <v>45657</v>
      </c>
      <c r="D1855" t="inlineStr">
        <is>
          <t>VÄSTERNORRLANDS LÄN</t>
        </is>
      </c>
      <c r="E1855" t="inlineStr">
        <is>
          <t>KRAMFORS</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44734-2019</t>
        </is>
      </c>
      <c r="B1856" s="1" t="n">
        <v>43712</v>
      </c>
      <c r="C1856" s="1" t="n">
        <v>45657</v>
      </c>
      <c r="D1856" t="inlineStr">
        <is>
          <t>VÄSTERNORRLANDS LÄN</t>
        </is>
      </c>
      <c r="E1856" t="inlineStr">
        <is>
          <t>ÖRNSKÖLDSVIK</t>
        </is>
      </c>
      <c r="F1856" t="inlineStr">
        <is>
          <t>Holmen skog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44967-2019</t>
        </is>
      </c>
      <c r="B1857" s="1" t="n">
        <v>43713</v>
      </c>
      <c r="C1857" s="1" t="n">
        <v>45657</v>
      </c>
      <c r="D1857" t="inlineStr">
        <is>
          <t>VÄSTERNORRLANDS LÄN</t>
        </is>
      </c>
      <c r="E1857" t="inlineStr">
        <is>
          <t>SUNDSVALL</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44960-2019</t>
        </is>
      </c>
      <c r="B1858" s="1" t="n">
        <v>43713</v>
      </c>
      <c r="C1858" s="1" t="n">
        <v>45657</v>
      </c>
      <c r="D1858" t="inlineStr">
        <is>
          <t>VÄSTERNORRLANDS LÄN</t>
        </is>
      </c>
      <c r="E1858" t="inlineStr">
        <is>
          <t>SOLLEFTEÅ</t>
        </is>
      </c>
      <c r="G1858" t="n">
        <v>14.9</v>
      </c>
      <c r="H1858" t="n">
        <v>0</v>
      </c>
      <c r="I1858" t="n">
        <v>0</v>
      </c>
      <c r="J1858" t="n">
        <v>0</v>
      </c>
      <c r="K1858" t="n">
        <v>0</v>
      </c>
      <c r="L1858" t="n">
        <v>0</v>
      </c>
      <c r="M1858" t="n">
        <v>0</v>
      </c>
      <c r="N1858" t="n">
        <v>0</v>
      </c>
      <c r="O1858" t="n">
        <v>0</v>
      </c>
      <c r="P1858" t="n">
        <v>0</v>
      </c>
      <c r="Q1858" t="n">
        <v>0</v>
      </c>
      <c r="R1858" s="2" t="inlineStr"/>
    </row>
    <row r="1859" ht="15" customHeight="1">
      <c r="A1859" t="inlineStr">
        <is>
          <t>A 45034-2019</t>
        </is>
      </c>
      <c r="B1859" s="1" t="n">
        <v>43713</v>
      </c>
      <c r="C1859" s="1" t="n">
        <v>45657</v>
      </c>
      <c r="D1859" t="inlineStr">
        <is>
          <t>VÄSTERNORRLANDS LÄN</t>
        </is>
      </c>
      <c r="E1859" t="inlineStr">
        <is>
          <t>ÖRNSKÖLDSVIK</t>
        </is>
      </c>
      <c r="F1859" t="inlineStr">
        <is>
          <t>Holmen skog AB</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45212-2019</t>
        </is>
      </c>
      <c r="B1860" s="1" t="n">
        <v>43713</v>
      </c>
      <c r="C1860" s="1" t="n">
        <v>45657</v>
      </c>
      <c r="D1860" t="inlineStr">
        <is>
          <t>VÄSTERNORRLANDS LÄN</t>
        </is>
      </c>
      <c r="E1860" t="inlineStr">
        <is>
          <t>HÄRNÖSAND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46033-2019</t>
        </is>
      </c>
      <c r="B1861" s="1" t="n">
        <v>43713</v>
      </c>
      <c r="C1861" s="1" t="n">
        <v>45657</v>
      </c>
      <c r="D1861" t="inlineStr">
        <is>
          <t>VÄSTERNORRLANDS LÄN</t>
        </is>
      </c>
      <c r="E1861" t="inlineStr">
        <is>
          <t>ÖRNSKÖLDSVIK</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44971-2019</t>
        </is>
      </c>
      <c r="B1862" s="1" t="n">
        <v>43713</v>
      </c>
      <c r="C1862" s="1" t="n">
        <v>45657</v>
      </c>
      <c r="D1862" t="inlineStr">
        <is>
          <t>VÄSTERNORRLANDS LÄN</t>
        </is>
      </c>
      <c r="E1862" t="inlineStr">
        <is>
          <t>SUNDSVALL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45274-2019</t>
        </is>
      </c>
      <c r="B1863" s="1" t="n">
        <v>43713</v>
      </c>
      <c r="C1863" s="1" t="n">
        <v>45657</v>
      </c>
      <c r="D1863" t="inlineStr">
        <is>
          <t>VÄSTERNORRLANDS LÄN</t>
        </is>
      </c>
      <c r="E1863" t="inlineStr">
        <is>
          <t>ÅNGE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45074-2019</t>
        </is>
      </c>
      <c r="B1864" s="1" t="n">
        <v>43713</v>
      </c>
      <c r="C1864" s="1" t="n">
        <v>45657</v>
      </c>
      <c r="D1864" t="inlineStr">
        <is>
          <t>VÄSTERNORRLANDS LÄN</t>
        </is>
      </c>
      <c r="E1864" t="inlineStr">
        <is>
          <t>ÖRNSKÖLDSVIK</t>
        </is>
      </c>
      <c r="F1864" t="inlineStr">
        <is>
          <t>Holmen skog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44922-2019</t>
        </is>
      </c>
      <c r="B1865" s="1" t="n">
        <v>43713</v>
      </c>
      <c r="C1865" s="1" t="n">
        <v>45657</v>
      </c>
      <c r="D1865" t="inlineStr">
        <is>
          <t>VÄSTERNORRLANDS LÄN</t>
        </is>
      </c>
      <c r="E1865" t="inlineStr">
        <is>
          <t>SUNDSVALL</t>
        </is>
      </c>
      <c r="F1865" t="inlineStr">
        <is>
          <t>Kommuner</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45281-2019</t>
        </is>
      </c>
      <c r="B1866" s="1" t="n">
        <v>43714</v>
      </c>
      <c r="C1866" s="1" t="n">
        <v>45657</v>
      </c>
      <c r="D1866" t="inlineStr">
        <is>
          <t>VÄSTERNORRLANDS LÄN</t>
        </is>
      </c>
      <c r="E1866" t="inlineStr">
        <is>
          <t>ÖRNSKÖLDSVIK</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45280-2019</t>
        </is>
      </c>
      <c r="B1867" s="1" t="n">
        <v>43714</v>
      </c>
      <c r="C1867" s="1" t="n">
        <v>45657</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45288-2019</t>
        </is>
      </c>
      <c r="B1868" s="1" t="n">
        <v>43714</v>
      </c>
      <c r="C1868" s="1" t="n">
        <v>45657</v>
      </c>
      <c r="D1868" t="inlineStr">
        <is>
          <t>VÄSTERNORRLANDS LÄN</t>
        </is>
      </c>
      <c r="E1868" t="inlineStr">
        <is>
          <t>ÖRNSKÖLDSVIK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45286-2019</t>
        </is>
      </c>
      <c r="B1869" s="1" t="n">
        <v>43714</v>
      </c>
      <c r="C1869" s="1" t="n">
        <v>45657</v>
      </c>
      <c r="D1869" t="inlineStr">
        <is>
          <t>VÄSTERNORRLANDS LÄN</t>
        </is>
      </c>
      <c r="E1869" t="inlineStr">
        <is>
          <t>ÖRNSKÖLDSVIK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45537-2019</t>
        </is>
      </c>
      <c r="B1870" s="1" t="n">
        <v>43714</v>
      </c>
      <c r="C1870" s="1" t="n">
        <v>45657</v>
      </c>
      <c r="D1870" t="inlineStr">
        <is>
          <t>VÄSTERNORRLANDS LÄN</t>
        </is>
      </c>
      <c r="E1870" t="inlineStr">
        <is>
          <t>SOLLEFTEÅ</t>
        </is>
      </c>
      <c r="F1870" t="inlineStr">
        <is>
          <t>SCA</t>
        </is>
      </c>
      <c r="G1870" t="n">
        <v>35.1</v>
      </c>
      <c r="H1870" t="n">
        <v>0</v>
      </c>
      <c r="I1870" t="n">
        <v>0</v>
      </c>
      <c r="J1870" t="n">
        <v>0</v>
      </c>
      <c r="K1870" t="n">
        <v>0</v>
      </c>
      <c r="L1870" t="n">
        <v>0</v>
      </c>
      <c r="M1870" t="n">
        <v>0</v>
      </c>
      <c r="N1870" t="n">
        <v>0</v>
      </c>
      <c r="O1870" t="n">
        <v>0</v>
      </c>
      <c r="P1870" t="n">
        <v>0</v>
      </c>
      <c r="Q1870" t="n">
        <v>0</v>
      </c>
      <c r="R1870" s="2" t="inlineStr"/>
    </row>
    <row r="1871" ht="15" customHeight="1">
      <c r="A1871" t="inlineStr">
        <is>
          <t>A 45278-2019</t>
        </is>
      </c>
      <c r="B1871" s="1" t="n">
        <v>43714</v>
      </c>
      <c r="C1871" s="1" t="n">
        <v>45657</v>
      </c>
      <c r="D1871" t="inlineStr">
        <is>
          <t>VÄSTERNORRLANDS LÄN</t>
        </is>
      </c>
      <c r="E1871" t="inlineStr">
        <is>
          <t>ÖRNSKÖLDSVIK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45285-2019</t>
        </is>
      </c>
      <c r="B1872" s="1" t="n">
        <v>43714</v>
      </c>
      <c r="C1872" s="1" t="n">
        <v>45657</v>
      </c>
      <c r="D1872" t="inlineStr">
        <is>
          <t>VÄSTERNORRLANDS LÄN</t>
        </is>
      </c>
      <c r="E1872" t="inlineStr">
        <is>
          <t>ÖRNSKÖLDSVIK</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46583-2019</t>
        </is>
      </c>
      <c r="B1873" s="1" t="n">
        <v>43717</v>
      </c>
      <c r="C1873" s="1" t="n">
        <v>45657</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46527-2019</t>
        </is>
      </c>
      <c r="B1874" s="1" t="n">
        <v>43717</v>
      </c>
      <c r="C1874" s="1" t="n">
        <v>45657</v>
      </c>
      <c r="D1874" t="inlineStr">
        <is>
          <t>VÄSTERNORRLANDS LÄN</t>
        </is>
      </c>
      <c r="E1874" t="inlineStr">
        <is>
          <t>KRAMFORS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46560-2019</t>
        </is>
      </c>
      <c r="B1875" s="1" t="n">
        <v>43717</v>
      </c>
      <c r="C1875" s="1" t="n">
        <v>45657</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46345-2019</t>
        </is>
      </c>
      <c r="B1876" s="1" t="n">
        <v>43718</v>
      </c>
      <c r="C1876" s="1" t="n">
        <v>45657</v>
      </c>
      <c r="D1876" t="inlineStr">
        <is>
          <t>VÄSTERNORRLANDS LÄN</t>
        </is>
      </c>
      <c r="E1876" t="inlineStr">
        <is>
          <t>SOLLEFTEÅ</t>
        </is>
      </c>
      <c r="F1876" t="inlineStr">
        <is>
          <t>SCA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45953-2019</t>
        </is>
      </c>
      <c r="B1877" s="1" t="n">
        <v>43718</v>
      </c>
      <c r="C1877" s="1" t="n">
        <v>45657</v>
      </c>
      <c r="D1877" t="inlineStr">
        <is>
          <t>VÄSTERNORRLANDS LÄN</t>
        </is>
      </c>
      <c r="E1877" t="inlineStr">
        <is>
          <t>HÄRNÖSAND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46114-2019</t>
        </is>
      </c>
      <c r="B1878" s="1" t="n">
        <v>43718</v>
      </c>
      <c r="C1878" s="1" t="n">
        <v>45657</v>
      </c>
      <c r="D1878" t="inlineStr">
        <is>
          <t>VÄSTERNORRLANDS LÄN</t>
        </is>
      </c>
      <c r="E1878" t="inlineStr">
        <is>
          <t>ÖRNSKÖLDSVIK</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46063-2019</t>
        </is>
      </c>
      <c r="B1879" s="1" t="n">
        <v>43718</v>
      </c>
      <c r="C1879" s="1" t="n">
        <v>45657</v>
      </c>
      <c r="D1879" t="inlineStr">
        <is>
          <t>VÄSTERNORRLANDS LÄN</t>
        </is>
      </c>
      <c r="E1879" t="inlineStr">
        <is>
          <t>ÖRNSKÖLDSVIK</t>
        </is>
      </c>
      <c r="F1879" t="inlineStr">
        <is>
          <t>Holmen skog AB</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46649-2019</t>
        </is>
      </c>
      <c r="B1880" s="1" t="n">
        <v>43719</v>
      </c>
      <c r="C1880" s="1" t="n">
        <v>45657</v>
      </c>
      <c r="D1880" t="inlineStr">
        <is>
          <t>VÄSTERNORRLANDS LÄN</t>
        </is>
      </c>
      <c r="E1880" t="inlineStr">
        <is>
          <t>HÄRNÖSAND</t>
        </is>
      </c>
      <c r="F1880" t="inlineStr">
        <is>
          <t>Kyrkan</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46956-2019</t>
        </is>
      </c>
      <c r="B1881" s="1" t="n">
        <v>43719</v>
      </c>
      <c r="C1881" s="1" t="n">
        <v>45657</v>
      </c>
      <c r="D1881" t="inlineStr">
        <is>
          <t>VÄSTERNORRLANDS LÄN</t>
        </is>
      </c>
      <c r="E1881" t="inlineStr">
        <is>
          <t>SOLLEFTEÅ</t>
        </is>
      </c>
      <c r="G1881" t="n">
        <v>18.1</v>
      </c>
      <c r="H1881" t="n">
        <v>0</v>
      </c>
      <c r="I1881" t="n">
        <v>0</v>
      </c>
      <c r="J1881" t="n">
        <v>0</v>
      </c>
      <c r="K1881" t="n">
        <v>0</v>
      </c>
      <c r="L1881" t="n">
        <v>0</v>
      </c>
      <c r="M1881" t="n">
        <v>0</v>
      </c>
      <c r="N1881" t="n">
        <v>0</v>
      </c>
      <c r="O1881" t="n">
        <v>0</v>
      </c>
      <c r="P1881" t="n">
        <v>0</v>
      </c>
      <c r="Q1881" t="n">
        <v>0</v>
      </c>
      <c r="R1881" s="2" t="inlineStr"/>
    </row>
    <row r="1882" ht="15" customHeight="1">
      <c r="A1882" t="inlineStr">
        <is>
          <t>A 47076-2019</t>
        </is>
      </c>
      <c r="B1882" s="1" t="n">
        <v>43720</v>
      </c>
      <c r="C1882" s="1" t="n">
        <v>45657</v>
      </c>
      <c r="D1882" t="inlineStr">
        <is>
          <t>VÄSTERNORRLANDS LÄN</t>
        </is>
      </c>
      <c r="E1882" t="inlineStr">
        <is>
          <t>SUNDSVALL</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47151-2019</t>
        </is>
      </c>
      <c r="B1883" s="1" t="n">
        <v>43720</v>
      </c>
      <c r="C1883" s="1" t="n">
        <v>45657</v>
      </c>
      <c r="D1883" t="inlineStr">
        <is>
          <t>VÄSTERNORRLANDS LÄN</t>
        </is>
      </c>
      <c r="E1883" t="inlineStr">
        <is>
          <t>ÖRNSKÖLDSVIK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47198-2019</t>
        </is>
      </c>
      <c r="B1884" s="1" t="n">
        <v>43721</v>
      </c>
      <c r="C1884" s="1" t="n">
        <v>45657</v>
      </c>
      <c r="D1884" t="inlineStr">
        <is>
          <t>VÄSTERNORRLANDS LÄN</t>
        </is>
      </c>
      <c r="E1884" t="inlineStr">
        <is>
          <t>ÖRNSKÖLDSVIK</t>
        </is>
      </c>
      <c r="F1884" t="inlineStr">
        <is>
          <t>Holmen skog AB</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47235-2019</t>
        </is>
      </c>
      <c r="B1885" s="1" t="n">
        <v>43721</v>
      </c>
      <c r="C1885" s="1" t="n">
        <v>45657</v>
      </c>
      <c r="D1885" t="inlineStr">
        <is>
          <t>VÄSTERNORRLANDS LÄN</t>
        </is>
      </c>
      <c r="E1885" t="inlineStr">
        <is>
          <t>ÖRNSKÖLDSVIK</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47366-2019</t>
        </is>
      </c>
      <c r="B1886" s="1" t="n">
        <v>43721</v>
      </c>
      <c r="C1886" s="1" t="n">
        <v>45657</v>
      </c>
      <c r="D1886" t="inlineStr">
        <is>
          <t>VÄSTERNORRLANDS LÄN</t>
        </is>
      </c>
      <c r="E1886" t="inlineStr">
        <is>
          <t>SOLLEFTEÅ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47454-2019</t>
        </is>
      </c>
      <c r="B1887" s="1" t="n">
        <v>43724</v>
      </c>
      <c r="C1887" s="1" t="n">
        <v>45657</v>
      </c>
      <c r="D1887" t="inlineStr">
        <is>
          <t>VÄSTERNORRLANDS LÄN</t>
        </is>
      </c>
      <c r="E1887" t="inlineStr">
        <is>
          <t>HÄRNÖSAND</t>
        </is>
      </c>
      <c r="F1887" t="inlineStr">
        <is>
          <t>Övriga statliga verk och myndigheter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47709-2019</t>
        </is>
      </c>
      <c r="B1888" s="1" t="n">
        <v>43724</v>
      </c>
      <c r="C1888" s="1" t="n">
        <v>45657</v>
      </c>
      <c r="D1888" t="inlineStr">
        <is>
          <t>VÄSTERNORRLANDS LÄN</t>
        </is>
      </c>
      <c r="E1888" t="inlineStr">
        <is>
          <t>ÖRNSKÖLDSVIK</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47764-2019</t>
        </is>
      </c>
      <c r="B1889" s="1" t="n">
        <v>43724</v>
      </c>
      <c r="C1889" s="1" t="n">
        <v>45657</v>
      </c>
      <c r="D1889" t="inlineStr">
        <is>
          <t>VÄSTERNORRLANDS LÄN</t>
        </is>
      </c>
      <c r="E1889" t="inlineStr">
        <is>
          <t>SOLLEFTEÅ</t>
        </is>
      </c>
      <c r="F1889" t="inlineStr">
        <is>
          <t>Kyrkan</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47720-2019</t>
        </is>
      </c>
      <c r="B1890" s="1" t="n">
        <v>43724</v>
      </c>
      <c r="C1890" s="1" t="n">
        <v>45657</v>
      </c>
      <c r="D1890" t="inlineStr">
        <is>
          <t>VÄSTERNORRLANDS LÄN</t>
        </is>
      </c>
      <c r="E1890" t="inlineStr">
        <is>
          <t>HÄRNÖSAND</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47768-2019</t>
        </is>
      </c>
      <c r="B1891" s="1" t="n">
        <v>43724</v>
      </c>
      <c r="C1891" s="1" t="n">
        <v>45657</v>
      </c>
      <c r="D1891" t="inlineStr">
        <is>
          <t>VÄSTERNORRLANDS LÄN</t>
        </is>
      </c>
      <c r="E1891" t="inlineStr">
        <is>
          <t>SOLLEFTEÅ</t>
        </is>
      </c>
      <c r="F1891" t="inlineStr">
        <is>
          <t>Kyrkan</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47807-2019</t>
        </is>
      </c>
      <c r="B1892" s="1" t="n">
        <v>43724</v>
      </c>
      <c r="C1892" s="1" t="n">
        <v>45657</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47809-2019</t>
        </is>
      </c>
      <c r="B1893" s="1" t="n">
        <v>43724</v>
      </c>
      <c r="C1893" s="1" t="n">
        <v>45657</v>
      </c>
      <c r="D1893" t="inlineStr">
        <is>
          <t>VÄSTERNORRLANDS LÄN</t>
        </is>
      </c>
      <c r="E1893" t="inlineStr">
        <is>
          <t>SUNDSVALL</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47832-2019</t>
        </is>
      </c>
      <c r="B1894" s="1" t="n">
        <v>43724</v>
      </c>
      <c r="C1894" s="1" t="n">
        <v>45657</v>
      </c>
      <c r="D1894" t="inlineStr">
        <is>
          <t>VÄSTERNORRLANDS LÄN</t>
        </is>
      </c>
      <c r="E1894" t="inlineStr">
        <is>
          <t>KRAMFORS</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47656-2019</t>
        </is>
      </c>
      <c r="B1895" s="1" t="n">
        <v>43724</v>
      </c>
      <c r="C1895" s="1" t="n">
        <v>45657</v>
      </c>
      <c r="D1895" t="inlineStr">
        <is>
          <t>VÄSTERNORRLANDS LÄN</t>
        </is>
      </c>
      <c r="E1895" t="inlineStr">
        <is>
          <t>TIMRÅ</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48131-2019</t>
        </is>
      </c>
      <c r="B1896" s="1" t="n">
        <v>43725</v>
      </c>
      <c r="C1896" s="1" t="n">
        <v>45657</v>
      </c>
      <c r="D1896" t="inlineStr">
        <is>
          <t>VÄSTERNORRLANDS LÄN</t>
        </is>
      </c>
      <c r="E1896" t="inlineStr">
        <is>
          <t>HÄRNÖSAND</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48187-2019</t>
        </is>
      </c>
      <c r="B1897" s="1" t="n">
        <v>43725</v>
      </c>
      <c r="C1897" s="1" t="n">
        <v>45657</v>
      </c>
      <c r="D1897" t="inlineStr">
        <is>
          <t>VÄSTERNORRLANDS LÄN</t>
        </is>
      </c>
      <c r="E1897" t="inlineStr">
        <is>
          <t>ÖRNSKÖLDSVIK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48165-2019</t>
        </is>
      </c>
      <c r="B1898" s="1" t="n">
        <v>43726</v>
      </c>
      <c r="C1898" s="1" t="n">
        <v>45657</v>
      </c>
      <c r="D1898" t="inlineStr">
        <is>
          <t>VÄSTERNORRLANDS LÄN</t>
        </is>
      </c>
      <c r="E1898" t="inlineStr">
        <is>
          <t>ÖRNSKÖLDSVIK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48420-2019</t>
        </is>
      </c>
      <c r="B1899" s="1" t="n">
        <v>43726</v>
      </c>
      <c r="C1899" s="1" t="n">
        <v>45657</v>
      </c>
      <c r="D1899" t="inlineStr">
        <is>
          <t>VÄSTERNORRLANDS LÄN</t>
        </is>
      </c>
      <c r="E1899" t="inlineStr">
        <is>
          <t>ÖRNSKÖLDSVIK</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48350-2019</t>
        </is>
      </c>
      <c r="B1900" s="1" t="n">
        <v>43726</v>
      </c>
      <c r="C1900" s="1" t="n">
        <v>45657</v>
      </c>
      <c r="D1900" t="inlineStr">
        <is>
          <t>VÄSTERNORRLANDS LÄN</t>
        </is>
      </c>
      <c r="E1900" t="inlineStr">
        <is>
          <t>ÖRNSKÖLDSVIK</t>
        </is>
      </c>
      <c r="F1900" t="inlineStr">
        <is>
          <t>Holmen skog AB</t>
        </is>
      </c>
      <c r="G1900" t="n">
        <v>35.7</v>
      </c>
      <c r="H1900" t="n">
        <v>0</v>
      </c>
      <c r="I1900" t="n">
        <v>0</v>
      </c>
      <c r="J1900" t="n">
        <v>0</v>
      </c>
      <c r="K1900" t="n">
        <v>0</v>
      </c>
      <c r="L1900" t="n">
        <v>0</v>
      </c>
      <c r="M1900" t="n">
        <v>0</v>
      </c>
      <c r="N1900" t="n">
        <v>0</v>
      </c>
      <c r="O1900" t="n">
        <v>0</v>
      </c>
      <c r="P1900" t="n">
        <v>0</v>
      </c>
      <c r="Q1900" t="n">
        <v>0</v>
      </c>
      <c r="R1900" s="2" t="inlineStr"/>
    </row>
    <row r="1901" ht="15" customHeight="1">
      <c r="A1901" t="inlineStr">
        <is>
          <t>A 48340-2019</t>
        </is>
      </c>
      <c r="B1901" s="1" t="n">
        <v>43726</v>
      </c>
      <c r="C1901" s="1" t="n">
        <v>45657</v>
      </c>
      <c r="D1901" t="inlineStr">
        <is>
          <t>VÄSTERNORRLANDS LÄN</t>
        </is>
      </c>
      <c r="E1901" t="inlineStr">
        <is>
          <t>ÖRNSKÖLDSVIK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48531-2019</t>
        </is>
      </c>
      <c r="B1902" s="1" t="n">
        <v>43727</v>
      </c>
      <c r="C1902" s="1" t="n">
        <v>45657</v>
      </c>
      <c r="D1902" t="inlineStr">
        <is>
          <t>VÄSTERNORRLANDS LÄN</t>
        </is>
      </c>
      <c r="E1902" t="inlineStr">
        <is>
          <t>ÖRNSKÖLDSVIK</t>
        </is>
      </c>
      <c r="F1902" t="inlineStr">
        <is>
          <t>Holmen skog AB</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48715-2019</t>
        </is>
      </c>
      <c r="B1903" s="1" t="n">
        <v>43727</v>
      </c>
      <c r="C1903" s="1" t="n">
        <v>45657</v>
      </c>
      <c r="D1903" t="inlineStr">
        <is>
          <t>VÄSTERNORRLANDS LÄN</t>
        </is>
      </c>
      <c r="E1903" t="inlineStr">
        <is>
          <t>SUNDSVALL</t>
        </is>
      </c>
      <c r="F1903" t="inlineStr">
        <is>
          <t>SCA</t>
        </is>
      </c>
      <c r="G1903" t="n">
        <v>76.40000000000001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48751-2019</t>
        </is>
      </c>
      <c r="B1904" s="1" t="n">
        <v>43727</v>
      </c>
      <c r="C1904" s="1" t="n">
        <v>45657</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48783-2019</t>
        </is>
      </c>
      <c r="B1905" s="1" t="n">
        <v>43727</v>
      </c>
      <c r="C1905" s="1" t="n">
        <v>45657</v>
      </c>
      <c r="D1905" t="inlineStr">
        <is>
          <t>VÄSTERNORRLANDS LÄN</t>
        </is>
      </c>
      <c r="E1905" t="inlineStr">
        <is>
          <t>ÖRNSKÖLDSVIK</t>
        </is>
      </c>
      <c r="F1905" t="inlineStr">
        <is>
          <t>Holmen skog AB</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49137-2019</t>
        </is>
      </c>
      <c r="B1906" s="1" t="n">
        <v>43727</v>
      </c>
      <c r="C1906" s="1" t="n">
        <v>45657</v>
      </c>
      <c r="D1906" t="inlineStr">
        <is>
          <t>VÄSTERNORRLANDS LÄN</t>
        </is>
      </c>
      <c r="E1906" t="inlineStr">
        <is>
          <t>KRAMFORS</t>
        </is>
      </c>
      <c r="G1906" t="n">
        <v>14.2</v>
      </c>
      <c r="H1906" t="n">
        <v>0</v>
      </c>
      <c r="I1906" t="n">
        <v>0</v>
      </c>
      <c r="J1906" t="n">
        <v>0</v>
      </c>
      <c r="K1906" t="n">
        <v>0</v>
      </c>
      <c r="L1906" t="n">
        <v>0</v>
      </c>
      <c r="M1906" t="n">
        <v>0</v>
      </c>
      <c r="N1906" t="n">
        <v>0</v>
      </c>
      <c r="O1906" t="n">
        <v>0</v>
      </c>
      <c r="P1906" t="n">
        <v>0</v>
      </c>
      <c r="Q1906" t="n">
        <v>0</v>
      </c>
      <c r="R1906" s="2" t="inlineStr"/>
    </row>
    <row r="1907" ht="15" customHeight="1">
      <c r="A1907" t="inlineStr">
        <is>
          <t>A 48799-2019</t>
        </is>
      </c>
      <c r="B1907" s="1" t="n">
        <v>43727</v>
      </c>
      <c r="C1907" s="1" t="n">
        <v>45657</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48855-2019</t>
        </is>
      </c>
      <c r="B1908" s="1" t="n">
        <v>43728</v>
      </c>
      <c r="C1908" s="1" t="n">
        <v>45657</v>
      </c>
      <c r="D1908" t="inlineStr">
        <is>
          <t>VÄSTERNORRLANDS LÄN</t>
        </is>
      </c>
      <c r="E1908" t="inlineStr">
        <is>
          <t>ÖRNSKÖLDSVIK</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48964-2019</t>
        </is>
      </c>
      <c r="B1909" s="1" t="n">
        <v>43728</v>
      </c>
      <c r="C1909" s="1" t="n">
        <v>45657</v>
      </c>
      <c r="D1909" t="inlineStr">
        <is>
          <t>VÄSTERNORRLANDS LÄN</t>
        </is>
      </c>
      <c r="E1909" t="inlineStr">
        <is>
          <t>TIMRÅ</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49188-2019</t>
        </is>
      </c>
      <c r="B1910" s="1" t="n">
        <v>43728</v>
      </c>
      <c r="C1910" s="1" t="n">
        <v>45657</v>
      </c>
      <c r="D1910" t="inlineStr">
        <is>
          <t>VÄSTERNORRLANDS LÄN</t>
        </is>
      </c>
      <c r="E1910" t="inlineStr">
        <is>
          <t>KRAMFORS</t>
        </is>
      </c>
      <c r="F1910" t="inlineStr">
        <is>
          <t>Kommuner</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48958-2019</t>
        </is>
      </c>
      <c r="B1911" s="1" t="n">
        <v>43728</v>
      </c>
      <c r="C1911" s="1" t="n">
        <v>45657</v>
      </c>
      <c r="D1911" t="inlineStr">
        <is>
          <t>VÄSTERNORRLANDS LÄN</t>
        </is>
      </c>
      <c r="E1911" t="inlineStr">
        <is>
          <t>ÅNGE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49054-2019</t>
        </is>
      </c>
      <c r="B1912" s="1" t="n">
        <v>43731</v>
      </c>
      <c r="C1912" s="1" t="n">
        <v>45657</v>
      </c>
      <c r="D1912" t="inlineStr">
        <is>
          <t>VÄSTERNORRLANDS LÄN</t>
        </is>
      </c>
      <c r="E1912" t="inlineStr">
        <is>
          <t>ÖRNSKÖLDSVIK</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49381-2019</t>
        </is>
      </c>
      <c r="B1913" s="1" t="n">
        <v>43731</v>
      </c>
      <c r="C1913" s="1" t="n">
        <v>45657</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49380-2019</t>
        </is>
      </c>
      <c r="B1914" s="1" t="n">
        <v>43731</v>
      </c>
      <c r="C1914" s="1" t="n">
        <v>45657</v>
      </c>
      <c r="D1914" t="inlineStr">
        <is>
          <t>VÄSTERNORRLANDS LÄN</t>
        </is>
      </c>
      <c r="E1914" t="inlineStr">
        <is>
          <t>SOLLEFTEÅ</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49490-2019</t>
        </is>
      </c>
      <c r="B1915" s="1" t="n">
        <v>43732</v>
      </c>
      <c r="C1915" s="1" t="n">
        <v>45657</v>
      </c>
      <c r="D1915" t="inlineStr">
        <is>
          <t>VÄSTERNORRLANDS LÄN</t>
        </is>
      </c>
      <c r="E1915" t="inlineStr">
        <is>
          <t>KRAMFORS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49674-2019</t>
        </is>
      </c>
      <c r="B1916" s="1" t="n">
        <v>43732</v>
      </c>
      <c r="C1916" s="1" t="n">
        <v>45657</v>
      </c>
      <c r="D1916" t="inlineStr">
        <is>
          <t>VÄSTERNORRLANDS LÄN</t>
        </is>
      </c>
      <c r="E1916" t="inlineStr">
        <is>
          <t>SOLLEFTEÅ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49676-2019</t>
        </is>
      </c>
      <c r="B1917" s="1" t="n">
        <v>43732</v>
      </c>
      <c r="C1917" s="1" t="n">
        <v>45657</v>
      </c>
      <c r="D1917" t="inlineStr">
        <is>
          <t>VÄSTERNORRLANDS LÄN</t>
        </is>
      </c>
      <c r="E1917" t="inlineStr">
        <is>
          <t>SUNDSVALL</t>
        </is>
      </c>
      <c r="F1917" t="inlineStr">
        <is>
          <t>SCA</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51028-2019</t>
        </is>
      </c>
      <c r="B1918" s="1" t="n">
        <v>43732</v>
      </c>
      <c r="C1918" s="1" t="n">
        <v>45657</v>
      </c>
      <c r="D1918" t="inlineStr">
        <is>
          <t>VÄSTERNORRLANDS LÄN</t>
        </is>
      </c>
      <c r="E1918" t="inlineStr">
        <is>
          <t>ÖRNSKÖLDSVIK</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49978-2019</t>
        </is>
      </c>
      <c r="B1919" s="1" t="n">
        <v>43733</v>
      </c>
      <c r="C1919" s="1" t="n">
        <v>45657</v>
      </c>
      <c r="D1919" t="inlineStr">
        <is>
          <t>VÄSTERNORRLANDS LÄN</t>
        </is>
      </c>
      <c r="E1919" t="inlineStr">
        <is>
          <t>SUNDSVALL</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49990-2019</t>
        </is>
      </c>
      <c r="B1920" s="1" t="n">
        <v>43733</v>
      </c>
      <c r="C1920" s="1" t="n">
        <v>45657</v>
      </c>
      <c r="D1920" t="inlineStr">
        <is>
          <t>VÄSTERNORRLANDS LÄN</t>
        </is>
      </c>
      <c r="E1920" t="inlineStr">
        <is>
          <t>SUNDSVALL</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49984-2019</t>
        </is>
      </c>
      <c r="B1921" s="1" t="n">
        <v>43733</v>
      </c>
      <c r="C1921" s="1" t="n">
        <v>45657</v>
      </c>
      <c r="D1921" t="inlineStr">
        <is>
          <t>VÄSTERNORRLANDS LÄN</t>
        </is>
      </c>
      <c r="E1921" t="inlineStr">
        <is>
          <t>SUNDSVALL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50042-2019</t>
        </is>
      </c>
      <c r="B1922" s="1" t="n">
        <v>43734</v>
      </c>
      <c r="C1922" s="1" t="n">
        <v>45657</v>
      </c>
      <c r="D1922" t="inlineStr">
        <is>
          <t>VÄSTERNORRLANDS LÄN</t>
        </is>
      </c>
      <c r="E1922" t="inlineStr">
        <is>
          <t>ÖRNSKÖLDSVIK</t>
        </is>
      </c>
      <c r="F1922" t="inlineStr">
        <is>
          <t>Holmen skog AB</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50278-2019</t>
        </is>
      </c>
      <c r="B1923" s="1" t="n">
        <v>43734</v>
      </c>
      <c r="C1923" s="1" t="n">
        <v>45657</v>
      </c>
      <c r="D1923" t="inlineStr">
        <is>
          <t>VÄSTERNORRLANDS LÄN</t>
        </is>
      </c>
      <c r="E1923" t="inlineStr">
        <is>
          <t>ÅNGE</t>
        </is>
      </c>
      <c r="F1923" t="inlineStr">
        <is>
          <t>SCA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50118-2019</t>
        </is>
      </c>
      <c r="B1924" s="1" t="n">
        <v>43734</v>
      </c>
      <c r="C1924" s="1" t="n">
        <v>45657</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50280-2019</t>
        </is>
      </c>
      <c r="B1925" s="1" t="n">
        <v>43734</v>
      </c>
      <c r="C1925" s="1" t="n">
        <v>45657</v>
      </c>
      <c r="D1925" t="inlineStr">
        <is>
          <t>VÄSTERNORRLANDS LÄN</t>
        </is>
      </c>
      <c r="E1925" t="inlineStr">
        <is>
          <t>ÅNGE</t>
        </is>
      </c>
      <c r="F1925" t="inlineStr">
        <is>
          <t>SCA</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50054-2019</t>
        </is>
      </c>
      <c r="B1926" s="1" t="n">
        <v>43734</v>
      </c>
      <c r="C1926" s="1" t="n">
        <v>45657</v>
      </c>
      <c r="D1926" t="inlineStr">
        <is>
          <t>VÄSTERNORRLANDS LÄN</t>
        </is>
      </c>
      <c r="E1926" t="inlineStr">
        <is>
          <t>ÖRNSKÖLDSVIK</t>
        </is>
      </c>
      <c r="F1926" t="inlineStr">
        <is>
          <t>Holmen skog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50068-2019</t>
        </is>
      </c>
      <c r="B1927" s="1" t="n">
        <v>43734</v>
      </c>
      <c r="C1927" s="1" t="n">
        <v>45657</v>
      </c>
      <c r="D1927" t="inlineStr">
        <is>
          <t>VÄSTERNORRLANDS LÄN</t>
        </is>
      </c>
      <c r="E1927" t="inlineStr">
        <is>
          <t>ÖRNSKÖLDSVIK</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50283-2019</t>
        </is>
      </c>
      <c r="B1928" s="1" t="n">
        <v>43734</v>
      </c>
      <c r="C1928" s="1" t="n">
        <v>45657</v>
      </c>
      <c r="D1928" t="inlineStr">
        <is>
          <t>VÄSTERNORRLANDS LÄN</t>
        </is>
      </c>
      <c r="E1928" t="inlineStr">
        <is>
          <t>SOLLEFTEÅ</t>
        </is>
      </c>
      <c r="F1928" t="inlineStr">
        <is>
          <t>SCA</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51890-2019</t>
        </is>
      </c>
      <c r="B1929" s="1" t="n">
        <v>43734</v>
      </c>
      <c r="C1929" s="1" t="n">
        <v>45657</v>
      </c>
      <c r="D1929" t="inlineStr">
        <is>
          <t>VÄSTERNORRLANDS LÄN</t>
        </is>
      </c>
      <c r="E1929" t="inlineStr">
        <is>
          <t>KRAMFORS</t>
        </is>
      </c>
      <c r="F1929" t="inlineStr">
        <is>
          <t>Kommuner</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50352-2019</t>
        </is>
      </c>
      <c r="B1930" s="1" t="n">
        <v>43735</v>
      </c>
      <c r="C1930" s="1" t="n">
        <v>45657</v>
      </c>
      <c r="D1930" t="inlineStr">
        <is>
          <t>VÄSTERNORRLANDS LÄN</t>
        </is>
      </c>
      <c r="E1930" t="inlineStr">
        <is>
          <t>ÅNGE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50555-2019</t>
        </is>
      </c>
      <c r="B1931" s="1" t="n">
        <v>43735</v>
      </c>
      <c r="C1931" s="1" t="n">
        <v>45657</v>
      </c>
      <c r="D1931" t="inlineStr">
        <is>
          <t>VÄSTERNORRLANDS LÄN</t>
        </is>
      </c>
      <c r="E1931" t="inlineStr">
        <is>
          <t>ÖRNSKÖLDSVIK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50513-2019</t>
        </is>
      </c>
      <c r="B1932" s="1" t="n">
        <v>43735</v>
      </c>
      <c r="C1932" s="1" t="n">
        <v>45657</v>
      </c>
      <c r="D1932" t="inlineStr">
        <is>
          <t>VÄSTERNORRLANDS LÄN</t>
        </is>
      </c>
      <c r="E1932" t="inlineStr">
        <is>
          <t>SOLLEFTEÅ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50530-2019</t>
        </is>
      </c>
      <c r="B1933" s="1" t="n">
        <v>43735</v>
      </c>
      <c r="C1933" s="1" t="n">
        <v>45657</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50552-2019</t>
        </is>
      </c>
      <c r="B1934" s="1" t="n">
        <v>43735</v>
      </c>
      <c r="C1934" s="1" t="n">
        <v>45657</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50605-2019</t>
        </is>
      </c>
      <c r="B1935" s="1" t="n">
        <v>43735</v>
      </c>
      <c r="C1935" s="1" t="n">
        <v>45657</v>
      </c>
      <c r="D1935" t="inlineStr">
        <is>
          <t>VÄSTERNORRLANDS LÄN</t>
        </is>
      </c>
      <c r="E1935" t="inlineStr">
        <is>
          <t>SUNDSVALL</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50604-2019</t>
        </is>
      </c>
      <c r="B1936" s="1" t="n">
        <v>43735</v>
      </c>
      <c r="C1936" s="1" t="n">
        <v>45657</v>
      </c>
      <c r="D1936" t="inlineStr">
        <is>
          <t>VÄSTERNORRLANDS LÄN</t>
        </is>
      </c>
      <c r="E1936" t="inlineStr">
        <is>
          <t>TIMRÅ</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50668-2019</t>
        </is>
      </c>
      <c r="B1937" s="1" t="n">
        <v>43737</v>
      </c>
      <c r="C1937" s="1" t="n">
        <v>45657</v>
      </c>
      <c r="D1937" t="inlineStr">
        <is>
          <t>VÄSTERNORRLANDS LÄN</t>
        </is>
      </c>
      <c r="E1937" t="inlineStr">
        <is>
          <t>SOLLEFTEÅ</t>
        </is>
      </c>
      <c r="F1937" t="inlineStr">
        <is>
          <t>SCA</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50742-2019</t>
        </is>
      </c>
      <c r="B1938" s="1" t="n">
        <v>43738</v>
      </c>
      <c r="C1938" s="1" t="n">
        <v>45657</v>
      </c>
      <c r="D1938" t="inlineStr">
        <is>
          <t>VÄSTERNORRLANDS LÄN</t>
        </is>
      </c>
      <c r="E1938" t="inlineStr">
        <is>
          <t>ÖRNSKÖLDSVIK</t>
        </is>
      </c>
      <c r="F1938" t="inlineStr">
        <is>
          <t>Holmen skog AB</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50965-2019</t>
        </is>
      </c>
      <c r="B1939" s="1" t="n">
        <v>43738</v>
      </c>
      <c r="C1939" s="1" t="n">
        <v>45657</v>
      </c>
      <c r="D1939" t="inlineStr">
        <is>
          <t>VÄSTERNORRLANDS LÄN</t>
        </is>
      </c>
      <c r="E1939" t="inlineStr">
        <is>
          <t>SUNDSVALL</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50997-2019</t>
        </is>
      </c>
      <c r="B1940" s="1" t="n">
        <v>43738</v>
      </c>
      <c r="C1940" s="1" t="n">
        <v>45657</v>
      </c>
      <c r="D1940" t="inlineStr">
        <is>
          <t>VÄSTERNORRLANDS LÄN</t>
        </is>
      </c>
      <c r="E1940" t="inlineStr">
        <is>
          <t>ÅNGE</t>
        </is>
      </c>
      <c r="F1940" t="inlineStr">
        <is>
          <t>SCA</t>
        </is>
      </c>
      <c r="G1940" t="n">
        <v>9.699999999999999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52505-2019</t>
        </is>
      </c>
      <c r="B1941" s="1" t="n">
        <v>43738</v>
      </c>
      <c r="C1941" s="1" t="n">
        <v>45657</v>
      </c>
      <c r="D1941" t="inlineStr">
        <is>
          <t>VÄSTERNORRLANDS LÄN</t>
        </is>
      </c>
      <c r="E1941" t="inlineStr">
        <is>
          <t>ÅNGE</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50992-2019</t>
        </is>
      </c>
      <c r="B1942" s="1" t="n">
        <v>43738</v>
      </c>
      <c r="C1942" s="1" t="n">
        <v>45657</v>
      </c>
      <c r="D1942" t="inlineStr">
        <is>
          <t>VÄSTERNORRLANDS LÄN</t>
        </is>
      </c>
      <c r="E1942" t="inlineStr">
        <is>
          <t>SUNDSVALL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51002-2019</t>
        </is>
      </c>
      <c r="B1943" s="1" t="n">
        <v>43738</v>
      </c>
      <c r="C1943" s="1" t="n">
        <v>45657</v>
      </c>
      <c r="D1943" t="inlineStr">
        <is>
          <t>VÄSTERNORRLANDS LÄN</t>
        </is>
      </c>
      <c r="E1943" t="inlineStr">
        <is>
          <t>SOLLEFTEÅ</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51072-2019</t>
        </is>
      </c>
      <c r="B1944" s="1" t="n">
        <v>43738</v>
      </c>
      <c r="C1944" s="1" t="n">
        <v>45657</v>
      </c>
      <c r="D1944" t="inlineStr">
        <is>
          <t>VÄSTERNORRLANDS LÄN</t>
        </is>
      </c>
      <c r="E1944" t="inlineStr">
        <is>
          <t>SUNDSVALL</t>
        </is>
      </c>
      <c r="F1944" t="inlineStr">
        <is>
          <t>Kommuner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50999-2019</t>
        </is>
      </c>
      <c r="B1945" s="1" t="n">
        <v>43738</v>
      </c>
      <c r="C1945" s="1" t="n">
        <v>45657</v>
      </c>
      <c r="D1945" t="inlineStr">
        <is>
          <t>VÄSTERNORRLANDS LÄN</t>
        </is>
      </c>
      <c r="E1945" t="inlineStr">
        <is>
          <t>SOLLEFTEÅ</t>
        </is>
      </c>
      <c r="F1945" t="inlineStr">
        <is>
          <t>SCA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51297-2019</t>
        </is>
      </c>
      <c r="B1946" s="1" t="n">
        <v>43739</v>
      </c>
      <c r="C1946" s="1" t="n">
        <v>45657</v>
      </c>
      <c r="D1946" t="inlineStr">
        <is>
          <t>VÄSTERNORRLANDS LÄN</t>
        </is>
      </c>
      <c r="E1946" t="inlineStr">
        <is>
          <t>TIMRÅ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51323-2019</t>
        </is>
      </c>
      <c r="B1947" s="1" t="n">
        <v>43740</v>
      </c>
      <c r="C1947" s="1" t="n">
        <v>45657</v>
      </c>
      <c r="D1947" t="inlineStr">
        <is>
          <t>VÄSTERNORRLANDS LÄN</t>
        </is>
      </c>
      <c r="E1947" t="inlineStr">
        <is>
          <t>KRAMFORS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51305-2019</t>
        </is>
      </c>
      <c r="B1948" s="1" t="n">
        <v>43739</v>
      </c>
      <c r="C1948" s="1" t="n">
        <v>45657</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51057-2019</t>
        </is>
      </c>
      <c r="B1949" s="1" t="n">
        <v>43739</v>
      </c>
      <c r="C1949" s="1" t="n">
        <v>45657</v>
      </c>
      <c r="D1949" t="inlineStr">
        <is>
          <t>VÄSTERNORRLANDS LÄN</t>
        </is>
      </c>
      <c r="E1949" t="inlineStr">
        <is>
          <t>KRAMFORS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51064-2019</t>
        </is>
      </c>
      <c r="B1950" s="1" t="n">
        <v>43739</v>
      </c>
      <c r="C1950" s="1" t="n">
        <v>45657</v>
      </c>
      <c r="D1950" t="inlineStr">
        <is>
          <t>VÄSTERNORRLANDS LÄN</t>
        </is>
      </c>
      <c r="E1950" t="inlineStr">
        <is>
          <t>ÖRNSKÖLDSVIK</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51035-2019</t>
        </is>
      </c>
      <c r="B1951" s="1" t="n">
        <v>43739</v>
      </c>
      <c r="C1951" s="1" t="n">
        <v>45657</v>
      </c>
      <c r="D1951" t="inlineStr">
        <is>
          <t>VÄSTERNORRLANDS LÄN</t>
        </is>
      </c>
      <c r="E1951" t="inlineStr">
        <is>
          <t>KRAMFORS</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51053-2019</t>
        </is>
      </c>
      <c r="B1952" s="1" t="n">
        <v>43739</v>
      </c>
      <c r="C1952" s="1" t="n">
        <v>45657</v>
      </c>
      <c r="D1952" t="inlineStr">
        <is>
          <t>VÄSTERNORRLANDS LÄN</t>
        </is>
      </c>
      <c r="E1952" t="inlineStr">
        <is>
          <t>ÖRNSKÖLDSVIK</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52869-2019</t>
        </is>
      </c>
      <c r="B1953" s="1" t="n">
        <v>43739</v>
      </c>
      <c r="C1953" s="1" t="n">
        <v>45657</v>
      </c>
      <c r="D1953" t="inlineStr">
        <is>
          <t>VÄSTERNORRLANDS LÄN</t>
        </is>
      </c>
      <c r="E1953" t="inlineStr">
        <is>
          <t>TIMRÅ</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51321-2019</t>
        </is>
      </c>
      <c r="B1954" s="1" t="n">
        <v>43739</v>
      </c>
      <c r="C1954" s="1" t="n">
        <v>45657</v>
      </c>
      <c r="D1954" t="inlineStr">
        <is>
          <t>VÄSTERNORRLANDS LÄN</t>
        </is>
      </c>
      <c r="E1954" t="inlineStr">
        <is>
          <t>ÅNGE</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51675-2019</t>
        </is>
      </c>
      <c r="B1955" s="1" t="n">
        <v>43740</v>
      </c>
      <c r="C1955" s="1" t="n">
        <v>45657</v>
      </c>
      <c r="D1955" t="inlineStr">
        <is>
          <t>VÄSTERNORRLANDS LÄN</t>
        </is>
      </c>
      <c r="E1955" t="inlineStr">
        <is>
          <t>SOLLEFTEÅ</t>
        </is>
      </c>
      <c r="F1955" t="inlineStr">
        <is>
          <t>SCA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51565-2019</t>
        </is>
      </c>
      <c r="B1956" s="1" t="n">
        <v>43740</v>
      </c>
      <c r="C1956" s="1" t="n">
        <v>45657</v>
      </c>
      <c r="D1956" t="inlineStr">
        <is>
          <t>VÄSTERNORRLANDS LÄN</t>
        </is>
      </c>
      <c r="E1956" t="inlineStr">
        <is>
          <t>ÖRNSKÖLDSVIK</t>
        </is>
      </c>
      <c r="F1956" t="inlineStr">
        <is>
          <t>Holmen skog AB</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51671-2019</t>
        </is>
      </c>
      <c r="B1957" s="1" t="n">
        <v>43740</v>
      </c>
      <c r="C1957" s="1" t="n">
        <v>45657</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51682-2019</t>
        </is>
      </c>
      <c r="B1958" s="1" t="n">
        <v>43740</v>
      </c>
      <c r="C1958" s="1" t="n">
        <v>45657</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53079-2019</t>
        </is>
      </c>
      <c r="B1959" s="1" t="n">
        <v>43740</v>
      </c>
      <c r="C1959" s="1" t="n">
        <v>45657</v>
      </c>
      <c r="D1959" t="inlineStr">
        <is>
          <t>VÄSTERNORRLANDS LÄN</t>
        </is>
      </c>
      <c r="E1959" t="inlineStr">
        <is>
          <t>SOLLEFTEÅ</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51673-2019</t>
        </is>
      </c>
      <c r="B1960" s="1" t="n">
        <v>43740</v>
      </c>
      <c r="C1960" s="1" t="n">
        <v>45657</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51685-2019</t>
        </is>
      </c>
      <c r="B1961" s="1" t="n">
        <v>43740</v>
      </c>
      <c r="C1961" s="1" t="n">
        <v>45657</v>
      </c>
      <c r="D1961" t="inlineStr">
        <is>
          <t>VÄSTERNORRLANDS LÄN</t>
        </is>
      </c>
      <c r="E1961" t="inlineStr">
        <is>
          <t>SUNDSVALL</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53390-2019</t>
        </is>
      </c>
      <c r="B1962" s="1" t="n">
        <v>43740</v>
      </c>
      <c r="C1962" s="1" t="n">
        <v>45657</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51662-2019</t>
        </is>
      </c>
      <c r="B1963" s="1" t="n">
        <v>43740</v>
      </c>
      <c r="C1963" s="1" t="n">
        <v>45657</v>
      </c>
      <c r="D1963" t="inlineStr">
        <is>
          <t>VÄSTERNORRLANDS LÄN</t>
        </is>
      </c>
      <c r="E1963" t="inlineStr">
        <is>
          <t>HÄRNÖSAND</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53076-2019</t>
        </is>
      </c>
      <c r="B1964" s="1" t="n">
        <v>43740</v>
      </c>
      <c r="C1964" s="1" t="n">
        <v>45657</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53088-2019</t>
        </is>
      </c>
      <c r="B1965" s="1" t="n">
        <v>43740</v>
      </c>
      <c r="C1965" s="1" t="n">
        <v>45657</v>
      </c>
      <c r="D1965" t="inlineStr">
        <is>
          <t>VÄSTERNORRLANDS LÄN</t>
        </is>
      </c>
      <c r="E1965" t="inlineStr">
        <is>
          <t>SOLLEFTEÅ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51665-2019</t>
        </is>
      </c>
      <c r="B1966" s="1" t="n">
        <v>43740</v>
      </c>
      <c r="C1966" s="1" t="n">
        <v>45657</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51947-2019</t>
        </is>
      </c>
      <c r="B1967" s="1" t="n">
        <v>43741</v>
      </c>
      <c r="C1967" s="1" t="n">
        <v>45657</v>
      </c>
      <c r="D1967" t="inlineStr">
        <is>
          <t>VÄSTERNORRLANDS LÄN</t>
        </is>
      </c>
      <c r="E1967" t="inlineStr">
        <is>
          <t>ÅNGE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51907-2019</t>
        </is>
      </c>
      <c r="B1968" s="1" t="n">
        <v>43741</v>
      </c>
      <c r="C1968" s="1" t="n">
        <v>45657</v>
      </c>
      <c r="D1968" t="inlineStr">
        <is>
          <t>VÄSTERNORRLANDS LÄN</t>
        </is>
      </c>
      <c r="E1968" t="inlineStr">
        <is>
          <t>TIMRÅ</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51946-2019</t>
        </is>
      </c>
      <c r="B1969" s="1" t="n">
        <v>43741</v>
      </c>
      <c r="C1969" s="1" t="n">
        <v>45657</v>
      </c>
      <c r="D1969" t="inlineStr">
        <is>
          <t>VÄSTERNORRLANDS LÄN</t>
        </is>
      </c>
      <c r="E1969" t="inlineStr">
        <is>
          <t>ÅNGE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51953-2019</t>
        </is>
      </c>
      <c r="B1970" s="1" t="n">
        <v>43741</v>
      </c>
      <c r="C1970" s="1" t="n">
        <v>45657</v>
      </c>
      <c r="D1970" t="inlineStr">
        <is>
          <t>VÄSTERNORRLANDS LÄN</t>
        </is>
      </c>
      <c r="E1970" t="inlineStr">
        <is>
          <t>SOLLEFTEÅ</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53677-2019</t>
        </is>
      </c>
      <c r="B1971" s="1" t="n">
        <v>43741</v>
      </c>
      <c r="C1971" s="1" t="n">
        <v>45657</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51952-2019</t>
        </is>
      </c>
      <c r="B1972" s="1" t="n">
        <v>43741</v>
      </c>
      <c r="C1972" s="1" t="n">
        <v>45657</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52041-2019</t>
        </is>
      </c>
      <c r="B1973" s="1" t="n">
        <v>43742</v>
      </c>
      <c r="C1973" s="1" t="n">
        <v>45657</v>
      </c>
      <c r="D1973" t="inlineStr">
        <is>
          <t>VÄSTERNORRLANDS LÄN</t>
        </is>
      </c>
      <c r="E1973" t="inlineStr">
        <is>
          <t>HÄRNÖSAND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53935-2019</t>
        </is>
      </c>
      <c r="B1974" s="1" t="n">
        <v>43742</v>
      </c>
      <c r="C1974" s="1" t="n">
        <v>45657</v>
      </c>
      <c r="D1974" t="inlineStr">
        <is>
          <t>VÄSTERNORRLANDS LÄN</t>
        </is>
      </c>
      <c r="E1974" t="inlineStr">
        <is>
          <t>ÖRNSKÖLDSVIK</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54067-2019</t>
        </is>
      </c>
      <c r="B1975" s="1" t="n">
        <v>43742</v>
      </c>
      <c r="C1975" s="1" t="n">
        <v>45657</v>
      </c>
      <c r="D1975" t="inlineStr">
        <is>
          <t>VÄSTERNORRLANDS LÄN</t>
        </is>
      </c>
      <c r="E1975" t="inlineStr">
        <is>
          <t>ÖRNSKÖLDSVIK</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54065-2019</t>
        </is>
      </c>
      <c r="B1976" s="1" t="n">
        <v>43742</v>
      </c>
      <c r="C1976" s="1" t="n">
        <v>45657</v>
      </c>
      <c r="D1976" t="inlineStr">
        <is>
          <t>VÄSTERNORRLANDS LÄN</t>
        </is>
      </c>
      <c r="E1976" t="inlineStr">
        <is>
          <t>ÖRNSKÖLDSVIK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52171-2019</t>
        </is>
      </c>
      <c r="B1977" s="1" t="n">
        <v>43742</v>
      </c>
      <c r="C1977" s="1" t="n">
        <v>45657</v>
      </c>
      <c r="D1977" t="inlineStr">
        <is>
          <t>VÄSTERNORRLANDS LÄN</t>
        </is>
      </c>
      <c r="E1977" t="inlineStr">
        <is>
          <t>ÅNGE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52278-2019</t>
        </is>
      </c>
      <c r="B1978" s="1" t="n">
        <v>43744</v>
      </c>
      <c r="C1978" s="1" t="n">
        <v>45657</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52576-2019</t>
        </is>
      </c>
      <c r="B1979" s="1" t="n">
        <v>43745</v>
      </c>
      <c r="C1979" s="1" t="n">
        <v>45657</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52568-2019</t>
        </is>
      </c>
      <c r="B1980" s="1" t="n">
        <v>43745</v>
      </c>
      <c r="C1980" s="1" t="n">
        <v>45657</v>
      </c>
      <c r="D1980" t="inlineStr">
        <is>
          <t>VÄSTERNORRLANDS LÄN</t>
        </is>
      </c>
      <c r="E1980" t="inlineStr">
        <is>
          <t>SOLLEFTEÅ</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54282-2019</t>
        </is>
      </c>
      <c r="B1981" s="1" t="n">
        <v>43745</v>
      </c>
      <c r="C1981" s="1" t="n">
        <v>45657</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52569-2019</t>
        </is>
      </c>
      <c r="B1982" s="1" t="n">
        <v>43745</v>
      </c>
      <c r="C1982" s="1" t="n">
        <v>45657</v>
      </c>
      <c r="D1982" t="inlineStr">
        <is>
          <t>VÄSTERNORRLANDS LÄN</t>
        </is>
      </c>
      <c r="E1982" t="inlineStr">
        <is>
          <t>SOLLEFTEÅ</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52684-2019</t>
        </is>
      </c>
      <c r="B1983" s="1" t="n">
        <v>43746</v>
      </c>
      <c r="C1983" s="1" t="n">
        <v>45657</v>
      </c>
      <c r="D1983" t="inlineStr">
        <is>
          <t>VÄSTERNORRLANDS LÄN</t>
        </is>
      </c>
      <c r="E1983" t="inlineStr">
        <is>
          <t>ÅNGE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52660-2019</t>
        </is>
      </c>
      <c r="B1984" s="1" t="n">
        <v>43746</v>
      </c>
      <c r="C1984" s="1" t="n">
        <v>45657</v>
      </c>
      <c r="D1984" t="inlineStr">
        <is>
          <t>VÄSTERNORRLANDS LÄN</t>
        </is>
      </c>
      <c r="E1984" t="inlineStr">
        <is>
          <t>ÅNGE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52922-2019</t>
        </is>
      </c>
      <c r="B1985" s="1" t="n">
        <v>43746</v>
      </c>
      <c r="C1985" s="1" t="n">
        <v>45657</v>
      </c>
      <c r="D1985" t="inlineStr">
        <is>
          <t>VÄSTERNORRLANDS LÄN</t>
        </is>
      </c>
      <c r="E1985" t="inlineStr">
        <is>
          <t>SOLLEFTEÅ</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53107-2019</t>
        </is>
      </c>
      <c r="B1986" s="1" t="n">
        <v>43747</v>
      </c>
      <c r="C1986" s="1" t="n">
        <v>45657</v>
      </c>
      <c r="D1986" t="inlineStr">
        <is>
          <t>VÄSTERNORRLANDS LÄN</t>
        </is>
      </c>
      <c r="E1986" t="inlineStr">
        <is>
          <t>ÅNGE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53167-2019</t>
        </is>
      </c>
      <c r="B1987" s="1" t="n">
        <v>43747</v>
      </c>
      <c r="C1987" s="1" t="n">
        <v>45657</v>
      </c>
      <c r="D1987" t="inlineStr">
        <is>
          <t>VÄSTERNORRLANDS LÄN</t>
        </is>
      </c>
      <c r="E1987" t="inlineStr">
        <is>
          <t>KRAMFORS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53087-2019</t>
        </is>
      </c>
      <c r="B1988" s="1" t="n">
        <v>43747</v>
      </c>
      <c r="C1988" s="1" t="n">
        <v>45657</v>
      </c>
      <c r="D1988" t="inlineStr">
        <is>
          <t>VÄSTERNORRLANDS LÄN</t>
        </is>
      </c>
      <c r="E1988" t="inlineStr">
        <is>
          <t>SUNDSVALL</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53162-2019</t>
        </is>
      </c>
      <c r="B1989" s="1" t="n">
        <v>43747</v>
      </c>
      <c r="C1989" s="1" t="n">
        <v>45657</v>
      </c>
      <c r="D1989" t="inlineStr">
        <is>
          <t>VÄSTERNORRLANDS LÄN</t>
        </is>
      </c>
      <c r="E1989" t="inlineStr">
        <is>
          <t>TIMRÅ</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52952-2019</t>
        </is>
      </c>
      <c r="B1990" s="1" t="n">
        <v>43747</v>
      </c>
      <c r="C1990" s="1" t="n">
        <v>45657</v>
      </c>
      <c r="D1990" t="inlineStr">
        <is>
          <t>VÄSTERNORRLANDS LÄN</t>
        </is>
      </c>
      <c r="E1990" t="inlineStr">
        <is>
          <t>SUNDSVALL</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54473-2019</t>
        </is>
      </c>
      <c r="B1991" s="1" t="n">
        <v>43747</v>
      </c>
      <c r="C1991" s="1" t="n">
        <v>45657</v>
      </c>
      <c r="D1991" t="inlineStr">
        <is>
          <t>VÄSTERNORRLANDS LÄN</t>
        </is>
      </c>
      <c r="E1991" t="inlineStr">
        <is>
          <t>ÖRNSKÖLDSVIK</t>
        </is>
      </c>
      <c r="G1991" t="n">
        <v>18.8</v>
      </c>
      <c r="H1991" t="n">
        <v>0</v>
      </c>
      <c r="I1991" t="n">
        <v>0</v>
      </c>
      <c r="J1991" t="n">
        <v>0</v>
      </c>
      <c r="K1991" t="n">
        <v>0</v>
      </c>
      <c r="L1991" t="n">
        <v>0</v>
      </c>
      <c r="M1991" t="n">
        <v>0</v>
      </c>
      <c r="N1991" t="n">
        <v>0</v>
      </c>
      <c r="O1991" t="n">
        <v>0</v>
      </c>
      <c r="P1991" t="n">
        <v>0</v>
      </c>
      <c r="Q1991" t="n">
        <v>0</v>
      </c>
      <c r="R1991" s="2" t="inlineStr"/>
    </row>
    <row r="1992" ht="15" customHeight="1">
      <c r="A1992" t="inlineStr">
        <is>
          <t>A 53161-2019</t>
        </is>
      </c>
      <c r="B1992" s="1" t="n">
        <v>43747</v>
      </c>
      <c r="C1992" s="1" t="n">
        <v>45657</v>
      </c>
      <c r="D1992" t="inlineStr">
        <is>
          <t>VÄSTERNORRLANDS LÄN</t>
        </is>
      </c>
      <c r="E1992" t="inlineStr">
        <is>
          <t>SOLLEFTEÅ</t>
        </is>
      </c>
      <c r="F1992" t="inlineStr">
        <is>
          <t>Kommuner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53318-2019</t>
        </is>
      </c>
      <c r="B1993" s="1" t="n">
        <v>43748</v>
      </c>
      <c r="C1993" s="1" t="n">
        <v>45657</v>
      </c>
      <c r="D1993" t="inlineStr">
        <is>
          <t>VÄSTERNORRLANDS LÄN</t>
        </is>
      </c>
      <c r="E1993" t="inlineStr">
        <is>
          <t>ÖRNSKÖLDSVIK</t>
        </is>
      </c>
      <c r="F1993" t="inlineStr">
        <is>
          <t>Holmen skog AB</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54739-2019</t>
        </is>
      </c>
      <c r="B1994" s="1" t="n">
        <v>43748</v>
      </c>
      <c r="C1994" s="1" t="n">
        <v>45657</v>
      </c>
      <c r="D1994" t="inlineStr">
        <is>
          <t>VÄSTERNORRLANDS LÄN</t>
        </is>
      </c>
      <c r="E1994" t="inlineStr">
        <is>
          <t>ÖRNSKÖLDSVIK</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53528-2019</t>
        </is>
      </c>
      <c r="B1995" s="1" t="n">
        <v>43749</v>
      </c>
      <c r="C1995" s="1" t="n">
        <v>45657</v>
      </c>
      <c r="D1995" t="inlineStr">
        <is>
          <t>VÄSTERNORRLANDS LÄN</t>
        </is>
      </c>
      <c r="E1995" t="inlineStr">
        <is>
          <t>ÖRNSKÖLDSVIK</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53544-2019</t>
        </is>
      </c>
      <c r="B1996" s="1" t="n">
        <v>43749</v>
      </c>
      <c r="C1996" s="1" t="n">
        <v>45657</v>
      </c>
      <c r="D1996" t="inlineStr">
        <is>
          <t>VÄSTERNORRLANDS LÄN</t>
        </is>
      </c>
      <c r="E1996" t="inlineStr">
        <is>
          <t>ÖRNSKÖLDSVIK</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53579-2019</t>
        </is>
      </c>
      <c r="B1997" s="1" t="n">
        <v>43749</v>
      </c>
      <c r="C1997" s="1" t="n">
        <v>45657</v>
      </c>
      <c r="D1997" t="inlineStr">
        <is>
          <t>VÄSTERNORRLANDS LÄN</t>
        </is>
      </c>
      <c r="E1997" t="inlineStr">
        <is>
          <t>ÅNGE</t>
        </is>
      </c>
      <c r="F1997" t="inlineStr">
        <is>
          <t>Sveaskog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54072-2019</t>
        </is>
      </c>
      <c r="B1998" s="1" t="n">
        <v>43752</v>
      </c>
      <c r="C1998" s="1" t="n">
        <v>45657</v>
      </c>
      <c r="D1998" t="inlineStr">
        <is>
          <t>VÄSTERNORRLANDS LÄN</t>
        </is>
      </c>
      <c r="E1998" t="inlineStr">
        <is>
          <t>TIMRÅ</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54025-2019</t>
        </is>
      </c>
      <c r="B1999" s="1" t="n">
        <v>43752</v>
      </c>
      <c r="C1999" s="1" t="n">
        <v>45657</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54027-2019</t>
        </is>
      </c>
      <c r="B2000" s="1" t="n">
        <v>43752</v>
      </c>
      <c r="C2000" s="1" t="n">
        <v>45657</v>
      </c>
      <c r="D2000" t="inlineStr">
        <is>
          <t>VÄSTERNORRLANDS LÄN</t>
        </is>
      </c>
      <c r="E2000" t="inlineStr">
        <is>
          <t>ÅNGE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54128-2019</t>
        </is>
      </c>
      <c r="B2001" s="1" t="n">
        <v>43752</v>
      </c>
      <c r="C2001" s="1" t="n">
        <v>45657</v>
      </c>
      <c r="D2001" t="inlineStr">
        <is>
          <t>VÄSTERNORRLANDS LÄN</t>
        </is>
      </c>
      <c r="E2001" t="inlineStr">
        <is>
          <t>ÖRNSKÖLDSVIK</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55056-2019</t>
        </is>
      </c>
      <c r="B2002" s="1" t="n">
        <v>43752</v>
      </c>
      <c r="C2002" s="1" t="n">
        <v>45657</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55069-2019</t>
        </is>
      </c>
      <c r="B2003" s="1" t="n">
        <v>43752</v>
      </c>
      <c r="C2003" s="1" t="n">
        <v>45657</v>
      </c>
      <c r="D2003" t="inlineStr">
        <is>
          <t>VÄSTERNORRLANDS LÄN</t>
        </is>
      </c>
      <c r="E2003" t="inlineStr">
        <is>
          <t>ÖRNSKÖLDSVIK</t>
        </is>
      </c>
      <c r="F2003" t="inlineStr">
        <is>
          <t>Övriga Aktiebolag</t>
        </is>
      </c>
      <c r="G2003" t="n">
        <v>14.6</v>
      </c>
      <c r="H2003" t="n">
        <v>0</v>
      </c>
      <c r="I2003" t="n">
        <v>0</v>
      </c>
      <c r="J2003" t="n">
        <v>0</v>
      </c>
      <c r="K2003" t="n">
        <v>0</v>
      </c>
      <c r="L2003" t="n">
        <v>0</v>
      </c>
      <c r="M2003" t="n">
        <v>0</v>
      </c>
      <c r="N2003" t="n">
        <v>0</v>
      </c>
      <c r="O2003" t="n">
        <v>0</v>
      </c>
      <c r="P2003" t="n">
        <v>0</v>
      </c>
      <c r="Q2003" t="n">
        <v>0</v>
      </c>
      <c r="R2003" s="2" t="inlineStr"/>
    </row>
    <row r="2004" ht="15" customHeight="1">
      <c r="A2004" t="inlineStr">
        <is>
          <t>A 55095-2019</t>
        </is>
      </c>
      <c r="B2004" s="1" t="n">
        <v>43752</v>
      </c>
      <c r="C2004" s="1" t="n">
        <v>45657</v>
      </c>
      <c r="D2004" t="inlineStr">
        <is>
          <t>VÄSTERNORRLANDS LÄN</t>
        </is>
      </c>
      <c r="E2004" t="inlineStr">
        <is>
          <t>ÖRNSKÖLDSVIK</t>
        </is>
      </c>
      <c r="F2004" t="inlineStr">
        <is>
          <t>Övriga Aktiebolag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54030-2019</t>
        </is>
      </c>
      <c r="B2005" s="1" t="n">
        <v>43752</v>
      </c>
      <c r="C2005" s="1" t="n">
        <v>45657</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55049-2019</t>
        </is>
      </c>
      <c r="B2006" s="1" t="n">
        <v>43752</v>
      </c>
      <c r="C2006" s="1" t="n">
        <v>45657</v>
      </c>
      <c r="D2006" t="inlineStr">
        <is>
          <t>VÄSTERNORRLANDS LÄN</t>
        </is>
      </c>
      <c r="E2006" t="inlineStr">
        <is>
          <t>ÖRNSKÖLDSVIK</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54179-2019</t>
        </is>
      </c>
      <c r="B2007" s="1" t="n">
        <v>43753</v>
      </c>
      <c r="C2007" s="1" t="n">
        <v>45657</v>
      </c>
      <c r="D2007" t="inlineStr">
        <is>
          <t>VÄSTERNORRLANDS LÄN</t>
        </is>
      </c>
      <c r="E2007" t="inlineStr">
        <is>
          <t>ÖRNSKÖLDSVIK</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55268-2019</t>
        </is>
      </c>
      <c r="B2008" s="1" t="n">
        <v>43753</v>
      </c>
      <c r="C2008" s="1" t="n">
        <v>45657</v>
      </c>
      <c r="D2008" t="inlineStr">
        <is>
          <t>VÄSTERNORRLANDS LÄN</t>
        </is>
      </c>
      <c r="E2008" t="inlineStr">
        <is>
          <t>SUNDSVALL</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54365-2019</t>
        </is>
      </c>
      <c r="B2009" s="1" t="n">
        <v>43753</v>
      </c>
      <c r="C2009" s="1" t="n">
        <v>45657</v>
      </c>
      <c r="D2009" t="inlineStr">
        <is>
          <t>VÄSTERNORRLANDS LÄN</t>
        </is>
      </c>
      <c r="E2009" t="inlineStr">
        <is>
          <t>TIMRÅ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54789-2019</t>
        </is>
      </c>
      <c r="B2010" s="1" t="n">
        <v>43755</v>
      </c>
      <c r="C2010" s="1" t="n">
        <v>45657</v>
      </c>
      <c r="D2010" t="inlineStr">
        <is>
          <t>VÄSTERNORRLANDS LÄN</t>
        </is>
      </c>
      <c r="E2010" t="inlineStr">
        <is>
          <t>ÖRNSKÖLDSVIK</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54692-2019</t>
        </is>
      </c>
      <c r="B2011" s="1" t="n">
        <v>43755</v>
      </c>
      <c r="C2011" s="1" t="n">
        <v>45657</v>
      </c>
      <c r="D2011" t="inlineStr">
        <is>
          <t>VÄSTERNORRLANDS LÄN</t>
        </is>
      </c>
      <c r="E2011" t="inlineStr">
        <is>
          <t>ÖRNSKÖLDSVIK</t>
        </is>
      </c>
      <c r="F2011" t="inlineStr">
        <is>
          <t>Holmen skog AB</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55623-2019</t>
        </is>
      </c>
      <c r="B2012" s="1" t="n">
        <v>43755</v>
      </c>
      <c r="C2012" s="1" t="n">
        <v>45657</v>
      </c>
      <c r="D2012" t="inlineStr">
        <is>
          <t>VÄSTERNORRLANDS LÄN</t>
        </is>
      </c>
      <c r="E2012" t="inlineStr">
        <is>
          <t>SOLLEFTEÅ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55925-2019</t>
        </is>
      </c>
      <c r="B2013" s="1" t="n">
        <v>43755</v>
      </c>
      <c r="C2013" s="1" t="n">
        <v>45657</v>
      </c>
      <c r="D2013" t="inlineStr">
        <is>
          <t>VÄSTERNORRLANDS LÄN</t>
        </is>
      </c>
      <c r="E2013" t="inlineStr">
        <is>
          <t>SOLLEFTEÅ</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55628-2019</t>
        </is>
      </c>
      <c r="B2014" s="1" t="n">
        <v>43755</v>
      </c>
      <c r="C2014" s="1" t="n">
        <v>45657</v>
      </c>
      <c r="D2014" t="inlineStr">
        <is>
          <t>VÄSTERNORRLANDS LÄN</t>
        </is>
      </c>
      <c r="E2014" t="inlineStr">
        <is>
          <t>SOLLEFTEÅ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55625-2019</t>
        </is>
      </c>
      <c r="B2015" s="1" t="n">
        <v>43755</v>
      </c>
      <c r="C2015" s="1" t="n">
        <v>45657</v>
      </c>
      <c r="D2015" t="inlineStr">
        <is>
          <t>VÄSTERNORRLANDS LÄN</t>
        </is>
      </c>
      <c r="E2015" t="inlineStr">
        <is>
          <t>SOLLEFTEÅ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55252-2019</t>
        </is>
      </c>
      <c r="B2016" s="1" t="n">
        <v>43756</v>
      </c>
      <c r="C2016" s="1" t="n">
        <v>45657</v>
      </c>
      <c r="D2016" t="inlineStr">
        <is>
          <t>VÄSTERNORRLANDS LÄN</t>
        </is>
      </c>
      <c r="E2016" t="inlineStr">
        <is>
          <t>ÖRNSKÖLDSVIK</t>
        </is>
      </c>
      <c r="F2016" t="inlineStr">
        <is>
          <t>Holmen skog AB</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55352-2019</t>
        </is>
      </c>
      <c r="B2017" s="1" t="n">
        <v>43756</v>
      </c>
      <c r="C2017" s="1" t="n">
        <v>45657</v>
      </c>
      <c r="D2017" t="inlineStr">
        <is>
          <t>VÄSTERNORRLANDS LÄN</t>
        </is>
      </c>
      <c r="E2017" t="inlineStr">
        <is>
          <t>ÅNGE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55174-2019</t>
        </is>
      </c>
      <c r="B2018" s="1" t="n">
        <v>43756</v>
      </c>
      <c r="C2018" s="1" t="n">
        <v>45657</v>
      </c>
      <c r="D2018" t="inlineStr">
        <is>
          <t>VÄSTERNORRLANDS LÄN</t>
        </is>
      </c>
      <c r="E2018" t="inlineStr">
        <is>
          <t>ÖRNSKÖLDSVIK</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56316-2019</t>
        </is>
      </c>
      <c r="B2019" s="1" t="n">
        <v>43756</v>
      </c>
      <c r="C2019" s="1" t="n">
        <v>45657</v>
      </c>
      <c r="D2019" t="inlineStr">
        <is>
          <t>VÄSTERNORRLANDS LÄN</t>
        </is>
      </c>
      <c r="E2019" t="inlineStr">
        <is>
          <t>TIMRÅ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55420-2019</t>
        </is>
      </c>
      <c r="B2020" s="1" t="n">
        <v>43758</v>
      </c>
      <c r="C2020" s="1" t="n">
        <v>45657</v>
      </c>
      <c r="D2020" t="inlineStr">
        <is>
          <t>VÄSTERNORRLANDS LÄN</t>
        </is>
      </c>
      <c r="E2020" t="inlineStr">
        <is>
          <t>SUNDSVALL</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55809-2019</t>
        </is>
      </c>
      <c r="B2021" s="1" t="n">
        <v>43759</v>
      </c>
      <c r="C2021" s="1" t="n">
        <v>45657</v>
      </c>
      <c r="D2021" t="inlineStr">
        <is>
          <t>VÄSTERNORRLANDS LÄN</t>
        </is>
      </c>
      <c r="E2021" t="inlineStr">
        <is>
          <t>TIMRÅ</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56065-2019</t>
        </is>
      </c>
      <c r="B2022" s="1" t="n">
        <v>43759</v>
      </c>
      <c r="C2022" s="1" t="n">
        <v>45657</v>
      </c>
      <c r="D2022" t="inlineStr">
        <is>
          <t>VÄSTERNORRLANDS LÄN</t>
        </is>
      </c>
      <c r="E2022" t="inlineStr">
        <is>
          <t>TIMRÅ</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56751-2019</t>
        </is>
      </c>
      <c r="B2023" s="1" t="n">
        <v>43759</v>
      </c>
      <c r="C2023" s="1" t="n">
        <v>45657</v>
      </c>
      <c r="D2023" t="inlineStr">
        <is>
          <t>VÄSTERNORRLANDS LÄN</t>
        </is>
      </c>
      <c r="E2023" t="inlineStr">
        <is>
          <t>SUNDSVALL</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57247-2019</t>
        </is>
      </c>
      <c r="B2024" s="1" t="n">
        <v>43759</v>
      </c>
      <c r="C2024" s="1" t="n">
        <v>45657</v>
      </c>
      <c r="D2024" t="inlineStr">
        <is>
          <t>VÄSTERNORRLANDS LÄN</t>
        </is>
      </c>
      <c r="E2024" t="inlineStr">
        <is>
          <t>ÖRNSKÖLDSVIK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57288-2019</t>
        </is>
      </c>
      <c r="B2025" s="1" t="n">
        <v>43759</v>
      </c>
      <c r="C2025" s="1" t="n">
        <v>45657</v>
      </c>
      <c r="D2025" t="inlineStr">
        <is>
          <t>VÄSTERNORRLANDS LÄN</t>
        </is>
      </c>
      <c r="E2025" t="inlineStr">
        <is>
          <t>ÖRNSKÖLDSVIK</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57271-2019</t>
        </is>
      </c>
      <c r="B2026" s="1" t="n">
        <v>43759</v>
      </c>
      <c r="C2026" s="1" t="n">
        <v>45657</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56701-2019</t>
        </is>
      </c>
      <c r="B2027" s="1" t="n">
        <v>43759</v>
      </c>
      <c r="C2027" s="1" t="n">
        <v>45657</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55600-2019</t>
        </is>
      </c>
      <c r="B2028" s="1" t="n">
        <v>43760</v>
      </c>
      <c r="C2028" s="1" t="n">
        <v>45657</v>
      </c>
      <c r="D2028" t="inlineStr">
        <is>
          <t>VÄSTERNORRLANDS LÄN</t>
        </is>
      </c>
      <c r="E2028" t="inlineStr">
        <is>
          <t>SUNDSVALL</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55637-2019</t>
        </is>
      </c>
      <c r="B2029" s="1" t="n">
        <v>43760</v>
      </c>
      <c r="C2029" s="1" t="n">
        <v>45657</v>
      </c>
      <c r="D2029" t="inlineStr">
        <is>
          <t>VÄSTERNORRLANDS LÄN</t>
        </is>
      </c>
      <c r="E2029" t="inlineStr">
        <is>
          <t>ÅNGE</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55634-2019</t>
        </is>
      </c>
      <c r="B2030" s="1" t="n">
        <v>43760</v>
      </c>
      <c r="C2030" s="1" t="n">
        <v>45657</v>
      </c>
      <c r="D2030" t="inlineStr">
        <is>
          <t>VÄSTERNORRLANDS LÄN</t>
        </is>
      </c>
      <c r="E2030" t="inlineStr">
        <is>
          <t>ÅNGE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55730-2019</t>
        </is>
      </c>
      <c r="B2031" s="1" t="n">
        <v>43760</v>
      </c>
      <c r="C2031" s="1" t="n">
        <v>45657</v>
      </c>
      <c r="D2031" t="inlineStr">
        <is>
          <t>VÄSTERNORRLANDS LÄN</t>
        </is>
      </c>
      <c r="E2031" t="inlineStr">
        <is>
          <t>ÅNGE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55447-2019</t>
        </is>
      </c>
      <c r="B2032" s="1" t="n">
        <v>43760</v>
      </c>
      <c r="C2032" s="1" t="n">
        <v>45657</v>
      </c>
      <c r="D2032" t="inlineStr">
        <is>
          <t>VÄSTERNORRLANDS LÄN</t>
        </is>
      </c>
      <c r="E2032" t="inlineStr">
        <is>
          <t>ÖRNSKÖLDSVIK</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57420-2019</t>
        </is>
      </c>
      <c r="B2033" s="1" t="n">
        <v>43760</v>
      </c>
      <c r="C2033" s="1" t="n">
        <v>45657</v>
      </c>
      <c r="D2033" t="inlineStr">
        <is>
          <t>VÄSTERNORRLANDS LÄN</t>
        </is>
      </c>
      <c r="E2033" t="inlineStr">
        <is>
          <t>ÖRNSKÖLDSVIK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55603-2019</t>
        </is>
      </c>
      <c r="B2034" s="1" t="n">
        <v>43760</v>
      </c>
      <c r="C2034" s="1" t="n">
        <v>45657</v>
      </c>
      <c r="D2034" t="inlineStr">
        <is>
          <t>VÄSTERNORRLANDS LÄN</t>
        </is>
      </c>
      <c r="E2034" t="inlineStr">
        <is>
          <t>SUNDSVALL</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57424-2019</t>
        </is>
      </c>
      <c r="B2035" s="1" t="n">
        <v>43760</v>
      </c>
      <c r="C2035" s="1" t="n">
        <v>45657</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55729-2019</t>
        </is>
      </c>
      <c r="B2036" s="1" t="n">
        <v>43760</v>
      </c>
      <c r="C2036" s="1" t="n">
        <v>45657</v>
      </c>
      <c r="D2036" t="inlineStr">
        <is>
          <t>VÄSTERNORRLANDS LÄN</t>
        </is>
      </c>
      <c r="E2036" t="inlineStr">
        <is>
          <t>ÅNGE</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57365-2019</t>
        </is>
      </c>
      <c r="B2037" s="1" t="n">
        <v>43760</v>
      </c>
      <c r="C2037" s="1" t="n">
        <v>45657</v>
      </c>
      <c r="D2037" t="inlineStr">
        <is>
          <t>VÄSTERNORRLANDS LÄN</t>
        </is>
      </c>
      <c r="E2037" t="inlineStr">
        <is>
          <t>SOLLEFTEÅ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57370-2019</t>
        </is>
      </c>
      <c r="B2038" s="1" t="n">
        <v>43760</v>
      </c>
      <c r="C2038" s="1" t="n">
        <v>45657</v>
      </c>
      <c r="D2038" t="inlineStr">
        <is>
          <t>VÄSTERNORRLANDS LÄN</t>
        </is>
      </c>
      <c r="E2038" t="inlineStr">
        <is>
          <t>ÖRNSKÖLDSVIK</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56016-2019</t>
        </is>
      </c>
      <c r="B2039" s="1" t="n">
        <v>43761</v>
      </c>
      <c r="C2039" s="1" t="n">
        <v>45657</v>
      </c>
      <c r="D2039" t="inlineStr">
        <is>
          <t>VÄSTERNORRLANDS LÄN</t>
        </is>
      </c>
      <c r="E2039" t="inlineStr">
        <is>
          <t>SUNDSVALL</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56137-2019</t>
        </is>
      </c>
      <c r="B2040" s="1" t="n">
        <v>43761</v>
      </c>
      <c r="C2040" s="1" t="n">
        <v>45657</v>
      </c>
      <c r="D2040" t="inlineStr">
        <is>
          <t>VÄSTERNORRLANDS LÄN</t>
        </is>
      </c>
      <c r="E2040" t="inlineStr">
        <is>
          <t>ÅNGE</t>
        </is>
      </c>
      <c r="F2040" t="inlineStr">
        <is>
          <t>Sveaskog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56171-2019</t>
        </is>
      </c>
      <c r="B2041" s="1" t="n">
        <v>43761</v>
      </c>
      <c r="C2041" s="1" t="n">
        <v>45657</v>
      </c>
      <c r="D2041" t="inlineStr">
        <is>
          <t>VÄSTERNORRLANDS LÄN</t>
        </is>
      </c>
      <c r="E2041" t="inlineStr">
        <is>
          <t>ÅNGE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56186-2019</t>
        </is>
      </c>
      <c r="B2042" s="1" t="n">
        <v>43761</v>
      </c>
      <c r="C2042" s="1" t="n">
        <v>45657</v>
      </c>
      <c r="D2042" t="inlineStr">
        <is>
          <t>VÄSTERNORRLANDS LÄN</t>
        </is>
      </c>
      <c r="E2042" t="inlineStr">
        <is>
          <t>ÅNGE</t>
        </is>
      </c>
      <c r="F2042" t="inlineStr">
        <is>
          <t>SCA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56071-2019</t>
        </is>
      </c>
      <c r="B2043" s="1" t="n">
        <v>43761</v>
      </c>
      <c r="C2043" s="1" t="n">
        <v>45657</v>
      </c>
      <c r="D2043" t="inlineStr">
        <is>
          <t>VÄSTERNORRLANDS LÄN</t>
        </is>
      </c>
      <c r="E2043" t="inlineStr">
        <is>
          <t>SUNDSVALL</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56162-2019</t>
        </is>
      </c>
      <c r="B2044" s="1" t="n">
        <v>43761</v>
      </c>
      <c r="C2044" s="1" t="n">
        <v>45657</v>
      </c>
      <c r="D2044" t="inlineStr">
        <is>
          <t>VÄSTERNORRLANDS LÄN</t>
        </is>
      </c>
      <c r="E2044" t="inlineStr">
        <is>
          <t>ÖRNSKÖLDSVIK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56180-2019</t>
        </is>
      </c>
      <c r="B2045" s="1" t="n">
        <v>43761</v>
      </c>
      <c r="C2045" s="1" t="n">
        <v>45657</v>
      </c>
      <c r="D2045" t="inlineStr">
        <is>
          <t>VÄSTERNORRLANDS LÄN</t>
        </is>
      </c>
      <c r="E2045" t="inlineStr">
        <is>
          <t>SUNDSVALL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57575-2019</t>
        </is>
      </c>
      <c r="B2046" s="1" t="n">
        <v>43761</v>
      </c>
      <c r="C2046" s="1" t="n">
        <v>45657</v>
      </c>
      <c r="D2046" t="inlineStr">
        <is>
          <t>VÄSTERNORRLANDS LÄN</t>
        </is>
      </c>
      <c r="E2046" t="inlineStr">
        <is>
          <t>SOLLEFTEÅ</t>
        </is>
      </c>
      <c r="G2046" t="n">
        <v>14.4</v>
      </c>
      <c r="H2046" t="n">
        <v>0</v>
      </c>
      <c r="I2046" t="n">
        <v>0</v>
      </c>
      <c r="J2046" t="n">
        <v>0</v>
      </c>
      <c r="K2046" t="n">
        <v>0</v>
      </c>
      <c r="L2046" t="n">
        <v>0</v>
      </c>
      <c r="M2046" t="n">
        <v>0</v>
      </c>
      <c r="N2046" t="n">
        <v>0</v>
      </c>
      <c r="O2046" t="n">
        <v>0</v>
      </c>
      <c r="P2046" t="n">
        <v>0</v>
      </c>
      <c r="Q2046" t="n">
        <v>0</v>
      </c>
      <c r="R2046" s="2" t="inlineStr"/>
    </row>
    <row r="2047" ht="15" customHeight="1">
      <c r="A2047" t="inlineStr">
        <is>
          <t>A 56185-2019</t>
        </is>
      </c>
      <c r="B2047" s="1" t="n">
        <v>43761</v>
      </c>
      <c r="C2047" s="1" t="n">
        <v>45657</v>
      </c>
      <c r="D2047" t="inlineStr">
        <is>
          <t>VÄSTERNORRLANDS LÄN</t>
        </is>
      </c>
      <c r="E2047" t="inlineStr">
        <is>
          <t>SUNDSVALL</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56024-2019</t>
        </is>
      </c>
      <c r="B2048" s="1" t="n">
        <v>43761</v>
      </c>
      <c r="C2048" s="1" t="n">
        <v>45657</v>
      </c>
      <c r="D2048" t="inlineStr">
        <is>
          <t>VÄSTERNORRLANDS LÄN</t>
        </is>
      </c>
      <c r="E2048" t="inlineStr">
        <is>
          <t>SUNDSVALL</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56178-2019</t>
        </is>
      </c>
      <c r="B2049" s="1" t="n">
        <v>43761</v>
      </c>
      <c r="C2049" s="1" t="n">
        <v>45657</v>
      </c>
      <c r="D2049" t="inlineStr">
        <is>
          <t>VÄSTERNORRLANDS LÄN</t>
        </is>
      </c>
      <c r="E2049" t="inlineStr">
        <is>
          <t>TIMRÅ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56252-2019</t>
        </is>
      </c>
      <c r="B2050" s="1" t="n">
        <v>43762</v>
      </c>
      <c r="C2050" s="1" t="n">
        <v>45657</v>
      </c>
      <c r="D2050" t="inlineStr">
        <is>
          <t>VÄSTERNORRLANDS LÄN</t>
        </is>
      </c>
      <c r="E2050" t="inlineStr">
        <is>
          <t>SOLLEFTEÅ</t>
        </is>
      </c>
      <c r="F2050" t="inlineStr">
        <is>
          <t>Kyrkan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56274-2019</t>
        </is>
      </c>
      <c r="B2051" s="1" t="n">
        <v>43762</v>
      </c>
      <c r="C2051" s="1" t="n">
        <v>45657</v>
      </c>
      <c r="D2051" t="inlineStr">
        <is>
          <t>VÄSTERNORRLANDS LÄN</t>
        </is>
      </c>
      <c r="E2051" t="inlineStr">
        <is>
          <t>SUNDSVALL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56490-2019</t>
        </is>
      </c>
      <c r="B2052" s="1" t="n">
        <v>43762</v>
      </c>
      <c r="C2052" s="1" t="n">
        <v>45657</v>
      </c>
      <c r="D2052" t="inlineStr">
        <is>
          <t>VÄSTERNORRLANDS LÄN</t>
        </is>
      </c>
      <c r="E2052" t="inlineStr">
        <is>
          <t>ÅNGE</t>
        </is>
      </c>
      <c r="F2052" t="inlineStr">
        <is>
          <t>SCA</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57797-2019</t>
        </is>
      </c>
      <c r="B2053" s="1" t="n">
        <v>43762</v>
      </c>
      <c r="C2053" s="1" t="n">
        <v>45657</v>
      </c>
      <c r="D2053" t="inlineStr">
        <is>
          <t>VÄSTERNORRLANDS LÄN</t>
        </is>
      </c>
      <c r="E2053" t="inlineStr">
        <is>
          <t>SUNDSVALL</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56486-2019</t>
        </is>
      </c>
      <c r="B2054" s="1" t="n">
        <v>43762</v>
      </c>
      <c r="C2054" s="1" t="n">
        <v>45657</v>
      </c>
      <c r="D2054" t="inlineStr">
        <is>
          <t>VÄSTERNORRLANDS LÄN</t>
        </is>
      </c>
      <c r="E2054" t="inlineStr">
        <is>
          <t>KRAMFORS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57758-2019</t>
        </is>
      </c>
      <c r="B2055" s="1" t="n">
        <v>43762</v>
      </c>
      <c r="C2055" s="1" t="n">
        <v>45657</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56493-2019</t>
        </is>
      </c>
      <c r="B2056" s="1" t="n">
        <v>43762</v>
      </c>
      <c r="C2056" s="1" t="n">
        <v>45657</v>
      </c>
      <c r="D2056" t="inlineStr">
        <is>
          <t>VÄSTERNORRLANDS LÄN</t>
        </is>
      </c>
      <c r="E2056" t="inlineStr">
        <is>
          <t>SOLLEFTEÅ</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56492-2019</t>
        </is>
      </c>
      <c r="B2057" s="1" t="n">
        <v>43762</v>
      </c>
      <c r="C2057" s="1" t="n">
        <v>45657</v>
      </c>
      <c r="D2057" t="inlineStr">
        <is>
          <t>VÄSTERNORRLANDS LÄN</t>
        </is>
      </c>
      <c r="E2057" t="inlineStr">
        <is>
          <t>SOLLEFTEÅ</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56544-2019</t>
        </is>
      </c>
      <c r="B2058" s="1" t="n">
        <v>43763</v>
      </c>
      <c r="C2058" s="1" t="n">
        <v>45657</v>
      </c>
      <c r="D2058" t="inlineStr">
        <is>
          <t>VÄSTERNORRLANDS LÄN</t>
        </is>
      </c>
      <c r="E2058" t="inlineStr">
        <is>
          <t>KRAMFORS</t>
        </is>
      </c>
      <c r="G2058" t="n">
        <v>31.4</v>
      </c>
      <c r="H2058" t="n">
        <v>0</v>
      </c>
      <c r="I2058" t="n">
        <v>0</v>
      </c>
      <c r="J2058" t="n">
        <v>0</v>
      </c>
      <c r="K2058" t="n">
        <v>0</v>
      </c>
      <c r="L2058" t="n">
        <v>0</v>
      </c>
      <c r="M2058" t="n">
        <v>0</v>
      </c>
      <c r="N2058" t="n">
        <v>0</v>
      </c>
      <c r="O2058" t="n">
        <v>0</v>
      </c>
      <c r="P2058" t="n">
        <v>0</v>
      </c>
      <c r="Q2058" t="n">
        <v>0</v>
      </c>
      <c r="R2058" s="2" t="inlineStr"/>
    </row>
    <row r="2059" ht="15" customHeight="1">
      <c r="A2059" t="inlineStr">
        <is>
          <t>A 56550-2019</t>
        </is>
      </c>
      <c r="B2059" s="1" t="n">
        <v>43763</v>
      </c>
      <c r="C2059" s="1" t="n">
        <v>45657</v>
      </c>
      <c r="D2059" t="inlineStr">
        <is>
          <t>VÄSTERNORRLANDS LÄN</t>
        </is>
      </c>
      <c r="E2059" t="inlineStr">
        <is>
          <t>ÖRNSKÖLDSVIK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56614-2019</t>
        </is>
      </c>
      <c r="B2060" s="1" t="n">
        <v>43763</v>
      </c>
      <c r="C2060" s="1" t="n">
        <v>45657</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56534-2019</t>
        </is>
      </c>
      <c r="B2061" s="1" t="n">
        <v>43763</v>
      </c>
      <c r="C2061" s="1" t="n">
        <v>45657</v>
      </c>
      <c r="D2061" t="inlineStr">
        <is>
          <t>VÄSTERNORRLANDS LÄN</t>
        </is>
      </c>
      <c r="E2061" t="inlineStr">
        <is>
          <t>SUNDSVALL</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56552-2019</t>
        </is>
      </c>
      <c r="B2062" s="1" t="n">
        <v>43763</v>
      </c>
      <c r="C2062" s="1" t="n">
        <v>45657</v>
      </c>
      <c r="D2062" t="inlineStr">
        <is>
          <t>VÄSTERNORRLANDS LÄN</t>
        </is>
      </c>
      <c r="E2062" t="inlineStr">
        <is>
          <t>ÖRNSKÖLDSVIK</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58060-2019</t>
        </is>
      </c>
      <c r="B2063" s="1" t="n">
        <v>43763</v>
      </c>
      <c r="C2063" s="1" t="n">
        <v>45657</v>
      </c>
      <c r="D2063" t="inlineStr">
        <is>
          <t>VÄSTERNORRLANDS LÄN</t>
        </is>
      </c>
      <c r="E2063" t="inlineStr">
        <is>
          <t>ÖRNSKÖLDSVIK</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56665-2019</t>
        </is>
      </c>
      <c r="B2064" s="1" t="n">
        <v>43763</v>
      </c>
      <c r="C2064" s="1" t="n">
        <v>45657</v>
      </c>
      <c r="D2064" t="inlineStr">
        <is>
          <t>VÄSTERNORRLANDS LÄN</t>
        </is>
      </c>
      <c r="E2064" t="inlineStr">
        <is>
          <t>ÖRNSKÖLDSVIK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56803-2019</t>
        </is>
      </c>
      <c r="B2065" s="1" t="n">
        <v>43763</v>
      </c>
      <c r="C2065" s="1" t="n">
        <v>45657</v>
      </c>
      <c r="D2065" t="inlineStr">
        <is>
          <t>VÄSTERNORRLANDS LÄN</t>
        </is>
      </c>
      <c r="E2065" t="inlineStr">
        <is>
          <t>SOLLEFTEÅ</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58066-2019</t>
        </is>
      </c>
      <c r="B2066" s="1" t="n">
        <v>43763</v>
      </c>
      <c r="C2066" s="1" t="n">
        <v>45657</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56988-2019</t>
        </is>
      </c>
      <c r="B2067" s="1" t="n">
        <v>43766</v>
      </c>
      <c r="C2067" s="1" t="n">
        <v>45657</v>
      </c>
      <c r="D2067" t="inlineStr">
        <is>
          <t>VÄSTERNORRLANDS LÄN</t>
        </is>
      </c>
      <c r="E2067" t="inlineStr">
        <is>
          <t>KRAMFORS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56874-2019</t>
        </is>
      </c>
      <c r="B2068" s="1" t="n">
        <v>43766</v>
      </c>
      <c r="C2068" s="1" t="n">
        <v>45657</v>
      </c>
      <c r="D2068" t="inlineStr">
        <is>
          <t>VÄSTERNORRLANDS LÄN</t>
        </is>
      </c>
      <c r="E2068" t="inlineStr">
        <is>
          <t>SOLLEFTEÅ</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56985-2019</t>
        </is>
      </c>
      <c r="B2069" s="1" t="n">
        <v>43766</v>
      </c>
      <c r="C2069" s="1" t="n">
        <v>45657</v>
      </c>
      <c r="D2069" t="inlineStr">
        <is>
          <t>VÄSTERNORRLANDS LÄN</t>
        </is>
      </c>
      <c r="E2069" t="inlineStr">
        <is>
          <t>SOLLEFTEÅ</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57041-2019</t>
        </is>
      </c>
      <c r="B2070" s="1" t="n">
        <v>43766</v>
      </c>
      <c r="C2070" s="1" t="n">
        <v>45657</v>
      </c>
      <c r="D2070" t="inlineStr">
        <is>
          <t>VÄSTERNORRLANDS LÄN</t>
        </is>
      </c>
      <c r="E2070" t="inlineStr">
        <is>
          <t>SOLLEFTEÅ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57177-2019</t>
        </is>
      </c>
      <c r="B2071" s="1" t="n">
        <v>43766</v>
      </c>
      <c r="C2071" s="1" t="n">
        <v>45657</v>
      </c>
      <c r="D2071" t="inlineStr">
        <is>
          <t>VÄSTERNORRLANDS LÄN</t>
        </is>
      </c>
      <c r="E2071" t="inlineStr">
        <is>
          <t>SUNDSVALL</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57184-2019</t>
        </is>
      </c>
      <c r="B2072" s="1" t="n">
        <v>43766</v>
      </c>
      <c r="C2072" s="1" t="n">
        <v>45657</v>
      </c>
      <c r="D2072" t="inlineStr">
        <is>
          <t>VÄSTERNORRLANDS LÄN</t>
        </is>
      </c>
      <c r="E2072" t="inlineStr">
        <is>
          <t>ÅNGE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57188-2019</t>
        </is>
      </c>
      <c r="B2073" s="1" t="n">
        <v>43766</v>
      </c>
      <c r="C2073" s="1" t="n">
        <v>45657</v>
      </c>
      <c r="D2073" t="inlineStr">
        <is>
          <t>VÄSTERNORRLANDS LÄN</t>
        </is>
      </c>
      <c r="E2073" t="inlineStr">
        <is>
          <t>SOLLEFTEÅ</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57183-2019</t>
        </is>
      </c>
      <c r="B2074" s="1" t="n">
        <v>43766</v>
      </c>
      <c r="C2074" s="1" t="n">
        <v>45657</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57175-2019</t>
        </is>
      </c>
      <c r="B2075" s="1" t="n">
        <v>43766</v>
      </c>
      <c r="C2075" s="1" t="n">
        <v>45657</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57180-2019</t>
        </is>
      </c>
      <c r="B2076" s="1" t="n">
        <v>43766</v>
      </c>
      <c r="C2076" s="1" t="n">
        <v>45657</v>
      </c>
      <c r="D2076" t="inlineStr">
        <is>
          <t>VÄSTERNORRLANDS LÄN</t>
        </is>
      </c>
      <c r="E2076" t="inlineStr">
        <is>
          <t>SUNDSVALL</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57222-2019</t>
        </is>
      </c>
      <c r="B2077" s="1" t="n">
        <v>43767</v>
      </c>
      <c r="C2077" s="1" t="n">
        <v>45657</v>
      </c>
      <c r="D2077" t="inlineStr">
        <is>
          <t>VÄSTERNORRLANDS LÄN</t>
        </is>
      </c>
      <c r="E2077" t="inlineStr">
        <is>
          <t>ÖRNSKÖLDSVIK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57296-2019</t>
        </is>
      </c>
      <c r="B2078" s="1" t="n">
        <v>43767</v>
      </c>
      <c r="C2078" s="1" t="n">
        <v>45657</v>
      </c>
      <c r="D2078" t="inlineStr">
        <is>
          <t>VÄSTERNORRLANDS LÄN</t>
        </is>
      </c>
      <c r="E2078" t="inlineStr">
        <is>
          <t>ÖRNSKÖLDSVIK</t>
        </is>
      </c>
      <c r="F2078" t="inlineStr">
        <is>
          <t>Holmen skog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58614-2019</t>
        </is>
      </c>
      <c r="B2079" s="1" t="n">
        <v>43767</v>
      </c>
      <c r="C2079" s="1" t="n">
        <v>45657</v>
      </c>
      <c r="D2079" t="inlineStr">
        <is>
          <t>VÄSTERNORRLANDS LÄN</t>
        </is>
      </c>
      <c r="E2079" t="inlineStr">
        <is>
          <t>ÖRNSKÖLDSVIK</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57445-2019</t>
        </is>
      </c>
      <c r="B2080" s="1" t="n">
        <v>43767</v>
      </c>
      <c r="C2080" s="1" t="n">
        <v>45657</v>
      </c>
      <c r="D2080" t="inlineStr">
        <is>
          <t>VÄSTERNORRLANDS LÄN</t>
        </is>
      </c>
      <c r="E2080" t="inlineStr">
        <is>
          <t>ÖRNSKÖLDSVIK</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58619-2019</t>
        </is>
      </c>
      <c r="B2081" s="1" t="n">
        <v>43767</v>
      </c>
      <c r="C2081" s="1" t="n">
        <v>45657</v>
      </c>
      <c r="D2081" t="inlineStr">
        <is>
          <t>VÄSTERNORRLANDS LÄN</t>
        </is>
      </c>
      <c r="E2081" t="inlineStr">
        <is>
          <t>ÖRNSKÖLDSVIK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57403-2019</t>
        </is>
      </c>
      <c r="B2082" s="1" t="n">
        <v>43767</v>
      </c>
      <c r="C2082" s="1" t="n">
        <v>45657</v>
      </c>
      <c r="D2082" t="inlineStr">
        <is>
          <t>VÄSTERNORRLANDS LÄN</t>
        </is>
      </c>
      <c r="E2082" t="inlineStr">
        <is>
          <t>ÖRNSKÖLDSVIK</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57298-2019</t>
        </is>
      </c>
      <c r="B2083" s="1" t="n">
        <v>43767</v>
      </c>
      <c r="C2083" s="1" t="n">
        <v>45657</v>
      </c>
      <c r="D2083" t="inlineStr">
        <is>
          <t>VÄSTERNORRLANDS LÄN</t>
        </is>
      </c>
      <c r="E2083" t="inlineStr">
        <is>
          <t>ÖRNSKÖLDSVIK</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57869-2019</t>
        </is>
      </c>
      <c r="B2084" s="1" t="n">
        <v>43768</v>
      </c>
      <c r="C2084" s="1" t="n">
        <v>45657</v>
      </c>
      <c r="D2084" t="inlineStr">
        <is>
          <t>VÄSTERNORRLANDS LÄN</t>
        </is>
      </c>
      <c r="E2084" t="inlineStr">
        <is>
          <t>HÄRNÖSAND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57859-2019</t>
        </is>
      </c>
      <c r="B2085" s="1" t="n">
        <v>43768</v>
      </c>
      <c r="C2085" s="1" t="n">
        <v>45657</v>
      </c>
      <c r="D2085" t="inlineStr">
        <is>
          <t>VÄSTERNORRLANDS LÄN</t>
        </is>
      </c>
      <c r="E2085" t="inlineStr">
        <is>
          <t>KRAMFORS</t>
        </is>
      </c>
      <c r="F2085" t="inlineStr">
        <is>
          <t>Kommuner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57870-2019</t>
        </is>
      </c>
      <c r="B2086" s="1" t="n">
        <v>43768</v>
      </c>
      <c r="C2086" s="1" t="n">
        <v>45657</v>
      </c>
      <c r="D2086" t="inlineStr">
        <is>
          <t>VÄSTERNORRLANDS LÄN</t>
        </is>
      </c>
      <c r="E2086" t="inlineStr">
        <is>
          <t>HÄRNÖSAND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57871-2019</t>
        </is>
      </c>
      <c r="B2087" s="1" t="n">
        <v>43768</v>
      </c>
      <c r="C2087" s="1" t="n">
        <v>45657</v>
      </c>
      <c r="D2087" t="inlineStr">
        <is>
          <t>VÄSTERNORRLANDS LÄN</t>
        </is>
      </c>
      <c r="E2087" t="inlineStr">
        <is>
          <t>HÄRNÖSAND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57882-2019</t>
        </is>
      </c>
      <c r="B2088" s="1" t="n">
        <v>43768</v>
      </c>
      <c r="C2088" s="1" t="n">
        <v>45657</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58834-2019</t>
        </is>
      </c>
      <c r="B2089" s="1" t="n">
        <v>43768</v>
      </c>
      <c r="C2089" s="1" t="n">
        <v>45657</v>
      </c>
      <c r="D2089" t="inlineStr">
        <is>
          <t>VÄSTERNORRLANDS LÄN</t>
        </is>
      </c>
      <c r="E2089" t="inlineStr">
        <is>
          <t>KRAMFORS</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58841-2019</t>
        </is>
      </c>
      <c r="B2090" s="1" t="n">
        <v>43768</v>
      </c>
      <c r="C2090" s="1" t="n">
        <v>45657</v>
      </c>
      <c r="D2090" t="inlineStr">
        <is>
          <t>VÄSTERNORRLANDS LÄN</t>
        </is>
      </c>
      <c r="E2090" t="inlineStr">
        <is>
          <t>KRAMFORS</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58711-2019</t>
        </is>
      </c>
      <c r="B2091" s="1" t="n">
        <v>43768</v>
      </c>
      <c r="C2091" s="1" t="n">
        <v>45657</v>
      </c>
      <c r="D2091" t="inlineStr">
        <is>
          <t>VÄSTERNORRLANDS LÄN</t>
        </is>
      </c>
      <c r="E2091" t="inlineStr">
        <is>
          <t>TIMRÅ</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57884-2019</t>
        </is>
      </c>
      <c r="B2092" s="1" t="n">
        <v>43768</v>
      </c>
      <c r="C2092" s="1" t="n">
        <v>45657</v>
      </c>
      <c r="D2092" t="inlineStr">
        <is>
          <t>VÄSTERNORRLANDS LÄN</t>
        </is>
      </c>
      <c r="E2092" t="inlineStr">
        <is>
          <t>SOLLEFTEÅ</t>
        </is>
      </c>
      <c r="F2092" t="inlineStr">
        <is>
          <t>SCA</t>
        </is>
      </c>
      <c r="G2092" t="n">
        <v>14.7</v>
      </c>
      <c r="H2092" t="n">
        <v>0</v>
      </c>
      <c r="I2092" t="n">
        <v>0</v>
      </c>
      <c r="J2092" t="n">
        <v>0</v>
      </c>
      <c r="K2092" t="n">
        <v>0</v>
      </c>
      <c r="L2092" t="n">
        <v>0</v>
      </c>
      <c r="M2092" t="n">
        <v>0</v>
      </c>
      <c r="N2092" t="n">
        <v>0</v>
      </c>
      <c r="O2092" t="n">
        <v>0</v>
      </c>
      <c r="P2092" t="n">
        <v>0</v>
      </c>
      <c r="Q2092" t="n">
        <v>0</v>
      </c>
      <c r="R2092" s="2" t="inlineStr"/>
    </row>
    <row r="2093" ht="15" customHeight="1">
      <c r="A2093" t="inlineStr">
        <is>
          <t>A 57883-2019</t>
        </is>
      </c>
      <c r="B2093" s="1" t="n">
        <v>43768</v>
      </c>
      <c r="C2093" s="1" t="n">
        <v>45657</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57866-2019</t>
        </is>
      </c>
      <c r="B2094" s="1" t="n">
        <v>43768</v>
      </c>
      <c r="C2094" s="1" t="n">
        <v>45657</v>
      </c>
      <c r="D2094" t="inlineStr">
        <is>
          <t>VÄSTERNORRLANDS LÄN</t>
        </is>
      </c>
      <c r="E2094" t="inlineStr">
        <is>
          <t>SUNDSVALL</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58170-2019</t>
        </is>
      </c>
      <c r="B2095" s="1" t="n">
        <v>43769</v>
      </c>
      <c r="C2095" s="1" t="n">
        <v>45657</v>
      </c>
      <c r="D2095" t="inlineStr">
        <is>
          <t>VÄSTERNORRLANDS LÄN</t>
        </is>
      </c>
      <c r="E2095" t="inlineStr">
        <is>
          <t>SOLLEFTEÅ</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58171-2019</t>
        </is>
      </c>
      <c r="B2096" s="1" t="n">
        <v>43769</v>
      </c>
      <c r="C2096" s="1" t="n">
        <v>45657</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57941-2019</t>
        </is>
      </c>
      <c r="B2097" s="1" t="n">
        <v>43769</v>
      </c>
      <c r="C2097" s="1" t="n">
        <v>45657</v>
      </c>
      <c r="D2097" t="inlineStr">
        <is>
          <t>VÄSTERNORRLANDS LÄN</t>
        </is>
      </c>
      <c r="E2097" t="inlineStr">
        <is>
          <t>ÖRNSKÖLDSVIK</t>
        </is>
      </c>
      <c r="F2097" t="inlineStr">
        <is>
          <t>Holmen skog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58267-2019</t>
        </is>
      </c>
      <c r="B2098" s="1" t="n">
        <v>43770</v>
      </c>
      <c r="C2098" s="1" t="n">
        <v>45657</v>
      </c>
      <c r="D2098" t="inlineStr">
        <is>
          <t>VÄSTERNORRLANDS LÄN</t>
        </is>
      </c>
      <c r="E2098" t="inlineStr">
        <is>
          <t>SOLLEFTEÅ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58720-2019</t>
        </is>
      </c>
      <c r="B2099" s="1" t="n">
        <v>43773</v>
      </c>
      <c r="C2099" s="1" t="n">
        <v>45657</v>
      </c>
      <c r="D2099" t="inlineStr">
        <is>
          <t>VÄSTERNORRLANDS LÄN</t>
        </is>
      </c>
      <c r="E2099" t="inlineStr">
        <is>
          <t>ÅNGE</t>
        </is>
      </c>
      <c r="F2099" t="inlineStr">
        <is>
          <t>Sveaskog</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58715-2019</t>
        </is>
      </c>
      <c r="B2100" s="1" t="n">
        <v>43773</v>
      </c>
      <c r="C2100" s="1" t="n">
        <v>45657</v>
      </c>
      <c r="D2100" t="inlineStr">
        <is>
          <t>VÄSTERNORRLANDS LÄN</t>
        </is>
      </c>
      <c r="E2100" t="inlineStr">
        <is>
          <t>ÖRNSKÖLDSVIK</t>
        </is>
      </c>
      <c r="F2100" t="inlineStr">
        <is>
          <t>Holmen skog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58768-2019</t>
        </is>
      </c>
      <c r="B2101" s="1" t="n">
        <v>43773</v>
      </c>
      <c r="C2101" s="1" t="n">
        <v>45657</v>
      </c>
      <c r="D2101" t="inlineStr">
        <is>
          <t>VÄSTERNORRLANDS LÄN</t>
        </is>
      </c>
      <c r="E2101" t="inlineStr">
        <is>
          <t>KRAMFORS</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59500-2019</t>
        </is>
      </c>
      <c r="B2102" s="1" t="n">
        <v>43773</v>
      </c>
      <c r="C2102" s="1" t="n">
        <v>45657</v>
      </c>
      <c r="D2102" t="inlineStr">
        <is>
          <t>VÄSTERNORRLANDS LÄN</t>
        </is>
      </c>
      <c r="E2102" t="inlineStr">
        <is>
          <t>ÖRNSKÖLDSVIK</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59512-2019</t>
        </is>
      </c>
      <c r="B2103" s="1" t="n">
        <v>43773</v>
      </c>
      <c r="C2103" s="1" t="n">
        <v>45657</v>
      </c>
      <c r="D2103" t="inlineStr">
        <is>
          <t>VÄSTERNORRLANDS LÄN</t>
        </is>
      </c>
      <c r="E2103" t="inlineStr">
        <is>
          <t>ÖRNSKÖLDSVIK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59523-2019</t>
        </is>
      </c>
      <c r="B2104" s="1" t="n">
        <v>43773</v>
      </c>
      <c r="C2104" s="1" t="n">
        <v>45657</v>
      </c>
      <c r="D2104" t="inlineStr">
        <is>
          <t>VÄSTERNORRLANDS LÄN</t>
        </is>
      </c>
      <c r="E2104" t="inlineStr">
        <is>
          <t>SUNDSVALL</t>
        </is>
      </c>
      <c r="F2104" t="inlineStr">
        <is>
          <t>Kyrkan</t>
        </is>
      </c>
      <c r="G2104" t="n">
        <v>16.6</v>
      </c>
      <c r="H2104" t="n">
        <v>0</v>
      </c>
      <c r="I2104" t="n">
        <v>0</v>
      </c>
      <c r="J2104" t="n">
        <v>0</v>
      </c>
      <c r="K2104" t="n">
        <v>0</v>
      </c>
      <c r="L2104" t="n">
        <v>0</v>
      </c>
      <c r="M2104" t="n">
        <v>0</v>
      </c>
      <c r="N2104" t="n">
        <v>0</v>
      </c>
      <c r="O2104" t="n">
        <v>0</v>
      </c>
      <c r="P2104" t="n">
        <v>0</v>
      </c>
      <c r="Q2104" t="n">
        <v>0</v>
      </c>
      <c r="R2104" s="2" t="inlineStr"/>
    </row>
    <row r="2105" ht="15" customHeight="1">
      <c r="A2105" t="inlineStr">
        <is>
          <t>A 58790-2019</t>
        </is>
      </c>
      <c r="B2105" s="1" t="n">
        <v>43773</v>
      </c>
      <c r="C2105" s="1" t="n">
        <v>45657</v>
      </c>
      <c r="D2105" t="inlineStr">
        <is>
          <t>VÄSTERNORRLANDS LÄN</t>
        </is>
      </c>
      <c r="E2105" t="inlineStr">
        <is>
          <t>ÅNGE</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58769-2019</t>
        </is>
      </c>
      <c r="B2106" s="1" t="n">
        <v>43773</v>
      </c>
      <c r="C2106" s="1" t="n">
        <v>45657</v>
      </c>
      <c r="D2106" t="inlineStr">
        <is>
          <t>VÄSTERNORRLANDS LÄN</t>
        </is>
      </c>
      <c r="E2106" t="inlineStr">
        <is>
          <t>KRAMFORS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58867-2019</t>
        </is>
      </c>
      <c r="B2107" s="1" t="n">
        <v>43774</v>
      </c>
      <c r="C2107" s="1" t="n">
        <v>45657</v>
      </c>
      <c r="D2107" t="inlineStr">
        <is>
          <t>VÄSTERNORRLANDS LÄN</t>
        </is>
      </c>
      <c r="E2107" t="inlineStr">
        <is>
          <t>TIMRÅ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58941-2019</t>
        </is>
      </c>
      <c r="B2108" s="1" t="n">
        <v>43774</v>
      </c>
      <c r="C2108" s="1" t="n">
        <v>45657</v>
      </c>
      <c r="D2108" t="inlineStr">
        <is>
          <t>VÄSTERNORRLANDS LÄN</t>
        </is>
      </c>
      <c r="E2108" t="inlineStr">
        <is>
          <t>ÅNGE</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59035-2019</t>
        </is>
      </c>
      <c r="B2109" s="1" t="n">
        <v>43774</v>
      </c>
      <c r="C2109" s="1" t="n">
        <v>45657</v>
      </c>
      <c r="D2109" t="inlineStr">
        <is>
          <t>VÄSTERNORRLANDS LÄN</t>
        </is>
      </c>
      <c r="E2109" t="inlineStr">
        <is>
          <t>ÖRNSKÖLDSVIK</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58847-2019</t>
        </is>
      </c>
      <c r="B2110" s="1" t="n">
        <v>43774</v>
      </c>
      <c r="C2110" s="1" t="n">
        <v>45657</v>
      </c>
      <c r="D2110" t="inlineStr">
        <is>
          <t>VÄSTERNORRLANDS LÄN</t>
        </is>
      </c>
      <c r="E2110" t="inlineStr">
        <is>
          <t>KRAMFORS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58866-2019</t>
        </is>
      </c>
      <c r="B2111" s="1" t="n">
        <v>43774</v>
      </c>
      <c r="C2111" s="1" t="n">
        <v>45657</v>
      </c>
      <c r="D2111" t="inlineStr">
        <is>
          <t>VÄSTERNORRLANDS LÄN</t>
        </is>
      </c>
      <c r="E2111" t="inlineStr">
        <is>
          <t>SUNDSVALL</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58932-2019</t>
        </is>
      </c>
      <c r="B2112" s="1" t="n">
        <v>43774</v>
      </c>
      <c r="C2112" s="1" t="n">
        <v>45657</v>
      </c>
      <c r="D2112" t="inlineStr">
        <is>
          <t>VÄSTERNORRLANDS LÄN</t>
        </is>
      </c>
      <c r="E2112" t="inlineStr">
        <is>
          <t>ÅNGE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58951-2019</t>
        </is>
      </c>
      <c r="B2113" s="1" t="n">
        <v>43774</v>
      </c>
      <c r="C2113" s="1" t="n">
        <v>45657</v>
      </c>
      <c r="D2113" t="inlineStr">
        <is>
          <t>VÄSTERNORRLANDS LÄN</t>
        </is>
      </c>
      <c r="E2113" t="inlineStr">
        <is>
          <t>ÅNGE</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59045-2019</t>
        </is>
      </c>
      <c r="B2114" s="1" t="n">
        <v>43774</v>
      </c>
      <c r="C2114" s="1" t="n">
        <v>45657</v>
      </c>
      <c r="D2114" t="inlineStr">
        <is>
          <t>VÄSTERNORRLANDS LÄN</t>
        </is>
      </c>
      <c r="E2114" t="inlineStr">
        <is>
          <t>ÖRNSKÖLDSVIK</t>
        </is>
      </c>
      <c r="F2114" t="inlineStr">
        <is>
          <t>Holmen skog AB</t>
        </is>
      </c>
      <c r="G2114" t="n">
        <v>19.9</v>
      </c>
      <c r="H2114" t="n">
        <v>0</v>
      </c>
      <c r="I2114" t="n">
        <v>0</v>
      </c>
      <c r="J2114" t="n">
        <v>0</v>
      </c>
      <c r="K2114" t="n">
        <v>0</v>
      </c>
      <c r="L2114" t="n">
        <v>0</v>
      </c>
      <c r="M2114" t="n">
        <v>0</v>
      </c>
      <c r="N2114" t="n">
        <v>0</v>
      </c>
      <c r="O2114" t="n">
        <v>0</v>
      </c>
      <c r="P2114" t="n">
        <v>0</v>
      </c>
      <c r="Q2114" t="n">
        <v>0</v>
      </c>
      <c r="R2114" s="2" t="inlineStr"/>
    </row>
    <row r="2115" ht="15" customHeight="1">
      <c r="A2115" t="inlineStr">
        <is>
          <t>A 59686-2019</t>
        </is>
      </c>
      <c r="B2115" s="1" t="n">
        <v>43774</v>
      </c>
      <c r="C2115" s="1" t="n">
        <v>45657</v>
      </c>
      <c r="D2115" t="inlineStr">
        <is>
          <t>VÄSTERNORRLANDS LÄN</t>
        </is>
      </c>
      <c r="E2115" t="inlineStr">
        <is>
          <t>KRAMFORS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58852-2019</t>
        </is>
      </c>
      <c r="B2116" s="1" t="n">
        <v>43774</v>
      </c>
      <c r="C2116" s="1" t="n">
        <v>45657</v>
      </c>
      <c r="D2116" t="inlineStr">
        <is>
          <t>VÄSTERNORRLANDS LÄN</t>
        </is>
      </c>
      <c r="E2116" t="inlineStr">
        <is>
          <t>KRAMFORS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59106-2019</t>
        </is>
      </c>
      <c r="B2117" s="1" t="n">
        <v>43774</v>
      </c>
      <c r="C2117" s="1" t="n">
        <v>45657</v>
      </c>
      <c r="D2117" t="inlineStr">
        <is>
          <t>VÄSTERNORRLANDS LÄN</t>
        </is>
      </c>
      <c r="E2117" t="inlineStr">
        <is>
          <t>HÄRNÖSAND</t>
        </is>
      </c>
      <c r="F2117" t="inlineStr">
        <is>
          <t>SCA</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59460-2019</t>
        </is>
      </c>
      <c r="B2118" s="1" t="n">
        <v>43776</v>
      </c>
      <c r="C2118" s="1" t="n">
        <v>45657</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59770-2019</t>
        </is>
      </c>
      <c r="B2119" s="1" t="n">
        <v>43776</v>
      </c>
      <c r="C2119" s="1" t="n">
        <v>45657</v>
      </c>
      <c r="D2119" t="inlineStr">
        <is>
          <t>VÄSTERNORRLANDS LÄN</t>
        </is>
      </c>
      <c r="E2119" t="inlineStr">
        <is>
          <t>SUNDSVALL</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59787-2019</t>
        </is>
      </c>
      <c r="B2120" s="1" t="n">
        <v>43776</v>
      </c>
      <c r="C2120" s="1" t="n">
        <v>45657</v>
      </c>
      <c r="D2120" t="inlineStr">
        <is>
          <t>VÄSTERNORRLANDS LÄN</t>
        </is>
      </c>
      <c r="E2120" t="inlineStr">
        <is>
          <t>ÖRNSKÖLDSVIK</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59771-2019</t>
        </is>
      </c>
      <c r="B2121" s="1" t="n">
        <v>43776</v>
      </c>
      <c r="C2121" s="1" t="n">
        <v>45657</v>
      </c>
      <c r="D2121" t="inlineStr">
        <is>
          <t>VÄSTERNORRLANDS LÄN</t>
        </is>
      </c>
      <c r="E2121" t="inlineStr">
        <is>
          <t>SUNDSVALL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59772-2019</t>
        </is>
      </c>
      <c r="B2122" s="1" t="n">
        <v>43776</v>
      </c>
      <c r="C2122" s="1" t="n">
        <v>45657</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59774-2019</t>
        </is>
      </c>
      <c r="B2123" s="1" t="n">
        <v>43776</v>
      </c>
      <c r="C2123" s="1" t="n">
        <v>45657</v>
      </c>
      <c r="D2123" t="inlineStr">
        <is>
          <t>VÄSTERNORRLANDS LÄN</t>
        </is>
      </c>
      <c r="E2123" t="inlineStr">
        <is>
          <t>ÖRNSKÖLDSVIK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60478-2019</t>
        </is>
      </c>
      <c r="B2124" s="1" t="n">
        <v>43776</v>
      </c>
      <c r="C2124" s="1" t="n">
        <v>45657</v>
      </c>
      <c r="D2124" t="inlineStr">
        <is>
          <t>VÄSTERNORRLANDS LÄN</t>
        </is>
      </c>
      <c r="E2124" t="inlineStr">
        <is>
          <t>ÖRNSKÖLDSVIK</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60087-2019</t>
        </is>
      </c>
      <c r="B2125" s="1" t="n">
        <v>43777</v>
      </c>
      <c r="C2125" s="1" t="n">
        <v>45657</v>
      </c>
      <c r="D2125" t="inlineStr">
        <is>
          <t>VÄSTERNORRLANDS LÄN</t>
        </is>
      </c>
      <c r="E2125" t="inlineStr">
        <is>
          <t>ÖRNSKÖLDSVIK</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60115-2019</t>
        </is>
      </c>
      <c r="B2126" s="1" t="n">
        <v>43777</v>
      </c>
      <c r="C2126" s="1" t="n">
        <v>45657</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60341-2019</t>
        </is>
      </c>
      <c r="B2127" s="1" t="n">
        <v>43780</v>
      </c>
      <c r="C2127" s="1" t="n">
        <v>45657</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60841-2019</t>
        </is>
      </c>
      <c r="B2128" s="1" t="n">
        <v>43780</v>
      </c>
      <c r="C2128" s="1" t="n">
        <v>45657</v>
      </c>
      <c r="D2128" t="inlineStr">
        <is>
          <t>VÄSTERNORRLANDS LÄN</t>
        </is>
      </c>
      <c r="E2128" t="inlineStr">
        <is>
          <t>ÖRNSKÖLDSVIK</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60491-2019</t>
        </is>
      </c>
      <c r="B2129" s="1" t="n">
        <v>43780</v>
      </c>
      <c r="C2129" s="1" t="n">
        <v>45657</v>
      </c>
      <c r="D2129" t="inlineStr">
        <is>
          <t>VÄSTERNORRLANDS LÄN</t>
        </is>
      </c>
      <c r="E2129" t="inlineStr">
        <is>
          <t>SOLLEFTEÅ</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61299-2019</t>
        </is>
      </c>
      <c r="B2130" s="1" t="n">
        <v>43780</v>
      </c>
      <c r="C2130" s="1" t="n">
        <v>45657</v>
      </c>
      <c r="D2130" t="inlineStr">
        <is>
          <t>VÄSTERNORRLANDS LÄN</t>
        </is>
      </c>
      <c r="E2130" t="inlineStr">
        <is>
          <t>HÄRNÖSAND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61465-2019</t>
        </is>
      </c>
      <c r="B2131" s="1" t="n">
        <v>43780</v>
      </c>
      <c r="C2131" s="1" t="n">
        <v>45657</v>
      </c>
      <c r="D2131" t="inlineStr">
        <is>
          <t>VÄSTERNORRLANDS LÄN</t>
        </is>
      </c>
      <c r="E2131" t="inlineStr">
        <is>
          <t>ÖRNSKÖLDSVIK</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60361-2019</t>
        </is>
      </c>
      <c r="B2132" s="1" t="n">
        <v>43780</v>
      </c>
      <c r="C2132" s="1" t="n">
        <v>45657</v>
      </c>
      <c r="D2132" t="inlineStr">
        <is>
          <t>VÄSTERNORRLANDS LÄN</t>
        </is>
      </c>
      <c r="E2132" t="inlineStr">
        <is>
          <t>ÖRNSKÖLDSVIK</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61428-2019</t>
        </is>
      </c>
      <c r="B2133" s="1" t="n">
        <v>43780</v>
      </c>
      <c r="C2133" s="1" t="n">
        <v>45657</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60531-2019</t>
        </is>
      </c>
      <c r="B2134" s="1" t="n">
        <v>43781</v>
      </c>
      <c r="C2134" s="1" t="n">
        <v>45657</v>
      </c>
      <c r="D2134" t="inlineStr">
        <is>
          <t>VÄSTERNORRLANDS LÄN</t>
        </is>
      </c>
      <c r="E2134" t="inlineStr">
        <is>
          <t>SOLLEFTEÅ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60588-2019</t>
        </is>
      </c>
      <c r="B2135" s="1" t="n">
        <v>43781</v>
      </c>
      <c r="C2135" s="1" t="n">
        <v>45657</v>
      </c>
      <c r="D2135" t="inlineStr">
        <is>
          <t>VÄSTERNORRLANDS LÄN</t>
        </is>
      </c>
      <c r="E2135" t="inlineStr">
        <is>
          <t>SUNDSVALL</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60538-2019</t>
        </is>
      </c>
      <c r="B2136" s="1" t="n">
        <v>43781</v>
      </c>
      <c r="C2136" s="1" t="n">
        <v>45657</v>
      </c>
      <c r="D2136" t="inlineStr">
        <is>
          <t>VÄSTERNORRLANDS LÄN</t>
        </is>
      </c>
      <c r="E2136" t="inlineStr">
        <is>
          <t>SOLLEFTEÅ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60577-2019</t>
        </is>
      </c>
      <c r="B2137" s="1" t="n">
        <v>43781</v>
      </c>
      <c r="C2137" s="1" t="n">
        <v>45657</v>
      </c>
      <c r="D2137" t="inlineStr">
        <is>
          <t>VÄSTERNORRLANDS LÄN</t>
        </is>
      </c>
      <c r="E2137" t="inlineStr">
        <is>
          <t>ÅNGE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60687-2019</t>
        </is>
      </c>
      <c r="B2138" s="1" t="n">
        <v>43781</v>
      </c>
      <c r="C2138" s="1" t="n">
        <v>45657</v>
      </c>
      <c r="D2138" t="inlineStr">
        <is>
          <t>VÄSTERNORRLANDS LÄN</t>
        </is>
      </c>
      <c r="E2138" t="inlineStr">
        <is>
          <t>ÅNGE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60868-2019</t>
        </is>
      </c>
      <c r="B2139" s="1" t="n">
        <v>43781</v>
      </c>
      <c r="C2139" s="1" t="n">
        <v>45657</v>
      </c>
      <c r="D2139" t="inlineStr">
        <is>
          <t>VÄSTERNORRLANDS LÄN</t>
        </is>
      </c>
      <c r="E2139" t="inlineStr">
        <is>
          <t>ÅNGE</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60849-2019</t>
        </is>
      </c>
      <c r="B2140" s="1" t="n">
        <v>43781</v>
      </c>
      <c r="C2140" s="1" t="n">
        <v>45657</v>
      </c>
      <c r="D2140" t="inlineStr">
        <is>
          <t>VÄSTERNORRLANDS LÄN</t>
        </is>
      </c>
      <c r="E2140" t="inlineStr">
        <is>
          <t>TIMRÅ</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60905-2019</t>
        </is>
      </c>
      <c r="B2141" s="1" t="n">
        <v>43781</v>
      </c>
      <c r="C2141" s="1" t="n">
        <v>45657</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61978-2019</t>
        </is>
      </c>
      <c r="B2142" s="1" t="n">
        <v>43781</v>
      </c>
      <c r="C2142" s="1" t="n">
        <v>45657</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60843-2019</t>
        </is>
      </c>
      <c r="B2143" s="1" t="n">
        <v>43781</v>
      </c>
      <c r="C2143" s="1" t="n">
        <v>45657</v>
      </c>
      <c r="D2143" t="inlineStr">
        <is>
          <t>VÄSTERNORRLANDS LÄN</t>
        </is>
      </c>
      <c r="E2143" t="inlineStr">
        <is>
          <t>ÖRNSKÖLDSVIK</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61218-2019</t>
        </is>
      </c>
      <c r="B2144" s="1" t="n">
        <v>43781</v>
      </c>
      <c r="C2144" s="1" t="n">
        <v>45657</v>
      </c>
      <c r="D2144" t="inlineStr">
        <is>
          <t>VÄSTERNORRLANDS LÄN</t>
        </is>
      </c>
      <c r="E2144" t="inlineStr">
        <is>
          <t>ÖRNSKÖLDSVIK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61053-2019</t>
        </is>
      </c>
      <c r="B2145" s="1" t="n">
        <v>43782</v>
      </c>
      <c r="C2145" s="1" t="n">
        <v>45657</v>
      </c>
      <c r="D2145" t="inlineStr">
        <is>
          <t>VÄSTERNORRLANDS LÄN</t>
        </is>
      </c>
      <c r="E2145" t="inlineStr">
        <is>
          <t>ÖRNSKÖLDSVIK</t>
        </is>
      </c>
      <c r="F2145" t="inlineStr">
        <is>
          <t>Holmen skog AB</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61197-2019</t>
        </is>
      </c>
      <c r="B2146" s="1" t="n">
        <v>43782</v>
      </c>
      <c r="C2146" s="1" t="n">
        <v>45657</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61641-2019</t>
        </is>
      </c>
      <c r="B2147" s="1" t="n">
        <v>43782</v>
      </c>
      <c r="C2147" s="1" t="n">
        <v>45657</v>
      </c>
      <c r="D2147" t="inlineStr">
        <is>
          <t>VÄSTERNORRLANDS LÄN</t>
        </is>
      </c>
      <c r="E2147" t="inlineStr">
        <is>
          <t>HÄRNÖSAND</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62331-2019</t>
        </is>
      </c>
      <c r="B2148" s="1" t="n">
        <v>43782</v>
      </c>
      <c r="C2148" s="1" t="n">
        <v>45657</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61182-2019</t>
        </is>
      </c>
      <c r="B2149" s="1" t="n">
        <v>43782</v>
      </c>
      <c r="C2149" s="1" t="n">
        <v>45657</v>
      </c>
      <c r="D2149" t="inlineStr">
        <is>
          <t>VÄSTERNORRLANDS LÄN</t>
        </is>
      </c>
      <c r="E2149" t="inlineStr">
        <is>
          <t>ÖRNSKÖLDSVIK</t>
        </is>
      </c>
      <c r="F2149" t="inlineStr">
        <is>
          <t>Holmen skog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62282-2019</t>
        </is>
      </c>
      <c r="B2150" s="1" t="n">
        <v>43782</v>
      </c>
      <c r="C2150" s="1" t="n">
        <v>45657</v>
      </c>
      <c r="D2150" t="inlineStr">
        <is>
          <t>VÄSTERNORRLANDS LÄN</t>
        </is>
      </c>
      <c r="E2150" t="inlineStr">
        <is>
          <t>TIMRÅ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61521-2019</t>
        </is>
      </c>
      <c r="B2151" s="1" t="n">
        <v>43783</v>
      </c>
      <c r="C2151" s="1" t="n">
        <v>45657</v>
      </c>
      <c r="D2151" t="inlineStr">
        <is>
          <t>VÄSTERNORRLANDS LÄN</t>
        </is>
      </c>
      <c r="E2151" t="inlineStr">
        <is>
          <t>ÅNGE</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61453-2019</t>
        </is>
      </c>
      <c r="B2152" s="1" t="n">
        <v>43783</v>
      </c>
      <c r="C2152" s="1" t="n">
        <v>45657</v>
      </c>
      <c r="D2152" t="inlineStr">
        <is>
          <t>VÄSTERNORRLANDS LÄN</t>
        </is>
      </c>
      <c r="E2152" t="inlineStr">
        <is>
          <t>ÖRNSKÖLDSVIK</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61520-2019</t>
        </is>
      </c>
      <c r="B2153" s="1" t="n">
        <v>43783</v>
      </c>
      <c r="C2153" s="1" t="n">
        <v>45657</v>
      </c>
      <c r="D2153" t="inlineStr">
        <is>
          <t>VÄSTERNORRLANDS LÄN</t>
        </is>
      </c>
      <c r="E2153" t="inlineStr">
        <is>
          <t>ÅNGE</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62602-2019</t>
        </is>
      </c>
      <c r="B2154" s="1" t="n">
        <v>43784</v>
      </c>
      <c r="C2154" s="1" t="n">
        <v>45657</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61966-2019</t>
        </is>
      </c>
      <c r="B2155" s="1" t="n">
        <v>43787</v>
      </c>
      <c r="C2155" s="1" t="n">
        <v>45657</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61918-2019</t>
        </is>
      </c>
      <c r="B2156" s="1" t="n">
        <v>43787</v>
      </c>
      <c r="C2156" s="1" t="n">
        <v>45657</v>
      </c>
      <c r="D2156" t="inlineStr">
        <is>
          <t>VÄSTERNORRLANDS LÄN</t>
        </is>
      </c>
      <c r="E2156" t="inlineStr">
        <is>
          <t>ÅNGE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62179-2019</t>
        </is>
      </c>
      <c r="B2157" s="1" t="n">
        <v>43787</v>
      </c>
      <c r="C2157" s="1" t="n">
        <v>45657</v>
      </c>
      <c r="D2157" t="inlineStr">
        <is>
          <t>VÄSTERNORRLANDS LÄN</t>
        </is>
      </c>
      <c r="E2157" t="inlineStr">
        <is>
          <t>HÄRNÖSAND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62178-2019</t>
        </is>
      </c>
      <c r="B2158" s="1" t="n">
        <v>43787</v>
      </c>
      <c r="C2158" s="1" t="n">
        <v>45657</v>
      </c>
      <c r="D2158" t="inlineStr">
        <is>
          <t>VÄSTERNORRLANDS LÄN</t>
        </is>
      </c>
      <c r="E2158" t="inlineStr">
        <is>
          <t>KRAMFORS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62150-2019</t>
        </is>
      </c>
      <c r="B2159" s="1" t="n">
        <v>43787</v>
      </c>
      <c r="C2159" s="1" t="n">
        <v>45657</v>
      </c>
      <c r="D2159" t="inlineStr">
        <is>
          <t>VÄSTERNORRLANDS LÄN</t>
        </is>
      </c>
      <c r="E2159" t="inlineStr">
        <is>
          <t>ÖRNSKÖLDSVIK</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62180-2019</t>
        </is>
      </c>
      <c r="B2160" s="1" t="n">
        <v>43787</v>
      </c>
      <c r="C2160" s="1" t="n">
        <v>45657</v>
      </c>
      <c r="D2160" t="inlineStr">
        <is>
          <t>VÄSTERNORRLANDS LÄN</t>
        </is>
      </c>
      <c r="E2160" t="inlineStr">
        <is>
          <t>KRAMFORS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61862-2019</t>
        </is>
      </c>
      <c r="B2161" s="1" t="n">
        <v>43787</v>
      </c>
      <c r="C2161" s="1" t="n">
        <v>45657</v>
      </c>
      <c r="D2161" t="inlineStr">
        <is>
          <t>VÄSTERNORRLANDS LÄN</t>
        </is>
      </c>
      <c r="E2161" t="inlineStr">
        <is>
          <t>ÅNGE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62398-2019</t>
        </is>
      </c>
      <c r="B2162" s="1" t="n">
        <v>43788</v>
      </c>
      <c r="C2162" s="1" t="n">
        <v>45657</v>
      </c>
      <c r="D2162" t="inlineStr">
        <is>
          <t>VÄSTERNORRLANDS LÄN</t>
        </is>
      </c>
      <c r="E2162" t="inlineStr">
        <is>
          <t>ÖRNSKÖLDSVIK</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63450-2019</t>
        </is>
      </c>
      <c r="B2163" s="1" t="n">
        <v>43788</v>
      </c>
      <c r="C2163" s="1" t="n">
        <v>45657</v>
      </c>
      <c r="D2163" t="inlineStr">
        <is>
          <t>VÄSTERNORRLANDS LÄN</t>
        </is>
      </c>
      <c r="E2163" t="inlineStr">
        <is>
          <t>SOLLEFTEÅ</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62222-2019</t>
        </is>
      </c>
      <c r="B2164" s="1" t="n">
        <v>43788</v>
      </c>
      <c r="C2164" s="1" t="n">
        <v>45657</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62500-2019</t>
        </is>
      </c>
      <c r="B2165" s="1" t="n">
        <v>43788</v>
      </c>
      <c r="C2165" s="1" t="n">
        <v>45657</v>
      </c>
      <c r="D2165" t="inlineStr">
        <is>
          <t>VÄSTERNORRLANDS LÄN</t>
        </is>
      </c>
      <c r="E2165" t="inlineStr">
        <is>
          <t>SOLLEFTEÅ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62394-2019</t>
        </is>
      </c>
      <c r="B2166" s="1" t="n">
        <v>43788</v>
      </c>
      <c r="C2166" s="1" t="n">
        <v>45657</v>
      </c>
      <c r="D2166" t="inlineStr">
        <is>
          <t>VÄSTERNORRLANDS LÄN</t>
        </is>
      </c>
      <c r="E2166" t="inlineStr">
        <is>
          <t>ÖRNSKÖLDSVIK</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63685-2019</t>
        </is>
      </c>
      <c r="B2167" s="1" t="n">
        <v>43788</v>
      </c>
      <c r="C2167" s="1" t="n">
        <v>45657</v>
      </c>
      <c r="D2167" t="inlineStr">
        <is>
          <t>VÄSTERNORRLANDS LÄN</t>
        </is>
      </c>
      <c r="E2167" t="inlineStr">
        <is>
          <t>TIMRÅ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63612-2019</t>
        </is>
      </c>
      <c r="B2168" s="1" t="n">
        <v>43789</v>
      </c>
      <c r="C2168" s="1" t="n">
        <v>45657</v>
      </c>
      <c r="D2168" t="inlineStr">
        <is>
          <t>VÄSTERNORRLANDS LÄN</t>
        </is>
      </c>
      <c r="E2168" t="inlineStr">
        <is>
          <t>KRAMFORS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62715-2019</t>
        </is>
      </c>
      <c r="B2169" s="1" t="n">
        <v>43789</v>
      </c>
      <c r="C2169" s="1" t="n">
        <v>45657</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63672-2019</t>
        </is>
      </c>
      <c r="B2170" s="1" t="n">
        <v>43789</v>
      </c>
      <c r="C2170" s="1" t="n">
        <v>45657</v>
      </c>
      <c r="D2170" t="inlineStr">
        <is>
          <t>VÄSTERNORRLANDS LÄN</t>
        </is>
      </c>
      <c r="E2170" t="inlineStr">
        <is>
          <t>ÖRNSKÖLDSVIK</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62833-2019</t>
        </is>
      </c>
      <c r="B2171" s="1" t="n">
        <v>43790</v>
      </c>
      <c r="C2171" s="1" t="n">
        <v>45657</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62826-2019</t>
        </is>
      </c>
      <c r="B2172" s="1" t="n">
        <v>43790</v>
      </c>
      <c r="C2172" s="1" t="n">
        <v>45657</v>
      </c>
      <c r="D2172" t="inlineStr">
        <is>
          <t>VÄSTERNORRLANDS LÄN</t>
        </is>
      </c>
      <c r="E2172" t="inlineStr">
        <is>
          <t>SUNDSVALL</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62925-2019</t>
        </is>
      </c>
      <c r="B2173" s="1" t="n">
        <v>43790</v>
      </c>
      <c r="C2173" s="1" t="n">
        <v>45657</v>
      </c>
      <c r="D2173" t="inlineStr">
        <is>
          <t>VÄSTERNORRLANDS LÄN</t>
        </is>
      </c>
      <c r="E2173" t="inlineStr">
        <is>
          <t>ÅNGE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63007-2019</t>
        </is>
      </c>
      <c r="B2174" s="1" t="n">
        <v>43790</v>
      </c>
      <c r="C2174" s="1" t="n">
        <v>45657</v>
      </c>
      <c r="D2174" t="inlineStr">
        <is>
          <t>VÄSTERNORRLANDS LÄN</t>
        </is>
      </c>
      <c r="E2174" t="inlineStr">
        <is>
          <t>SUNDSVALL</t>
        </is>
      </c>
      <c r="F2174" t="inlineStr">
        <is>
          <t>Naturvårdsverket</t>
        </is>
      </c>
      <c r="G2174" t="n">
        <v>23.6</v>
      </c>
      <c r="H2174" t="n">
        <v>0</v>
      </c>
      <c r="I2174" t="n">
        <v>0</v>
      </c>
      <c r="J2174" t="n">
        <v>0</v>
      </c>
      <c r="K2174" t="n">
        <v>0</v>
      </c>
      <c r="L2174" t="n">
        <v>0</v>
      </c>
      <c r="M2174" t="n">
        <v>0</v>
      </c>
      <c r="N2174" t="n">
        <v>0</v>
      </c>
      <c r="O2174" t="n">
        <v>0</v>
      </c>
      <c r="P2174" t="n">
        <v>0</v>
      </c>
      <c r="Q2174" t="n">
        <v>0</v>
      </c>
      <c r="R2174" s="2" t="inlineStr"/>
    </row>
    <row r="2175" ht="15" customHeight="1">
      <c r="A2175" t="inlineStr">
        <is>
          <t>A 63891-2019</t>
        </is>
      </c>
      <c r="B2175" s="1" t="n">
        <v>43790</v>
      </c>
      <c r="C2175" s="1" t="n">
        <v>45657</v>
      </c>
      <c r="D2175" t="inlineStr">
        <is>
          <t>VÄSTERNORRLANDS LÄN</t>
        </is>
      </c>
      <c r="E2175" t="inlineStr">
        <is>
          <t>ÖRNSKÖLDSVIK</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63175-2019</t>
        </is>
      </c>
      <c r="B2176" s="1" t="n">
        <v>43791</v>
      </c>
      <c r="C2176" s="1" t="n">
        <v>45657</v>
      </c>
      <c r="D2176" t="inlineStr">
        <is>
          <t>VÄSTERNORRLANDS LÄN</t>
        </is>
      </c>
      <c r="E2176" t="inlineStr">
        <is>
          <t>SUNDSVALL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63111-2019</t>
        </is>
      </c>
      <c r="B2177" s="1" t="n">
        <v>43791</v>
      </c>
      <c r="C2177" s="1" t="n">
        <v>45657</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64197-2019</t>
        </is>
      </c>
      <c r="B2178" s="1" t="n">
        <v>43791</v>
      </c>
      <c r="C2178" s="1" t="n">
        <v>45657</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63300-2019</t>
        </is>
      </c>
      <c r="B2179" s="1" t="n">
        <v>43794</v>
      </c>
      <c r="C2179" s="1" t="n">
        <v>45657</v>
      </c>
      <c r="D2179" t="inlineStr">
        <is>
          <t>VÄSTERNORRLANDS LÄN</t>
        </is>
      </c>
      <c r="E2179" t="inlineStr">
        <is>
          <t>ÅNGE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63329-2019</t>
        </is>
      </c>
      <c r="B2180" s="1" t="n">
        <v>43794</v>
      </c>
      <c r="C2180" s="1" t="n">
        <v>45657</v>
      </c>
      <c r="D2180" t="inlineStr">
        <is>
          <t>VÄSTERNORRLANDS LÄN</t>
        </is>
      </c>
      <c r="E2180" t="inlineStr">
        <is>
          <t>ÅNGE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63453-2019</t>
        </is>
      </c>
      <c r="B2181" s="1" t="n">
        <v>43794</v>
      </c>
      <c r="C2181" s="1" t="n">
        <v>45657</v>
      </c>
      <c r="D2181" t="inlineStr">
        <is>
          <t>VÄSTERNORRLANDS LÄN</t>
        </is>
      </c>
      <c r="E2181" t="inlineStr">
        <is>
          <t>ÅNGE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63324-2019</t>
        </is>
      </c>
      <c r="B2182" s="1" t="n">
        <v>43794</v>
      </c>
      <c r="C2182" s="1" t="n">
        <v>45657</v>
      </c>
      <c r="D2182" t="inlineStr">
        <is>
          <t>VÄSTERNORRLANDS LÄN</t>
        </is>
      </c>
      <c r="E2182" t="inlineStr">
        <is>
          <t>ÅNGE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63549-2019</t>
        </is>
      </c>
      <c r="B2183" s="1" t="n">
        <v>43794</v>
      </c>
      <c r="C2183" s="1" t="n">
        <v>45657</v>
      </c>
      <c r="D2183" t="inlineStr">
        <is>
          <t>VÄSTERNORRLANDS LÄN</t>
        </is>
      </c>
      <c r="E2183" t="inlineStr">
        <is>
          <t>ÅNGE</t>
        </is>
      </c>
      <c r="F2183" t="inlineStr">
        <is>
          <t>SCA</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63315-2019</t>
        </is>
      </c>
      <c r="B2184" s="1" t="n">
        <v>43794</v>
      </c>
      <c r="C2184" s="1" t="n">
        <v>45657</v>
      </c>
      <c r="D2184" t="inlineStr">
        <is>
          <t>VÄSTERNORRLANDS LÄN</t>
        </is>
      </c>
      <c r="E2184" t="inlineStr">
        <is>
          <t>SUNDSVALL</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63427-2019</t>
        </is>
      </c>
      <c r="B2185" s="1" t="n">
        <v>43794</v>
      </c>
      <c r="C2185" s="1" t="n">
        <v>45657</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63454-2019</t>
        </is>
      </c>
      <c r="B2186" s="1" t="n">
        <v>43794</v>
      </c>
      <c r="C2186" s="1" t="n">
        <v>45657</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64651-2019</t>
        </is>
      </c>
      <c r="B2187" s="1" t="n">
        <v>43794</v>
      </c>
      <c r="C2187" s="1" t="n">
        <v>45657</v>
      </c>
      <c r="D2187" t="inlineStr">
        <is>
          <t>VÄSTERNORRLANDS LÄN</t>
        </is>
      </c>
      <c r="E2187" t="inlineStr">
        <is>
          <t>ÖRNSKÖLDSVIK</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63403-2019</t>
        </is>
      </c>
      <c r="B2188" s="1" t="n">
        <v>43794</v>
      </c>
      <c r="C2188" s="1" t="n">
        <v>45657</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64322-2019</t>
        </is>
      </c>
      <c r="B2189" s="1" t="n">
        <v>43794</v>
      </c>
      <c r="C2189" s="1" t="n">
        <v>45657</v>
      </c>
      <c r="D2189" t="inlineStr">
        <is>
          <t>VÄSTERNORRLANDS LÄN</t>
        </is>
      </c>
      <c r="E2189" t="inlineStr">
        <is>
          <t>ÖRNSKÖLDSVIK</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63551-2019</t>
        </is>
      </c>
      <c r="B2190" s="1" t="n">
        <v>43794</v>
      </c>
      <c r="C2190" s="1" t="n">
        <v>45657</v>
      </c>
      <c r="D2190" t="inlineStr">
        <is>
          <t>VÄSTERNORRLANDS LÄN</t>
        </is>
      </c>
      <c r="E2190" t="inlineStr">
        <is>
          <t>HÄRNÖSAND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63552-2019</t>
        </is>
      </c>
      <c r="B2191" s="1" t="n">
        <v>43794</v>
      </c>
      <c r="C2191" s="1" t="n">
        <v>45657</v>
      </c>
      <c r="D2191" t="inlineStr">
        <is>
          <t>VÄSTERNORRLANDS LÄN</t>
        </is>
      </c>
      <c r="E2191" t="inlineStr">
        <is>
          <t>SOLLEFTEÅ</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63679-2019</t>
        </is>
      </c>
      <c r="B2192" s="1" t="n">
        <v>43795</v>
      </c>
      <c r="C2192" s="1" t="n">
        <v>45657</v>
      </c>
      <c r="D2192" t="inlineStr">
        <is>
          <t>VÄSTERNORRLANDS LÄN</t>
        </is>
      </c>
      <c r="E2192" t="inlineStr">
        <is>
          <t>ÅNGE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63677-2019</t>
        </is>
      </c>
      <c r="B2193" s="1" t="n">
        <v>43795</v>
      </c>
      <c r="C2193" s="1" t="n">
        <v>45657</v>
      </c>
      <c r="D2193" t="inlineStr">
        <is>
          <t>VÄSTERNORRLANDS LÄN</t>
        </is>
      </c>
      <c r="E2193" t="inlineStr">
        <is>
          <t>ÅNGE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63752-2019</t>
        </is>
      </c>
      <c r="B2194" s="1" t="n">
        <v>43795</v>
      </c>
      <c r="C2194" s="1" t="n">
        <v>45657</v>
      </c>
      <c r="D2194" t="inlineStr">
        <is>
          <t>VÄSTERNORRLANDS LÄN</t>
        </is>
      </c>
      <c r="E2194" t="inlineStr">
        <is>
          <t>SOLLEFTEÅ</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63683-2019</t>
        </is>
      </c>
      <c r="B2195" s="1" t="n">
        <v>43795</v>
      </c>
      <c r="C2195" s="1" t="n">
        <v>45657</v>
      </c>
      <c r="D2195" t="inlineStr">
        <is>
          <t>VÄSTERNORRLANDS LÄN</t>
        </is>
      </c>
      <c r="E2195" t="inlineStr">
        <is>
          <t>ÅNGE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63836-2019</t>
        </is>
      </c>
      <c r="B2196" s="1" t="n">
        <v>43795</v>
      </c>
      <c r="C2196" s="1" t="n">
        <v>45657</v>
      </c>
      <c r="D2196" t="inlineStr">
        <is>
          <t>VÄSTERNORRLANDS LÄN</t>
        </is>
      </c>
      <c r="E2196" t="inlineStr">
        <is>
          <t>TIMRÅ</t>
        </is>
      </c>
      <c r="F2196" t="inlineStr">
        <is>
          <t>Kyrkan</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63994-2019</t>
        </is>
      </c>
      <c r="B2197" s="1" t="n">
        <v>43796</v>
      </c>
      <c r="C2197" s="1" t="n">
        <v>45657</v>
      </c>
      <c r="D2197" t="inlineStr">
        <is>
          <t>VÄSTERNORRLANDS LÄN</t>
        </is>
      </c>
      <c r="E2197" t="inlineStr">
        <is>
          <t>HÄRNÖSAND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63980-2019</t>
        </is>
      </c>
      <c r="B2198" s="1" t="n">
        <v>43796</v>
      </c>
      <c r="C2198" s="1" t="n">
        <v>45657</v>
      </c>
      <c r="D2198" t="inlineStr">
        <is>
          <t>VÄSTERNORRLANDS LÄN</t>
        </is>
      </c>
      <c r="E2198" t="inlineStr">
        <is>
          <t>HÄRNÖSAND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64069-2019</t>
        </is>
      </c>
      <c r="B2199" s="1" t="n">
        <v>43796</v>
      </c>
      <c r="C2199" s="1" t="n">
        <v>45657</v>
      </c>
      <c r="D2199" t="inlineStr">
        <is>
          <t>VÄSTERNORRLANDS LÄN</t>
        </is>
      </c>
      <c r="E2199" t="inlineStr">
        <is>
          <t>ÖRNSKÖLDSVIK</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64130-2019</t>
        </is>
      </c>
      <c r="B2200" s="1" t="n">
        <v>43796</v>
      </c>
      <c r="C2200" s="1" t="n">
        <v>45657</v>
      </c>
      <c r="D2200" t="inlineStr">
        <is>
          <t>VÄSTERNORRLANDS LÄN</t>
        </is>
      </c>
      <c r="E2200" t="inlineStr">
        <is>
          <t>SUNDSVALL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64245-2019</t>
        </is>
      </c>
      <c r="B2201" s="1" t="n">
        <v>43797</v>
      </c>
      <c r="C2201" s="1" t="n">
        <v>45657</v>
      </c>
      <c r="D2201" t="inlineStr">
        <is>
          <t>VÄSTERNORRLANDS LÄN</t>
        </is>
      </c>
      <c r="E2201" t="inlineStr">
        <is>
          <t>SUNDSVALL</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64217-2019</t>
        </is>
      </c>
      <c r="B2202" s="1" t="n">
        <v>43797</v>
      </c>
      <c r="C2202" s="1" t="n">
        <v>45657</v>
      </c>
      <c r="D2202" t="inlineStr">
        <is>
          <t>VÄSTERNORRLANDS LÄN</t>
        </is>
      </c>
      <c r="E2202" t="inlineStr">
        <is>
          <t>KRAMFORS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64405-2019</t>
        </is>
      </c>
      <c r="B2203" s="1" t="n">
        <v>43797</v>
      </c>
      <c r="C2203" s="1" t="n">
        <v>45657</v>
      </c>
      <c r="D2203" t="inlineStr">
        <is>
          <t>VÄSTERNORRLANDS LÄN</t>
        </is>
      </c>
      <c r="E2203" t="inlineStr">
        <is>
          <t>SUNDSVALL</t>
        </is>
      </c>
      <c r="F2203" t="inlineStr">
        <is>
          <t>Holmen skog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64473-2019</t>
        </is>
      </c>
      <c r="B2204" s="1" t="n">
        <v>43797</v>
      </c>
      <c r="C2204" s="1" t="n">
        <v>45657</v>
      </c>
      <c r="D2204" t="inlineStr">
        <is>
          <t>VÄSTERNORRLANDS LÄN</t>
        </is>
      </c>
      <c r="E2204" t="inlineStr">
        <is>
          <t>SUNDSVALL</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64474-2019</t>
        </is>
      </c>
      <c r="B2205" s="1" t="n">
        <v>43797</v>
      </c>
      <c r="C2205" s="1" t="n">
        <v>45657</v>
      </c>
      <c r="D2205" t="inlineStr">
        <is>
          <t>VÄSTERNORRLANDS LÄN</t>
        </is>
      </c>
      <c r="E2205" t="inlineStr">
        <is>
          <t>SUNDSVALL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65218-2019</t>
        </is>
      </c>
      <c r="B2206" s="1" t="n">
        <v>43797</v>
      </c>
      <c r="C2206" s="1" t="n">
        <v>45657</v>
      </c>
      <c r="D2206" t="inlineStr">
        <is>
          <t>VÄSTERNORRLANDS LÄN</t>
        </is>
      </c>
      <c r="E2206" t="inlineStr">
        <is>
          <t>SOLLEFTEÅ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64636-2019</t>
        </is>
      </c>
      <c r="B2207" s="1" t="n">
        <v>43798</v>
      </c>
      <c r="C2207" s="1" t="n">
        <v>45657</v>
      </c>
      <c r="D2207" t="inlineStr">
        <is>
          <t>VÄSTERNORRLANDS LÄN</t>
        </is>
      </c>
      <c r="E2207" t="inlineStr">
        <is>
          <t>ÖRNSKÖLDSVIK</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64638-2019</t>
        </is>
      </c>
      <c r="B2208" s="1" t="n">
        <v>43798</v>
      </c>
      <c r="C2208" s="1" t="n">
        <v>45657</v>
      </c>
      <c r="D2208" t="inlineStr">
        <is>
          <t>VÄSTERNORRLANDS LÄN</t>
        </is>
      </c>
      <c r="E2208" t="inlineStr">
        <is>
          <t>ÖRNSKÖLDSVIK</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64558-2019</t>
        </is>
      </c>
      <c r="B2209" s="1" t="n">
        <v>43798</v>
      </c>
      <c r="C2209" s="1" t="n">
        <v>45657</v>
      </c>
      <c r="D2209" t="inlineStr">
        <is>
          <t>VÄSTERNORRLANDS LÄN</t>
        </is>
      </c>
      <c r="E2209" t="inlineStr">
        <is>
          <t>SUNDSVALL</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65029-2019</t>
        </is>
      </c>
      <c r="B2210" s="1" t="n">
        <v>43801</v>
      </c>
      <c r="C2210" s="1" t="n">
        <v>45657</v>
      </c>
      <c r="D2210" t="inlineStr">
        <is>
          <t>VÄSTERNORRLANDS LÄN</t>
        </is>
      </c>
      <c r="E2210" t="inlineStr">
        <is>
          <t>SOLLEFTEÅ</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65039-2019</t>
        </is>
      </c>
      <c r="B2211" s="1" t="n">
        <v>43801</v>
      </c>
      <c r="C2211" s="1" t="n">
        <v>45657</v>
      </c>
      <c r="D2211" t="inlineStr">
        <is>
          <t>VÄSTERNORRLANDS LÄN</t>
        </is>
      </c>
      <c r="E2211" t="inlineStr">
        <is>
          <t>SUNDSVALL</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65030-2019</t>
        </is>
      </c>
      <c r="B2212" s="1" t="n">
        <v>43801</v>
      </c>
      <c r="C2212" s="1" t="n">
        <v>45657</v>
      </c>
      <c r="D2212" t="inlineStr">
        <is>
          <t>VÄSTERNORRLANDS LÄN</t>
        </is>
      </c>
      <c r="E2212" t="inlineStr">
        <is>
          <t>SUNDSVALL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65050-2019</t>
        </is>
      </c>
      <c r="B2213" s="1" t="n">
        <v>43801</v>
      </c>
      <c r="C2213" s="1" t="n">
        <v>45657</v>
      </c>
      <c r="D2213" t="inlineStr">
        <is>
          <t>VÄSTERNORRLANDS LÄN</t>
        </is>
      </c>
      <c r="E2213" t="inlineStr">
        <is>
          <t>ÅNGE</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65897-2019</t>
        </is>
      </c>
      <c r="B2214" s="1" t="n">
        <v>43801</v>
      </c>
      <c r="C2214" s="1" t="n">
        <v>45657</v>
      </c>
      <c r="D2214" t="inlineStr">
        <is>
          <t>VÄSTERNORRLANDS LÄN</t>
        </is>
      </c>
      <c r="E2214" t="inlineStr">
        <is>
          <t>ÖRNSKÖLDSVIK</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65046-2019</t>
        </is>
      </c>
      <c r="B2215" s="1" t="n">
        <v>43801</v>
      </c>
      <c r="C2215" s="1" t="n">
        <v>45657</v>
      </c>
      <c r="D2215" t="inlineStr">
        <is>
          <t>VÄSTERNORRLANDS LÄN</t>
        </is>
      </c>
      <c r="E2215" t="inlineStr">
        <is>
          <t>ÅNGE</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65954-2019</t>
        </is>
      </c>
      <c r="B2216" s="1" t="n">
        <v>43801</v>
      </c>
      <c r="C2216" s="1" t="n">
        <v>45657</v>
      </c>
      <c r="D2216" t="inlineStr">
        <is>
          <t>VÄSTERNORRLANDS LÄN</t>
        </is>
      </c>
      <c r="E2216" t="inlineStr">
        <is>
          <t>TIMRÅ</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65049-2019</t>
        </is>
      </c>
      <c r="B2217" s="1" t="n">
        <v>43801</v>
      </c>
      <c r="C2217" s="1" t="n">
        <v>45657</v>
      </c>
      <c r="D2217" t="inlineStr">
        <is>
          <t>VÄSTERNORRLANDS LÄN</t>
        </is>
      </c>
      <c r="E2217" t="inlineStr">
        <is>
          <t>ÅNGE</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65048-2019</t>
        </is>
      </c>
      <c r="B2218" s="1" t="n">
        <v>43801</v>
      </c>
      <c r="C2218" s="1" t="n">
        <v>45657</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65057-2019</t>
        </is>
      </c>
      <c r="B2219" s="1" t="n">
        <v>43801</v>
      </c>
      <c r="C2219" s="1" t="n">
        <v>45657</v>
      </c>
      <c r="D2219" t="inlineStr">
        <is>
          <t>VÄSTERNORRLANDS LÄN</t>
        </is>
      </c>
      <c r="E2219" t="inlineStr">
        <is>
          <t>ÖRNSKÖLDSVIK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66000-2019</t>
        </is>
      </c>
      <c r="B2220" s="1" t="n">
        <v>43801</v>
      </c>
      <c r="C2220" s="1" t="n">
        <v>45657</v>
      </c>
      <c r="D2220" t="inlineStr">
        <is>
          <t>VÄSTERNORRLANDS LÄN</t>
        </is>
      </c>
      <c r="E2220" t="inlineStr">
        <is>
          <t>SUNDSVALL</t>
        </is>
      </c>
      <c r="F2220" t="inlineStr">
        <is>
          <t>Övriga statliga verk och myndigheter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66328-2019</t>
        </is>
      </c>
      <c r="B2221" s="1" t="n">
        <v>43802</v>
      </c>
      <c r="C2221" s="1" t="n">
        <v>45657</v>
      </c>
      <c r="D2221" t="inlineStr">
        <is>
          <t>VÄSTERNORRLANDS LÄN</t>
        </is>
      </c>
      <c r="E2221" t="inlineStr">
        <is>
          <t>ÖRNSKÖLDSVIK</t>
        </is>
      </c>
      <c r="G2221" t="n">
        <v>10.2</v>
      </c>
      <c r="H2221" t="n">
        <v>0</v>
      </c>
      <c r="I2221" t="n">
        <v>0</v>
      </c>
      <c r="J2221" t="n">
        <v>0</v>
      </c>
      <c r="K2221" t="n">
        <v>0</v>
      </c>
      <c r="L2221" t="n">
        <v>0</v>
      </c>
      <c r="M2221" t="n">
        <v>0</v>
      </c>
      <c r="N2221" t="n">
        <v>0</v>
      </c>
      <c r="O2221" t="n">
        <v>0</v>
      </c>
      <c r="P2221" t="n">
        <v>0</v>
      </c>
      <c r="Q2221" t="n">
        <v>0</v>
      </c>
      <c r="R2221" s="2" t="inlineStr"/>
    </row>
    <row r="2222" ht="15" customHeight="1">
      <c r="A2222" t="inlineStr">
        <is>
          <t>A 65332-2019</t>
        </is>
      </c>
      <c r="B2222" s="1" t="n">
        <v>43802</v>
      </c>
      <c r="C2222" s="1" t="n">
        <v>45657</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66286-2019</t>
        </is>
      </c>
      <c r="B2223" s="1" t="n">
        <v>43802</v>
      </c>
      <c r="C2223" s="1" t="n">
        <v>45657</v>
      </c>
      <c r="D2223" t="inlineStr">
        <is>
          <t>VÄSTERNORRLANDS LÄN</t>
        </is>
      </c>
      <c r="E2223" t="inlineStr">
        <is>
          <t>ÖRNSKÖLDSVIK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66321-2019</t>
        </is>
      </c>
      <c r="B2224" s="1" t="n">
        <v>43802</v>
      </c>
      <c r="C2224" s="1" t="n">
        <v>45657</v>
      </c>
      <c r="D2224" t="inlineStr">
        <is>
          <t>VÄSTERNORRLANDS LÄN</t>
        </is>
      </c>
      <c r="E2224" t="inlineStr">
        <is>
          <t>SOLLEFTEÅ</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65319-2019</t>
        </is>
      </c>
      <c r="B2225" s="1" t="n">
        <v>43802</v>
      </c>
      <c r="C2225" s="1" t="n">
        <v>45657</v>
      </c>
      <c r="D2225" t="inlineStr">
        <is>
          <t>VÄSTERNORRLANDS LÄN</t>
        </is>
      </c>
      <c r="E2225" t="inlineStr">
        <is>
          <t>SOLLEFTEÅ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65327-2019</t>
        </is>
      </c>
      <c r="B2226" s="1" t="n">
        <v>43802</v>
      </c>
      <c r="C2226" s="1" t="n">
        <v>45657</v>
      </c>
      <c r="D2226" t="inlineStr">
        <is>
          <t>VÄSTERNORRLANDS LÄN</t>
        </is>
      </c>
      <c r="E2226" t="inlineStr">
        <is>
          <t>SOLLEFTEÅ</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65354-2019</t>
        </is>
      </c>
      <c r="B2227" s="1" t="n">
        <v>43803</v>
      </c>
      <c r="C2227" s="1" t="n">
        <v>45657</v>
      </c>
      <c r="D2227" t="inlineStr">
        <is>
          <t>VÄSTERNORRLANDS LÄN</t>
        </is>
      </c>
      <c r="E2227" t="inlineStr">
        <is>
          <t>KRAMFORS</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65554-2019</t>
        </is>
      </c>
      <c r="B2228" s="1" t="n">
        <v>43803</v>
      </c>
      <c r="C2228" s="1" t="n">
        <v>45657</v>
      </c>
      <c r="D2228" t="inlineStr">
        <is>
          <t>VÄSTERNORRLANDS LÄN</t>
        </is>
      </c>
      <c r="E2228" t="inlineStr">
        <is>
          <t>ÖRNSKÖLDSVIK</t>
        </is>
      </c>
      <c r="F2228" t="inlineStr">
        <is>
          <t>SCA</t>
        </is>
      </c>
      <c r="G2228" t="n">
        <v>23.7</v>
      </c>
      <c r="H2228" t="n">
        <v>0</v>
      </c>
      <c r="I2228" t="n">
        <v>0</v>
      </c>
      <c r="J2228" t="n">
        <v>0</v>
      </c>
      <c r="K2228" t="n">
        <v>0</v>
      </c>
      <c r="L2228" t="n">
        <v>0</v>
      </c>
      <c r="M2228" t="n">
        <v>0</v>
      </c>
      <c r="N2228" t="n">
        <v>0</v>
      </c>
      <c r="O2228" t="n">
        <v>0</v>
      </c>
      <c r="P2228" t="n">
        <v>0</v>
      </c>
      <c r="Q2228" t="n">
        <v>0</v>
      </c>
      <c r="R2228" s="2" t="inlineStr"/>
    </row>
    <row r="2229" ht="15" customHeight="1">
      <c r="A2229" t="inlineStr">
        <is>
          <t>A 65573-2019</t>
        </is>
      </c>
      <c r="B2229" s="1" t="n">
        <v>43803</v>
      </c>
      <c r="C2229" s="1" t="n">
        <v>45657</v>
      </c>
      <c r="D2229" t="inlineStr">
        <is>
          <t>VÄSTERNORRLANDS LÄN</t>
        </is>
      </c>
      <c r="E2229" t="inlineStr">
        <is>
          <t>ÖRNSKÖLDSVIK</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65367-2019</t>
        </is>
      </c>
      <c r="B2230" s="1" t="n">
        <v>43803</v>
      </c>
      <c r="C2230" s="1" t="n">
        <v>45657</v>
      </c>
      <c r="D2230" t="inlineStr">
        <is>
          <t>VÄSTERNORRLANDS LÄN</t>
        </is>
      </c>
      <c r="E2230" t="inlineStr">
        <is>
          <t>TIMRÅ</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65458-2019</t>
        </is>
      </c>
      <c r="B2231" s="1" t="n">
        <v>43803</v>
      </c>
      <c r="C2231" s="1" t="n">
        <v>45657</v>
      </c>
      <c r="D2231" t="inlineStr">
        <is>
          <t>VÄSTERNORRLANDS LÄN</t>
        </is>
      </c>
      <c r="E2231" t="inlineStr">
        <is>
          <t>SUNDSVALL</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65514-2019</t>
        </is>
      </c>
      <c r="B2232" s="1" t="n">
        <v>43803</v>
      </c>
      <c r="C2232" s="1" t="n">
        <v>45657</v>
      </c>
      <c r="D2232" t="inlineStr">
        <is>
          <t>VÄSTERNORRLANDS LÄN</t>
        </is>
      </c>
      <c r="E2232" t="inlineStr">
        <is>
          <t>HÄRNÖSAND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65919-2019</t>
        </is>
      </c>
      <c r="B2233" s="1" t="n">
        <v>43804</v>
      </c>
      <c r="C2233" s="1" t="n">
        <v>45657</v>
      </c>
      <c r="D2233" t="inlineStr">
        <is>
          <t>VÄSTERNORRLANDS LÄN</t>
        </is>
      </c>
      <c r="E2233" t="inlineStr">
        <is>
          <t>SUNDSVALL</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65720-2019</t>
        </is>
      </c>
      <c r="B2234" s="1" t="n">
        <v>43804</v>
      </c>
      <c r="C2234" s="1" t="n">
        <v>45657</v>
      </c>
      <c r="D2234" t="inlineStr">
        <is>
          <t>VÄSTERNORRLANDS LÄN</t>
        </is>
      </c>
      <c r="E2234" t="inlineStr">
        <is>
          <t>ÖRNSKÖLDSVIK</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65951-2019</t>
        </is>
      </c>
      <c r="B2235" s="1" t="n">
        <v>43805</v>
      </c>
      <c r="C2235" s="1" t="n">
        <v>45657</v>
      </c>
      <c r="D2235" t="inlineStr">
        <is>
          <t>VÄSTERNORRLANDS LÄN</t>
        </is>
      </c>
      <c r="E2235" t="inlineStr">
        <is>
          <t>ÅNGE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65909-2019</t>
        </is>
      </c>
      <c r="B2236" s="1" t="n">
        <v>43805</v>
      </c>
      <c r="C2236" s="1" t="n">
        <v>45657</v>
      </c>
      <c r="D2236" t="inlineStr">
        <is>
          <t>VÄSTERNORRLANDS LÄN</t>
        </is>
      </c>
      <c r="E2236" t="inlineStr">
        <is>
          <t>ÅNGE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66048-2019</t>
        </is>
      </c>
      <c r="B2237" s="1" t="n">
        <v>43805</v>
      </c>
      <c r="C2237" s="1" t="n">
        <v>45657</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66017-2019</t>
        </is>
      </c>
      <c r="B2238" s="1" t="n">
        <v>43805</v>
      </c>
      <c r="C2238" s="1" t="n">
        <v>45657</v>
      </c>
      <c r="D2238" t="inlineStr">
        <is>
          <t>VÄSTERNORRLANDS LÄN</t>
        </is>
      </c>
      <c r="E2238" t="inlineStr">
        <is>
          <t>ÅNGE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66013-2019</t>
        </is>
      </c>
      <c r="B2239" s="1" t="n">
        <v>43805</v>
      </c>
      <c r="C2239" s="1" t="n">
        <v>45657</v>
      </c>
      <c r="D2239" t="inlineStr">
        <is>
          <t>VÄSTERNORRLANDS LÄN</t>
        </is>
      </c>
      <c r="E2239" t="inlineStr">
        <is>
          <t>ÅNGE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67063-2019</t>
        </is>
      </c>
      <c r="B2240" s="1" t="n">
        <v>43805</v>
      </c>
      <c r="C2240" s="1" t="n">
        <v>45657</v>
      </c>
      <c r="D2240" t="inlineStr">
        <is>
          <t>VÄSTERNORRLANDS LÄN</t>
        </is>
      </c>
      <c r="E2240" t="inlineStr">
        <is>
          <t>ÖRNSKÖLDSVIK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66209-2019</t>
        </is>
      </c>
      <c r="B2241" s="1" t="n">
        <v>43808</v>
      </c>
      <c r="C2241" s="1" t="n">
        <v>45657</v>
      </c>
      <c r="D2241" t="inlineStr">
        <is>
          <t>VÄSTERNORRLANDS LÄN</t>
        </is>
      </c>
      <c r="E2241" t="inlineStr">
        <is>
          <t>ÖRNSKÖLDSVIK</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66289-2019</t>
        </is>
      </c>
      <c r="B2242" s="1" t="n">
        <v>43808</v>
      </c>
      <c r="C2242" s="1" t="n">
        <v>45657</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66374-2019</t>
        </is>
      </c>
      <c r="B2243" s="1" t="n">
        <v>43808</v>
      </c>
      <c r="C2243" s="1" t="n">
        <v>45657</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66380-2019</t>
        </is>
      </c>
      <c r="B2244" s="1" t="n">
        <v>43808</v>
      </c>
      <c r="C2244" s="1" t="n">
        <v>45657</v>
      </c>
      <c r="D2244" t="inlineStr">
        <is>
          <t>VÄSTERNORRLANDS LÄN</t>
        </is>
      </c>
      <c r="E2244" t="inlineStr">
        <is>
          <t>ÖRNSKÖLDSVIK</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66391-2019</t>
        </is>
      </c>
      <c r="B2245" s="1" t="n">
        <v>43808</v>
      </c>
      <c r="C2245" s="1" t="n">
        <v>45657</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66385-2019</t>
        </is>
      </c>
      <c r="B2246" s="1" t="n">
        <v>43808</v>
      </c>
      <c r="C2246" s="1" t="n">
        <v>45657</v>
      </c>
      <c r="D2246" t="inlineStr">
        <is>
          <t>VÄSTERNORRLANDS LÄN</t>
        </is>
      </c>
      <c r="E2246" t="inlineStr">
        <is>
          <t>TIMRÅ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66415-2019</t>
        </is>
      </c>
      <c r="B2247" s="1" t="n">
        <v>43808</v>
      </c>
      <c r="C2247" s="1" t="n">
        <v>45657</v>
      </c>
      <c r="D2247" t="inlineStr">
        <is>
          <t>VÄSTERNORRLANDS LÄN</t>
        </is>
      </c>
      <c r="E2247" t="inlineStr">
        <is>
          <t>TIMRÅ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66387-2019</t>
        </is>
      </c>
      <c r="B2248" s="1" t="n">
        <v>43808</v>
      </c>
      <c r="C2248" s="1" t="n">
        <v>45657</v>
      </c>
      <c r="D2248" t="inlineStr">
        <is>
          <t>VÄSTERNORRLANDS LÄN</t>
        </is>
      </c>
      <c r="E2248" t="inlineStr">
        <is>
          <t>TIMRÅ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67634-2019</t>
        </is>
      </c>
      <c r="B2249" s="1" t="n">
        <v>43808</v>
      </c>
      <c r="C2249" s="1" t="n">
        <v>45657</v>
      </c>
      <c r="D2249" t="inlineStr">
        <is>
          <t>VÄSTERNORRLANDS LÄN</t>
        </is>
      </c>
      <c r="E2249" t="inlineStr">
        <is>
          <t>ÖRNSKÖLDSVIK</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66281-2019</t>
        </is>
      </c>
      <c r="B2250" s="1" t="n">
        <v>43808</v>
      </c>
      <c r="C2250" s="1" t="n">
        <v>45657</v>
      </c>
      <c r="D2250" t="inlineStr">
        <is>
          <t>VÄSTERNORRLANDS LÄN</t>
        </is>
      </c>
      <c r="E2250" t="inlineStr">
        <is>
          <t>ÖRNSKÖLDSVIK</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66625-2019</t>
        </is>
      </c>
      <c r="B2251" s="1" t="n">
        <v>43809</v>
      </c>
      <c r="C2251" s="1" t="n">
        <v>45657</v>
      </c>
      <c r="D2251" t="inlineStr">
        <is>
          <t>VÄSTERNORRLANDS LÄN</t>
        </is>
      </c>
      <c r="E2251" t="inlineStr">
        <is>
          <t>ÖRNSKÖLDSVIK</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66704-2019</t>
        </is>
      </c>
      <c r="B2252" s="1" t="n">
        <v>43809</v>
      </c>
      <c r="C2252" s="1" t="n">
        <v>45657</v>
      </c>
      <c r="D2252" t="inlineStr">
        <is>
          <t>VÄSTERNORRLANDS LÄN</t>
        </is>
      </c>
      <c r="E2252" t="inlineStr">
        <is>
          <t>SUNDSVALL</t>
        </is>
      </c>
      <c r="F2252" t="inlineStr">
        <is>
          <t>Naturvårdsverket</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66699-2019</t>
        </is>
      </c>
      <c r="B2253" s="1" t="n">
        <v>43809</v>
      </c>
      <c r="C2253" s="1" t="n">
        <v>45657</v>
      </c>
      <c r="D2253" t="inlineStr">
        <is>
          <t>VÄSTERNORRLANDS LÄN</t>
        </is>
      </c>
      <c r="E2253" t="inlineStr">
        <is>
          <t>SUNDSVALL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66707-2019</t>
        </is>
      </c>
      <c r="B2254" s="1" t="n">
        <v>43809</v>
      </c>
      <c r="C2254" s="1" t="n">
        <v>45657</v>
      </c>
      <c r="D2254" t="inlineStr">
        <is>
          <t>VÄSTERNORRLANDS LÄN</t>
        </is>
      </c>
      <c r="E2254" t="inlineStr">
        <is>
          <t>SUNDSVALL</t>
        </is>
      </c>
      <c r="F2254" t="inlineStr">
        <is>
          <t>Naturvårdsverket</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66706-2019</t>
        </is>
      </c>
      <c r="B2255" s="1" t="n">
        <v>43809</v>
      </c>
      <c r="C2255" s="1" t="n">
        <v>45657</v>
      </c>
      <c r="D2255" t="inlineStr">
        <is>
          <t>VÄSTERNORRLANDS LÄN</t>
        </is>
      </c>
      <c r="E2255" t="inlineStr">
        <is>
          <t>SUNDSVALL</t>
        </is>
      </c>
      <c r="F2255" t="inlineStr">
        <is>
          <t>Naturvårdsverket</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66708-2019</t>
        </is>
      </c>
      <c r="B2256" s="1" t="n">
        <v>43809</v>
      </c>
      <c r="C2256" s="1" t="n">
        <v>45657</v>
      </c>
      <c r="D2256" t="inlineStr">
        <is>
          <t>VÄSTERNORRLANDS LÄN</t>
        </is>
      </c>
      <c r="E2256" t="inlineStr">
        <is>
          <t>SUNDSVALL</t>
        </is>
      </c>
      <c r="F2256" t="inlineStr">
        <is>
          <t>Naturvårdsverket</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66658-2019</t>
        </is>
      </c>
      <c r="B2257" s="1" t="n">
        <v>43809</v>
      </c>
      <c r="C2257" s="1" t="n">
        <v>45657</v>
      </c>
      <c r="D2257" t="inlineStr">
        <is>
          <t>VÄSTERNORRLANDS LÄN</t>
        </is>
      </c>
      <c r="E2257" t="inlineStr">
        <is>
          <t>ÖRNSKÖLDSVIK</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66705-2019</t>
        </is>
      </c>
      <c r="B2258" s="1" t="n">
        <v>43809</v>
      </c>
      <c r="C2258" s="1" t="n">
        <v>45657</v>
      </c>
      <c r="D2258" t="inlineStr">
        <is>
          <t>VÄSTERNORRLANDS LÄN</t>
        </is>
      </c>
      <c r="E2258" t="inlineStr">
        <is>
          <t>SUNDSVALL</t>
        </is>
      </c>
      <c r="F2258" t="inlineStr">
        <is>
          <t>Naturvårdsverket</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66397-2019</t>
        </is>
      </c>
      <c r="B2259" s="1" t="n">
        <v>43809</v>
      </c>
      <c r="C2259" s="1" t="n">
        <v>45657</v>
      </c>
      <c r="D2259" t="inlineStr">
        <is>
          <t>VÄSTERNORRLANDS LÄN</t>
        </is>
      </c>
      <c r="E2259" t="inlineStr">
        <is>
          <t>ÖRNSKÖLDSVIK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66975-2019</t>
        </is>
      </c>
      <c r="B2260" s="1" t="n">
        <v>43810</v>
      </c>
      <c r="C2260" s="1" t="n">
        <v>45657</v>
      </c>
      <c r="D2260" t="inlineStr">
        <is>
          <t>VÄSTERNORRLANDS LÄN</t>
        </is>
      </c>
      <c r="E2260" t="inlineStr">
        <is>
          <t>KRAMFORS</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66969-2019</t>
        </is>
      </c>
      <c r="B2261" s="1" t="n">
        <v>43810</v>
      </c>
      <c r="C2261" s="1" t="n">
        <v>45657</v>
      </c>
      <c r="D2261" t="inlineStr">
        <is>
          <t>VÄSTERNORRLANDS LÄN</t>
        </is>
      </c>
      <c r="E2261" t="inlineStr">
        <is>
          <t>SUNDSVALL</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66998-2019</t>
        </is>
      </c>
      <c r="B2262" s="1" t="n">
        <v>43811</v>
      </c>
      <c r="C2262" s="1" t="n">
        <v>45657</v>
      </c>
      <c r="D2262" t="inlineStr">
        <is>
          <t>VÄSTERNORRLANDS LÄN</t>
        </is>
      </c>
      <c r="E2262" t="inlineStr">
        <is>
          <t>SUNDSVALL</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67272-2019</t>
        </is>
      </c>
      <c r="B2263" s="1" t="n">
        <v>43812</v>
      </c>
      <c r="C2263" s="1" t="n">
        <v>45657</v>
      </c>
      <c r="D2263" t="inlineStr">
        <is>
          <t>VÄSTERNORRLANDS LÄN</t>
        </is>
      </c>
      <c r="E2263" t="inlineStr">
        <is>
          <t>KRAMFORS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67366-2019</t>
        </is>
      </c>
      <c r="B2264" s="1" t="n">
        <v>43812</v>
      </c>
      <c r="C2264" s="1" t="n">
        <v>45657</v>
      </c>
      <c r="D2264" t="inlineStr">
        <is>
          <t>VÄSTERNORRLANDS LÄN</t>
        </is>
      </c>
      <c r="E2264" t="inlineStr">
        <is>
          <t>KRAMFORS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67278-2019</t>
        </is>
      </c>
      <c r="B2265" s="1" t="n">
        <v>43812</v>
      </c>
      <c r="C2265" s="1" t="n">
        <v>45657</v>
      </c>
      <c r="D2265" t="inlineStr">
        <is>
          <t>VÄSTERNORRLANDS LÄN</t>
        </is>
      </c>
      <c r="E2265" t="inlineStr">
        <is>
          <t>KRAMFORS</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67251-2019</t>
        </is>
      </c>
      <c r="B2266" s="1" t="n">
        <v>43812</v>
      </c>
      <c r="C2266" s="1" t="n">
        <v>45657</v>
      </c>
      <c r="D2266" t="inlineStr">
        <is>
          <t>VÄSTERNORRLANDS LÄN</t>
        </is>
      </c>
      <c r="E2266" t="inlineStr">
        <is>
          <t>ÖRNSKÖLDSVIK</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67805-2019</t>
        </is>
      </c>
      <c r="B2267" s="1" t="n">
        <v>43815</v>
      </c>
      <c r="C2267" s="1" t="n">
        <v>45657</v>
      </c>
      <c r="D2267" t="inlineStr">
        <is>
          <t>VÄSTERNORRLANDS LÄN</t>
        </is>
      </c>
      <c r="E2267" t="inlineStr">
        <is>
          <t>SOLLEFTEÅ</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67613-2019</t>
        </is>
      </c>
      <c r="B2268" s="1" t="n">
        <v>43815</v>
      </c>
      <c r="C2268" s="1" t="n">
        <v>45657</v>
      </c>
      <c r="D2268" t="inlineStr">
        <is>
          <t>VÄSTERNORRLANDS LÄN</t>
        </is>
      </c>
      <c r="E2268" t="inlineStr">
        <is>
          <t>ÖRNSKÖLDSVIK</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67815-2019</t>
        </is>
      </c>
      <c r="B2269" s="1" t="n">
        <v>43815</v>
      </c>
      <c r="C2269" s="1" t="n">
        <v>45657</v>
      </c>
      <c r="D2269" t="inlineStr">
        <is>
          <t>VÄSTERNORRLANDS LÄN</t>
        </is>
      </c>
      <c r="E2269" t="inlineStr">
        <is>
          <t>SOLLEFTEÅ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67825-2019</t>
        </is>
      </c>
      <c r="B2270" s="1" t="n">
        <v>43815</v>
      </c>
      <c r="C2270" s="1" t="n">
        <v>45657</v>
      </c>
      <c r="D2270" t="inlineStr">
        <is>
          <t>VÄSTERNORRLANDS LÄN</t>
        </is>
      </c>
      <c r="E2270" t="inlineStr">
        <is>
          <t>TIMRÅ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68788-2019</t>
        </is>
      </c>
      <c r="B2271" s="1" t="n">
        <v>43815</v>
      </c>
      <c r="C2271" s="1" t="n">
        <v>45657</v>
      </c>
      <c r="D2271" t="inlineStr">
        <is>
          <t>VÄSTERNORRLANDS LÄN</t>
        </is>
      </c>
      <c r="E2271" t="inlineStr">
        <is>
          <t>SUNDSVALL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67813-2019</t>
        </is>
      </c>
      <c r="B2272" s="1" t="n">
        <v>43815</v>
      </c>
      <c r="C2272" s="1" t="n">
        <v>45657</v>
      </c>
      <c r="D2272" t="inlineStr">
        <is>
          <t>VÄSTERNORRLANDS LÄN</t>
        </is>
      </c>
      <c r="E2272" t="inlineStr">
        <is>
          <t>KRAMFORS</t>
        </is>
      </c>
      <c r="F2272" t="inlineStr">
        <is>
          <t>SCA</t>
        </is>
      </c>
      <c r="G2272" t="n">
        <v>24.1</v>
      </c>
      <c r="H2272" t="n">
        <v>0</v>
      </c>
      <c r="I2272" t="n">
        <v>0</v>
      </c>
      <c r="J2272" t="n">
        <v>0</v>
      </c>
      <c r="K2272" t="n">
        <v>0</v>
      </c>
      <c r="L2272" t="n">
        <v>0</v>
      </c>
      <c r="M2272" t="n">
        <v>0</v>
      </c>
      <c r="N2272" t="n">
        <v>0</v>
      </c>
      <c r="O2272" t="n">
        <v>0</v>
      </c>
      <c r="P2272" t="n">
        <v>0</v>
      </c>
      <c r="Q2272" t="n">
        <v>0</v>
      </c>
      <c r="R2272" s="2" t="inlineStr"/>
    </row>
    <row r="2273" ht="15" customHeight="1">
      <c r="A2273" t="inlineStr">
        <is>
          <t>A 68809-2019</t>
        </is>
      </c>
      <c r="B2273" s="1" t="n">
        <v>43815</v>
      </c>
      <c r="C2273" s="1" t="n">
        <v>45657</v>
      </c>
      <c r="D2273" t="inlineStr">
        <is>
          <t>VÄSTERNORRLANDS LÄN</t>
        </is>
      </c>
      <c r="E2273" t="inlineStr">
        <is>
          <t>ÅNGE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500-2020</t>
        </is>
      </c>
      <c r="B2274" s="1" t="n">
        <v>43816</v>
      </c>
      <c r="C2274" s="1" t="n">
        <v>45657</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494-2020</t>
        </is>
      </c>
      <c r="B2275" s="1" t="n">
        <v>43816</v>
      </c>
      <c r="C2275" s="1" t="n">
        <v>45657</v>
      </c>
      <c r="D2275" t="inlineStr">
        <is>
          <t>VÄSTERNORRLANDS LÄN</t>
        </is>
      </c>
      <c r="E2275" t="inlineStr">
        <is>
          <t>ÖRNSKÖLDSVIK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714-2020</t>
        </is>
      </c>
      <c r="B2276" s="1" t="n">
        <v>43818</v>
      </c>
      <c r="C2276" s="1" t="n">
        <v>45657</v>
      </c>
      <c r="D2276" t="inlineStr">
        <is>
          <t>VÄSTERNORRLANDS LÄN</t>
        </is>
      </c>
      <c r="E2276" t="inlineStr">
        <is>
          <t>ÅNGE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68686-2019</t>
        </is>
      </c>
      <c r="B2277" s="1" t="n">
        <v>43819</v>
      </c>
      <c r="C2277" s="1" t="n">
        <v>45657</v>
      </c>
      <c r="D2277" t="inlineStr">
        <is>
          <t>VÄSTERNORRLANDS LÄN</t>
        </is>
      </c>
      <c r="E2277" t="inlineStr">
        <is>
          <t>ÖRNSKÖLDSVIK</t>
        </is>
      </c>
      <c r="F2277" t="inlineStr">
        <is>
          <t>Holmen skog AB</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68807-2019</t>
        </is>
      </c>
      <c r="B2278" s="1" t="n">
        <v>43819</v>
      </c>
      <c r="C2278" s="1" t="n">
        <v>45657</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975-2020</t>
        </is>
      </c>
      <c r="B2279" s="1" t="n">
        <v>43819</v>
      </c>
      <c r="C2279" s="1" t="n">
        <v>45657</v>
      </c>
      <c r="D2279" t="inlineStr">
        <is>
          <t>VÄSTERNORRLANDS LÄN</t>
        </is>
      </c>
      <c r="E2279" t="inlineStr">
        <is>
          <t>KRAMFORS</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68845-2019</t>
        </is>
      </c>
      <c r="B2280" s="1" t="n">
        <v>43819</v>
      </c>
      <c r="C2280" s="1" t="n">
        <v>45657</v>
      </c>
      <c r="D2280" t="inlineStr">
        <is>
          <t>VÄSTERNORRLANDS LÄN</t>
        </is>
      </c>
      <c r="E2280" t="inlineStr">
        <is>
          <t>KRAMFORS</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68939-2019</t>
        </is>
      </c>
      <c r="B2281" s="1" t="n">
        <v>43822</v>
      </c>
      <c r="C2281" s="1" t="n">
        <v>45657</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69043-2019</t>
        </is>
      </c>
      <c r="B2282" s="1" t="n">
        <v>43826</v>
      </c>
      <c r="C2282" s="1" t="n">
        <v>45657</v>
      </c>
      <c r="D2282" t="inlineStr">
        <is>
          <t>VÄSTERNORRLANDS LÄN</t>
        </is>
      </c>
      <c r="E2282" t="inlineStr">
        <is>
          <t>SUNDSVALL</t>
        </is>
      </c>
      <c r="F2282" t="inlineStr">
        <is>
          <t>Kommuner</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69040-2019</t>
        </is>
      </c>
      <c r="B2283" s="1" t="n">
        <v>43826</v>
      </c>
      <c r="C2283" s="1" t="n">
        <v>45657</v>
      </c>
      <c r="D2283" t="inlineStr">
        <is>
          <t>VÄSTERNORRLANDS LÄN</t>
        </is>
      </c>
      <c r="E2283" t="inlineStr">
        <is>
          <t>SUNDSVALL</t>
        </is>
      </c>
      <c r="F2283" t="inlineStr">
        <is>
          <t>Kommuner</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69042-2019</t>
        </is>
      </c>
      <c r="B2284" s="1" t="n">
        <v>43826</v>
      </c>
      <c r="C2284" s="1" t="n">
        <v>45657</v>
      </c>
      <c r="D2284" t="inlineStr">
        <is>
          <t>VÄSTERNORRLANDS LÄN</t>
        </is>
      </c>
      <c r="E2284" t="inlineStr">
        <is>
          <t>SUNDSVALL</t>
        </is>
      </c>
      <c r="F2284" t="inlineStr">
        <is>
          <t>Kommuner</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1627-2020</t>
        </is>
      </c>
      <c r="B2285" s="1" t="n">
        <v>43829</v>
      </c>
      <c r="C2285" s="1" t="n">
        <v>45657</v>
      </c>
      <c r="D2285" t="inlineStr">
        <is>
          <t>VÄSTERNORRLANDS LÄN</t>
        </is>
      </c>
      <c r="E2285" t="inlineStr">
        <is>
          <t>SOLLEFTEÅ</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69169-2019</t>
        </is>
      </c>
      <c r="B2286" s="1" t="n">
        <v>43830</v>
      </c>
      <c r="C2286" s="1" t="n">
        <v>45657</v>
      </c>
      <c r="D2286" t="inlineStr">
        <is>
          <t>VÄSTERNORRLANDS LÄN</t>
        </is>
      </c>
      <c r="E2286" t="inlineStr">
        <is>
          <t>ÅNGE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69171-2019</t>
        </is>
      </c>
      <c r="B2287" s="1" t="n">
        <v>43830</v>
      </c>
      <c r="C2287" s="1" t="n">
        <v>45657</v>
      </c>
      <c r="D2287" t="inlineStr">
        <is>
          <t>VÄSTERNORRLANDS LÄN</t>
        </is>
      </c>
      <c r="E2287" t="inlineStr">
        <is>
          <t>ÅNGE</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114-2020</t>
        </is>
      </c>
      <c r="B2288" s="1" t="n">
        <v>43832</v>
      </c>
      <c r="C2288" s="1" t="n">
        <v>45657</v>
      </c>
      <c r="D2288" t="inlineStr">
        <is>
          <t>VÄSTERNORRLANDS LÄN</t>
        </is>
      </c>
      <c r="E2288" t="inlineStr">
        <is>
          <t>ÅNGE</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127-2020</t>
        </is>
      </c>
      <c r="B2289" s="1" t="n">
        <v>43832</v>
      </c>
      <c r="C2289" s="1" t="n">
        <v>45657</v>
      </c>
      <c r="D2289" t="inlineStr">
        <is>
          <t>VÄSTERNORRLANDS LÄN</t>
        </is>
      </c>
      <c r="E2289" t="inlineStr">
        <is>
          <t>SOLLEFTEÅ</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113-2020</t>
        </is>
      </c>
      <c r="B2290" s="1" t="n">
        <v>43832</v>
      </c>
      <c r="C2290" s="1" t="n">
        <v>45657</v>
      </c>
      <c r="D2290" t="inlineStr">
        <is>
          <t>VÄSTERNORRLANDS LÄN</t>
        </is>
      </c>
      <c r="E2290" t="inlineStr">
        <is>
          <t>SUNDSVALL</t>
        </is>
      </c>
      <c r="F2290" t="inlineStr">
        <is>
          <t>SCA</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125-2020</t>
        </is>
      </c>
      <c r="B2291" s="1" t="n">
        <v>43832</v>
      </c>
      <c r="C2291" s="1" t="n">
        <v>45657</v>
      </c>
      <c r="D2291" t="inlineStr">
        <is>
          <t>VÄSTERNORRLANDS LÄN</t>
        </is>
      </c>
      <c r="E2291" t="inlineStr">
        <is>
          <t>SOLLEFTEÅ</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126-2020</t>
        </is>
      </c>
      <c r="B2292" s="1" t="n">
        <v>43832</v>
      </c>
      <c r="C2292" s="1" t="n">
        <v>45657</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409-2020</t>
        </is>
      </c>
      <c r="B2293" s="1" t="n">
        <v>43837</v>
      </c>
      <c r="C2293" s="1" t="n">
        <v>45657</v>
      </c>
      <c r="D2293" t="inlineStr">
        <is>
          <t>VÄSTERNORRLANDS LÄN</t>
        </is>
      </c>
      <c r="E2293" t="inlineStr">
        <is>
          <t>ÖRNSKÖLDSVIK</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392-2020</t>
        </is>
      </c>
      <c r="B2294" s="1" t="n">
        <v>43837</v>
      </c>
      <c r="C2294" s="1" t="n">
        <v>45657</v>
      </c>
      <c r="D2294" t="inlineStr">
        <is>
          <t>VÄSTERNORRLANDS LÄN</t>
        </is>
      </c>
      <c r="E2294" t="inlineStr">
        <is>
          <t>HÄRNÖSAND</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428-2020</t>
        </is>
      </c>
      <c r="B2295" s="1" t="n">
        <v>43837</v>
      </c>
      <c r="C2295" s="1" t="n">
        <v>45657</v>
      </c>
      <c r="D2295" t="inlineStr">
        <is>
          <t>VÄSTERNORRLANDS LÄN</t>
        </is>
      </c>
      <c r="E2295" t="inlineStr">
        <is>
          <t>ÖRNSKÖLDSVIK</t>
        </is>
      </c>
      <c r="F2295" t="inlineStr">
        <is>
          <t>Holmen skog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402-2020</t>
        </is>
      </c>
      <c r="B2296" s="1" t="n">
        <v>43837</v>
      </c>
      <c r="C2296" s="1" t="n">
        <v>45657</v>
      </c>
      <c r="D2296" t="inlineStr">
        <is>
          <t>VÄSTERNORRLANDS LÄN</t>
        </is>
      </c>
      <c r="E2296" t="inlineStr">
        <is>
          <t>HÄRNÖSAND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477-2020</t>
        </is>
      </c>
      <c r="B2297" s="1" t="n">
        <v>43837</v>
      </c>
      <c r="C2297" s="1" t="n">
        <v>45657</v>
      </c>
      <c r="D2297" t="inlineStr">
        <is>
          <t>VÄSTERNORRLANDS LÄN</t>
        </is>
      </c>
      <c r="E2297" t="inlineStr">
        <is>
          <t>ÖRNSKÖLDSVIK</t>
        </is>
      </c>
      <c r="F2297" t="inlineStr">
        <is>
          <t>Holmen skog AB</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503-2020</t>
        </is>
      </c>
      <c r="B2298" s="1" t="n">
        <v>43837</v>
      </c>
      <c r="C2298" s="1" t="n">
        <v>45657</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475-2020</t>
        </is>
      </c>
      <c r="B2299" s="1" t="n">
        <v>43837</v>
      </c>
      <c r="C2299" s="1" t="n">
        <v>45657</v>
      </c>
      <c r="D2299" t="inlineStr">
        <is>
          <t>VÄSTERNORRLANDS LÄN</t>
        </is>
      </c>
      <c r="E2299" t="inlineStr">
        <is>
          <t>ÖRNSKÖLDSVIK</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538-2020</t>
        </is>
      </c>
      <c r="B2300" s="1" t="n">
        <v>43837</v>
      </c>
      <c r="C2300" s="1" t="n">
        <v>45657</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473-2020</t>
        </is>
      </c>
      <c r="B2301" s="1" t="n">
        <v>43837</v>
      </c>
      <c r="C2301" s="1" t="n">
        <v>45657</v>
      </c>
      <c r="D2301" t="inlineStr">
        <is>
          <t>VÄSTERNORRLANDS LÄN</t>
        </is>
      </c>
      <c r="E2301" t="inlineStr">
        <is>
          <t>SUNDSVALL</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531-2020</t>
        </is>
      </c>
      <c r="B2302" s="1" t="n">
        <v>43837</v>
      </c>
      <c r="C2302" s="1" t="n">
        <v>45657</v>
      </c>
      <c r="D2302" t="inlineStr">
        <is>
          <t>VÄSTERNORRLANDS LÄN</t>
        </is>
      </c>
      <c r="E2302" t="inlineStr">
        <is>
          <t>ÅNGE</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415-2020</t>
        </is>
      </c>
      <c r="B2303" s="1" t="n">
        <v>43837</v>
      </c>
      <c r="C2303" s="1" t="n">
        <v>45657</v>
      </c>
      <c r="D2303" t="inlineStr">
        <is>
          <t>VÄSTERNORRLANDS LÄN</t>
        </is>
      </c>
      <c r="E2303" t="inlineStr">
        <is>
          <t>ÖRNSKÖLDSVIK</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664-2020</t>
        </is>
      </c>
      <c r="B2304" s="1" t="n">
        <v>43838</v>
      </c>
      <c r="C2304" s="1" t="n">
        <v>45657</v>
      </c>
      <c r="D2304" t="inlineStr">
        <is>
          <t>VÄSTERNORRLANDS LÄN</t>
        </is>
      </c>
      <c r="E2304" t="inlineStr">
        <is>
          <t>ÅNGE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638-2020</t>
        </is>
      </c>
      <c r="B2305" s="1" t="n">
        <v>43838</v>
      </c>
      <c r="C2305" s="1" t="n">
        <v>45657</v>
      </c>
      <c r="D2305" t="inlineStr">
        <is>
          <t>VÄSTERNORRLANDS LÄN</t>
        </is>
      </c>
      <c r="E2305" t="inlineStr">
        <is>
          <t>ÖRNSKÖLDSVIK</t>
        </is>
      </c>
      <c r="F2305" t="inlineStr">
        <is>
          <t>Holmen skog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803-2020</t>
        </is>
      </c>
      <c r="B2306" s="1" t="n">
        <v>43838</v>
      </c>
      <c r="C2306" s="1" t="n">
        <v>45657</v>
      </c>
      <c r="D2306" t="inlineStr">
        <is>
          <t>VÄSTERNORRLANDS LÄN</t>
        </is>
      </c>
      <c r="E2306" t="inlineStr">
        <is>
          <t>SUNDSVALL</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805-2020</t>
        </is>
      </c>
      <c r="B2307" s="1" t="n">
        <v>43838</v>
      </c>
      <c r="C2307" s="1" t="n">
        <v>45657</v>
      </c>
      <c r="D2307" t="inlineStr">
        <is>
          <t>VÄSTERNORRLANDS LÄN</t>
        </is>
      </c>
      <c r="E2307" t="inlineStr">
        <is>
          <t>SUNDSVALL</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2143-2020</t>
        </is>
      </c>
      <c r="B2308" s="1" t="n">
        <v>43839</v>
      </c>
      <c r="C2308" s="1" t="n">
        <v>45657</v>
      </c>
      <c r="D2308" t="inlineStr">
        <is>
          <t>VÄSTERNORRLANDS LÄN</t>
        </is>
      </c>
      <c r="E2308" t="inlineStr">
        <is>
          <t>ÖRNSKÖLDSVIK</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1164-2020</t>
        </is>
      </c>
      <c r="B2309" s="1" t="n">
        <v>43840</v>
      </c>
      <c r="C2309" s="1" t="n">
        <v>45657</v>
      </c>
      <c r="D2309" t="inlineStr">
        <is>
          <t>VÄSTERNORRLANDS LÄN</t>
        </is>
      </c>
      <c r="E2309" t="inlineStr">
        <is>
          <t>ÖRNSKÖLDSVIK</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1222-2020</t>
        </is>
      </c>
      <c r="B2310" s="1" t="n">
        <v>43840</v>
      </c>
      <c r="C2310" s="1" t="n">
        <v>45657</v>
      </c>
      <c r="D2310" t="inlineStr">
        <is>
          <t>VÄSTERNORRLANDS LÄN</t>
        </is>
      </c>
      <c r="E2310" t="inlineStr">
        <is>
          <t>ÖRNSKÖLDSVIK</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1263-2020</t>
        </is>
      </c>
      <c r="B2311" s="1" t="n">
        <v>43840</v>
      </c>
      <c r="C2311" s="1" t="n">
        <v>45657</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1170-2020</t>
        </is>
      </c>
      <c r="B2312" s="1" t="n">
        <v>43840</v>
      </c>
      <c r="C2312" s="1" t="n">
        <v>45657</v>
      </c>
      <c r="D2312" t="inlineStr">
        <is>
          <t>VÄSTERNORRLANDS LÄN</t>
        </is>
      </c>
      <c r="E2312" t="inlineStr">
        <is>
          <t>ÖRNSKÖLDSVIK</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1262-2020</t>
        </is>
      </c>
      <c r="B2313" s="1" t="n">
        <v>43840</v>
      </c>
      <c r="C2313" s="1" t="n">
        <v>45657</v>
      </c>
      <c r="D2313" t="inlineStr">
        <is>
          <t>VÄSTERNORRLANDS LÄN</t>
        </is>
      </c>
      <c r="E2313" t="inlineStr">
        <is>
          <t>SOLLEFTEÅ</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1213-2020</t>
        </is>
      </c>
      <c r="B2314" s="1" t="n">
        <v>43840</v>
      </c>
      <c r="C2314" s="1" t="n">
        <v>45657</v>
      </c>
      <c r="D2314" t="inlineStr">
        <is>
          <t>VÄSTERNORRLANDS LÄN</t>
        </is>
      </c>
      <c r="E2314" t="inlineStr">
        <is>
          <t>SOLLEFTEÅ</t>
        </is>
      </c>
      <c r="F2314" t="inlineStr">
        <is>
          <t>Kyrkan</t>
        </is>
      </c>
      <c r="G2314" t="n">
        <v>13.9</v>
      </c>
      <c r="H2314" t="n">
        <v>0</v>
      </c>
      <c r="I2314" t="n">
        <v>0</v>
      </c>
      <c r="J2314" t="n">
        <v>0</v>
      </c>
      <c r="K2314" t="n">
        <v>0</v>
      </c>
      <c r="L2314" t="n">
        <v>0</v>
      </c>
      <c r="M2314" t="n">
        <v>0</v>
      </c>
      <c r="N2314" t="n">
        <v>0</v>
      </c>
      <c r="O2314" t="n">
        <v>0</v>
      </c>
      <c r="P2314" t="n">
        <v>0</v>
      </c>
      <c r="Q2314" t="n">
        <v>0</v>
      </c>
      <c r="R2314" s="2" t="inlineStr"/>
    </row>
    <row r="2315" ht="15" customHeight="1">
      <c r="A2315" t="inlineStr">
        <is>
          <t>A 1219-2020</t>
        </is>
      </c>
      <c r="B2315" s="1" t="n">
        <v>43840</v>
      </c>
      <c r="C2315" s="1" t="n">
        <v>45657</v>
      </c>
      <c r="D2315" t="inlineStr">
        <is>
          <t>VÄSTERNORRLANDS LÄN</t>
        </is>
      </c>
      <c r="E2315" t="inlineStr">
        <is>
          <t>ÖRNSKÖLDSVIK</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1280-2020</t>
        </is>
      </c>
      <c r="B2316" s="1" t="n">
        <v>43842</v>
      </c>
      <c r="C2316" s="1" t="n">
        <v>45657</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1298-2020</t>
        </is>
      </c>
      <c r="B2317" s="1" t="n">
        <v>43842</v>
      </c>
      <c r="C2317" s="1" t="n">
        <v>45657</v>
      </c>
      <c r="D2317" t="inlineStr">
        <is>
          <t>VÄSTERNORRLANDS LÄN</t>
        </is>
      </c>
      <c r="E2317" t="inlineStr">
        <is>
          <t>TIMRÅ</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1416-2020</t>
        </is>
      </c>
      <c r="B2318" s="1" t="n">
        <v>43843</v>
      </c>
      <c r="C2318" s="1" t="n">
        <v>45657</v>
      </c>
      <c r="D2318" t="inlineStr">
        <is>
          <t>VÄSTERNORRLANDS LÄN</t>
        </is>
      </c>
      <c r="E2318" t="inlineStr">
        <is>
          <t>ÖRNSKÖLDSVIK</t>
        </is>
      </c>
      <c r="F2318" t="inlineStr">
        <is>
          <t>Kommuner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3043-2020</t>
        </is>
      </c>
      <c r="B2319" s="1" t="n">
        <v>43843</v>
      </c>
      <c r="C2319" s="1" t="n">
        <v>45657</v>
      </c>
      <c r="D2319" t="inlineStr">
        <is>
          <t>VÄSTERNORRLANDS LÄN</t>
        </is>
      </c>
      <c r="E2319" t="inlineStr">
        <is>
          <t>ÖRNSKÖLDSVIK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1830-2020</t>
        </is>
      </c>
      <c r="B2320" s="1" t="n">
        <v>43844</v>
      </c>
      <c r="C2320" s="1" t="n">
        <v>45657</v>
      </c>
      <c r="D2320" t="inlineStr">
        <is>
          <t>VÄSTERNORRLANDS LÄN</t>
        </is>
      </c>
      <c r="E2320" t="inlineStr">
        <is>
          <t>HÄRNÖSAND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1856-2020</t>
        </is>
      </c>
      <c r="B2321" s="1" t="n">
        <v>43844</v>
      </c>
      <c r="C2321" s="1" t="n">
        <v>45657</v>
      </c>
      <c r="D2321" t="inlineStr">
        <is>
          <t>VÄSTERNORRLANDS LÄN</t>
        </is>
      </c>
      <c r="E2321" t="inlineStr">
        <is>
          <t>SUNDSVALL</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1568-2020</t>
        </is>
      </c>
      <c r="B2322" s="1" t="n">
        <v>43844</v>
      </c>
      <c r="C2322" s="1" t="n">
        <v>45657</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1655-2020</t>
        </is>
      </c>
      <c r="B2323" s="1" t="n">
        <v>43844</v>
      </c>
      <c r="C2323" s="1" t="n">
        <v>45657</v>
      </c>
      <c r="D2323" t="inlineStr">
        <is>
          <t>VÄSTERNORRLANDS LÄN</t>
        </is>
      </c>
      <c r="E2323" t="inlineStr">
        <is>
          <t>SUNDSVALL</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1639-2020</t>
        </is>
      </c>
      <c r="B2324" s="1" t="n">
        <v>43844</v>
      </c>
      <c r="C2324" s="1" t="n">
        <v>45657</v>
      </c>
      <c r="D2324" t="inlineStr">
        <is>
          <t>VÄSTERNORRLANDS LÄN</t>
        </is>
      </c>
      <c r="E2324" t="inlineStr">
        <is>
          <t>SUNDSVALL</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1946-2020</t>
        </is>
      </c>
      <c r="B2325" s="1" t="n">
        <v>43845</v>
      </c>
      <c r="C2325" s="1" t="n">
        <v>45657</v>
      </c>
      <c r="D2325" t="inlineStr">
        <is>
          <t>VÄSTERNORRLANDS LÄN</t>
        </is>
      </c>
      <c r="E2325" t="inlineStr">
        <is>
          <t>SUNDSVALL</t>
        </is>
      </c>
      <c r="F2325" t="inlineStr">
        <is>
          <t>Kommuner</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1982-2020</t>
        </is>
      </c>
      <c r="B2326" s="1" t="n">
        <v>43845</v>
      </c>
      <c r="C2326" s="1" t="n">
        <v>45657</v>
      </c>
      <c r="D2326" t="inlineStr">
        <is>
          <t>VÄSTERNORRLANDS LÄN</t>
        </is>
      </c>
      <c r="E2326" t="inlineStr">
        <is>
          <t>KRAMFORS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2052-2020</t>
        </is>
      </c>
      <c r="B2327" s="1" t="n">
        <v>43845</v>
      </c>
      <c r="C2327" s="1" t="n">
        <v>45657</v>
      </c>
      <c r="D2327" t="inlineStr">
        <is>
          <t>VÄSTERNORRLANDS LÄN</t>
        </is>
      </c>
      <c r="E2327" t="inlineStr">
        <is>
          <t>SUNDSVALL</t>
        </is>
      </c>
      <c r="F2327" t="inlineStr">
        <is>
          <t>Kommuner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2100-2020</t>
        </is>
      </c>
      <c r="B2328" s="1" t="n">
        <v>43845</v>
      </c>
      <c r="C2328" s="1" t="n">
        <v>45657</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1919-2020</t>
        </is>
      </c>
      <c r="B2329" s="1" t="n">
        <v>43845</v>
      </c>
      <c r="C2329" s="1" t="n">
        <v>45657</v>
      </c>
      <c r="D2329" t="inlineStr">
        <is>
          <t>VÄSTERNORRLANDS LÄN</t>
        </is>
      </c>
      <c r="E2329" t="inlineStr">
        <is>
          <t>SUNDSVALL</t>
        </is>
      </c>
      <c r="F2329" t="inlineStr">
        <is>
          <t>Kommuner</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1928-2020</t>
        </is>
      </c>
      <c r="B2330" s="1" t="n">
        <v>43845</v>
      </c>
      <c r="C2330" s="1" t="n">
        <v>45657</v>
      </c>
      <c r="D2330" t="inlineStr">
        <is>
          <t>VÄSTERNORRLANDS LÄN</t>
        </is>
      </c>
      <c r="E2330" t="inlineStr">
        <is>
          <t>SUNDSVALL</t>
        </is>
      </c>
      <c r="F2330" t="inlineStr">
        <is>
          <t>Kommuner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1937-2020</t>
        </is>
      </c>
      <c r="B2331" s="1" t="n">
        <v>43845</v>
      </c>
      <c r="C2331" s="1" t="n">
        <v>45657</v>
      </c>
      <c r="D2331" t="inlineStr">
        <is>
          <t>VÄSTERNORRLANDS LÄN</t>
        </is>
      </c>
      <c r="E2331" t="inlineStr">
        <is>
          <t>SUNDSVALL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2065-2020</t>
        </is>
      </c>
      <c r="B2332" s="1" t="n">
        <v>43845</v>
      </c>
      <c r="C2332" s="1" t="n">
        <v>45657</v>
      </c>
      <c r="D2332" t="inlineStr">
        <is>
          <t>VÄSTERNORRLANDS LÄN</t>
        </is>
      </c>
      <c r="E2332" t="inlineStr">
        <is>
          <t>SUNDSVALL</t>
        </is>
      </c>
      <c r="F2332" t="inlineStr">
        <is>
          <t>Kommuner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1979-2020</t>
        </is>
      </c>
      <c r="B2333" s="1" t="n">
        <v>43845</v>
      </c>
      <c r="C2333" s="1" t="n">
        <v>45657</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3550-2020</t>
        </is>
      </c>
      <c r="B2334" s="1" t="n">
        <v>43845</v>
      </c>
      <c r="C2334" s="1" t="n">
        <v>45657</v>
      </c>
      <c r="D2334" t="inlineStr">
        <is>
          <t>VÄSTERNORRLANDS LÄN</t>
        </is>
      </c>
      <c r="E2334" t="inlineStr">
        <is>
          <t>SUNDSVALL</t>
        </is>
      </c>
      <c r="F2334" t="inlineStr">
        <is>
          <t>Övriga statliga verk och myndigheter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2106-2020</t>
        </is>
      </c>
      <c r="B2335" s="1" t="n">
        <v>43845</v>
      </c>
      <c r="C2335" s="1" t="n">
        <v>45657</v>
      </c>
      <c r="D2335" t="inlineStr">
        <is>
          <t>VÄSTERNORRLANDS LÄN</t>
        </is>
      </c>
      <c r="E2335" t="inlineStr">
        <is>
          <t>SUNDSVALL</t>
        </is>
      </c>
      <c r="F2335" t="inlineStr">
        <is>
          <t>Naturvårdsverket</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2297-2020</t>
        </is>
      </c>
      <c r="B2336" s="1" t="n">
        <v>43846</v>
      </c>
      <c r="C2336" s="1" t="n">
        <v>45657</v>
      </c>
      <c r="D2336" t="inlineStr">
        <is>
          <t>VÄSTERNORRLANDS LÄN</t>
        </is>
      </c>
      <c r="E2336" t="inlineStr">
        <is>
          <t>ÖRNSKÖLDSVIK</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2361-2020</t>
        </is>
      </c>
      <c r="B2337" s="1" t="n">
        <v>43846</v>
      </c>
      <c r="C2337" s="1" t="n">
        <v>45657</v>
      </c>
      <c r="D2337" t="inlineStr">
        <is>
          <t>VÄSTERNORRLANDS LÄN</t>
        </is>
      </c>
      <c r="E2337" t="inlineStr">
        <is>
          <t>KRAMFORS</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2314-2020</t>
        </is>
      </c>
      <c r="B2338" s="1" t="n">
        <v>43846</v>
      </c>
      <c r="C2338" s="1" t="n">
        <v>45657</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2631-2020</t>
        </is>
      </c>
      <c r="B2339" s="1" t="n">
        <v>43847</v>
      </c>
      <c r="C2339" s="1" t="n">
        <v>45657</v>
      </c>
      <c r="D2339" t="inlineStr">
        <is>
          <t>VÄSTERNORRLANDS LÄN</t>
        </is>
      </c>
      <c r="E2339" t="inlineStr">
        <is>
          <t>SUNDSVALL</t>
        </is>
      </c>
      <c r="F2339" t="inlineStr">
        <is>
          <t>Kommuner</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2630-2020</t>
        </is>
      </c>
      <c r="B2340" s="1" t="n">
        <v>43847</v>
      </c>
      <c r="C2340" s="1" t="n">
        <v>45657</v>
      </c>
      <c r="D2340" t="inlineStr">
        <is>
          <t>VÄSTERNORRLANDS LÄN</t>
        </is>
      </c>
      <c r="E2340" t="inlineStr">
        <is>
          <t>SUNDSVALL</t>
        </is>
      </c>
      <c r="F2340" t="inlineStr">
        <is>
          <t>Kommuner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2650-2020</t>
        </is>
      </c>
      <c r="B2341" s="1" t="n">
        <v>43847</v>
      </c>
      <c r="C2341" s="1" t="n">
        <v>45657</v>
      </c>
      <c r="D2341" t="inlineStr">
        <is>
          <t>VÄSTERNORRLANDS LÄN</t>
        </is>
      </c>
      <c r="E2341" t="inlineStr">
        <is>
          <t>ÅNGE</t>
        </is>
      </c>
      <c r="F2341" t="inlineStr">
        <is>
          <t>SCA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2478-2020</t>
        </is>
      </c>
      <c r="B2342" s="1" t="n">
        <v>43847</v>
      </c>
      <c r="C2342" s="1" t="n">
        <v>45657</v>
      </c>
      <c r="D2342" t="inlineStr">
        <is>
          <t>VÄSTERNORRLANDS LÄN</t>
        </is>
      </c>
      <c r="E2342" t="inlineStr">
        <is>
          <t>SUNDSVALL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2897-2020</t>
        </is>
      </c>
      <c r="B2343" s="1" t="n">
        <v>43850</v>
      </c>
      <c r="C2343" s="1" t="n">
        <v>45657</v>
      </c>
      <c r="D2343" t="inlineStr">
        <is>
          <t>VÄSTERNORRLANDS LÄN</t>
        </is>
      </c>
      <c r="E2343" t="inlineStr">
        <is>
          <t>SOLLEFTEÅ</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3007-2020</t>
        </is>
      </c>
      <c r="B2344" s="1" t="n">
        <v>43850</v>
      </c>
      <c r="C2344" s="1" t="n">
        <v>45657</v>
      </c>
      <c r="D2344" t="inlineStr">
        <is>
          <t>VÄSTERNORRLANDS LÄN</t>
        </is>
      </c>
      <c r="E2344" t="inlineStr">
        <is>
          <t>TIMRÅ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3006-2020</t>
        </is>
      </c>
      <c r="B2345" s="1" t="n">
        <v>43850</v>
      </c>
      <c r="C2345" s="1" t="n">
        <v>45657</v>
      </c>
      <c r="D2345" t="inlineStr">
        <is>
          <t>VÄSTERNORRLANDS LÄN</t>
        </is>
      </c>
      <c r="E2345" t="inlineStr">
        <is>
          <t>TIMRÅ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4644-2020</t>
        </is>
      </c>
      <c r="B2346" s="1" t="n">
        <v>43850</v>
      </c>
      <c r="C2346" s="1" t="n">
        <v>45657</v>
      </c>
      <c r="D2346" t="inlineStr">
        <is>
          <t>VÄSTERNORRLANDS LÄN</t>
        </is>
      </c>
      <c r="E2346" t="inlineStr">
        <is>
          <t>ÖRNSKÖLDSVIK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4612-2020</t>
        </is>
      </c>
      <c r="B2347" s="1" t="n">
        <v>43850</v>
      </c>
      <c r="C2347" s="1" t="n">
        <v>45657</v>
      </c>
      <c r="D2347" t="inlineStr">
        <is>
          <t>VÄSTERNORRLANDS LÄN</t>
        </is>
      </c>
      <c r="E2347" t="inlineStr">
        <is>
          <t>ÖRNSKÖLDSVIK</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3010-2020</t>
        </is>
      </c>
      <c r="B2348" s="1" t="n">
        <v>43850</v>
      </c>
      <c r="C2348" s="1" t="n">
        <v>45657</v>
      </c>
      <c r="D2348" t="inlineStr">
        <is>
          <t>VÄSTERNORRLANDS LÄN</t>
        </is>
      </c>
      <c r="E2348" t="inlineStr">
        <is>
          <t>TIMRÅ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2794-2020</t>
        </is>
      </c>
      <c r="B2349" s="1" t="n">
        <v>43850</v>
      </c>
      <c r="C2349" s="1" t="n">
        <v>45657</v>
      </c>
      <c r="D2349" t="inlineStr">
        <is>
          <t>VÄSTERNORRLANDS LÄN</t>
        </is>
      </c>
      <c r="E2349" t="inlineStr">
        <is>
          <t>KRAMFORS</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2793-2020</t>
        </is>
      </c>
      <c r="B2350" s="1" t="n">
        <v>43850</v>
      </c>
      <c r="C2350" s="1" t="n">
        <v>45657</v>
      </c>
      <c r="D2350" t="inlineStr">
        <is>
          <t>VÄSTERNORRLANDS LÄN</t>
        </is>
      </c>
      <c r="E2350" t="inlineStr">
        <is>
          <t>KRAMFORS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3003-2020</t>
        </is>
      </c>
      <c r="B2351" s="1" t="n">
        <v>43850</v>
      </c>
      <c r="C2351" s="1" t="n">
        <v>45657</v>
      </c>
      <c r="D2351" t="inlineStr">
        <is>
          <t>VÄSTERNORRLANDS LÄN</t>
        </is>
      </c>
      <c r="E2351" t="inlineStr">
        <is>
          <t>SUNDSVALL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4641-2020</t>
        </is>
      </c>
      <c r="B2352" s="1" t="n">
        <v>43850</v>
      </c>
      <c r="C2352" s="1" t="n">
        <v>45657</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4758-2020</t>
        </is>
      </c>
      <c r="B2353" s="1" t="n">
        <v>43850</v>
      </c>
      <c r="C2353" s="1" t="n">
        <v>45657</v>
      </c>
      <c r="D2353" t="inlineStr">
        <is>
          <t>VÄSTERNORRLANDS LÄN</t>
        </is>
      </c>
      <c r="E2353" t="inlineStr">
        <is>
          <t>ÖRNSKÖLDSVIK</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3092-2020</t>
        </is>
      </c>
      <c r="B2354" s="1" t="n">
        <v>43851</v>
      </c>
      <c r="C2354" s="1" t="n">
        <v>45657</v>
      </c>
      <c r="D2354" t="inlineStr">
        <is>
          <t>VÄSTERNORRLANDS LÄN</t>
        </is>
      </c>
      <c r="E2354" t="inlineStr">
        <is>
          <t>SUNDSVALL</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3030-2020</t>
        </is>
      </c>
      <c r="B2355" s="1" t="n">
        <v>43851</v>
      </c>
      <c r="C2355" s="1" t="n">
        <v>45657</v>
      </c>
      <c r="D2355" t="inlineStr">
        <is>
          <t>VÄSTERNORRLANDS LÄN</t>
        </is>
      </c>
      <c r="E2355" t="inlineStr">
        <is>
          <t>TIMRÅ</t>
        </is>
      </c>
      <c r="F2355" t="inlineStr">
        <is>
          <t>Kyrkan</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3139-2020</t>
        </is>
      </c>
      <c r="B2356" s="1" t="n">
        <v>43851</v>
      </c>
      <c r="C2356" s="1" t="n">
        <v>45657</v>
      </c>
      <c r="D2356" t="inlineStr">
        <is>
          <t>VÄSTERNORRLANDS LÄN</t>
        </is>
      </c>
      <c r="E2356" t="inlineStr">
        <is>
          <t>ÖRNSKÖLDSVIK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3193-2020</t>
        </is>
      </c>
      <c r="B2357" s="1" t="n">
        <v>43851</v>
      </c>
      <c r="C2357" s="1" t="n">
        <v>45657</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3230-2020</t>
        </is>
      </c>
      <c r="B2358" s="1" t="n">
        <v>43851</v>
      </c>
      <c r="C2358" s="1" t="n">
        <v>45657</v>
      </c>
      <c r="D2358" t="inlineStr">
        <is>
          <t>VÄSTERNORRLANDS LÄN</t>
        </is>
      </c>
      <c r="E2358" t="inlineStr">
        <is>
          <t>SOLLEFTEÅ</t>
        </is>
      </c>
      <c r="F2358" t="inlineStr">
        <is>
          <t>Övriga statliga verk och myndigheter</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3266-2020</t>
        </is>
      </c>
      <c r="B2359" s="1" t="n">
        <v>43852</v>
      </c>
      <c r="C2359" s="1" t="n">
        <v>45657</v>
      </c>
      <c r="D2359" t="inlineStr">
        <is>
          <t>VÄSTERNORRLANDS LÄN</t>
        </is>
      </c>
      <c r="E2359" t="inlineStr">
        <is>
          <t>HÄRNÖSAND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3285-2020</t>
        </is>
      </c>
      <c r="B2360" s="1" t="n">
        <v>43852</v>
      </c>
      <c r="C2360" s="1" t="n">
        <v>45657</v>
      </c>
      <c r="D2360" t="inlineStr">
        <is>
          <t>VÄSTERNORRLANDS LÄN</t>
        </is>
      </c>
      <c r="E2360" t="inlineStr">
        <is>
          <t>TIMRÅ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3496-2020</t>
        </is>
      </c>
      <c r="B2361" s="1" t="n">
        <v>43852</v>
      </c>
      <c r="C2361" s="1" t="n">
        <v>45657</v>
      </c>
      <c r="D2361" t="inlineStr">
        <is>
          <t>VÄSTERNORRLANDS LÄN</t>
        </is>
      </c>
      <c r="E2361" t="inlineStr">
        <is>
          <t>KRAMFORS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3240-2020</t>
        </is>
      </c>
      <c r="B2362" s="1" t="n">
        <v>43852</v>
      </c>
      <c r="C2362" s="1" t="n">
        <v>45657</v>
      </c>
      <c r="D2362" t="inlineStr">
        <is>
          <t>VÄSTERNORRLANDS LÄN</t>
        </is>
      </c>
      <c r="E2362" t="inlineStr">
        <is>
          <t>ÖRNSKÖLDSVIK</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3415-2020</t>
        </is>
      </c>
      <c r="B2363" s="1" t="n">
        <v>43852</v>
      </c>
      <c r="C2363" s="1" t="n">
        <v>45657</v>
      </c>
      <c r="D2363" t="inlineStr">
        <is>
          <t>VÄSTERNORRLANDS LÄN</t>
        </is>
      </c>
      <c r="E2363" t="inlineStr">
        <is>
          <t>SUNDSVALL</t>
        </is>
      </c>
      <c r="F2363" t="inlineStr">
        <is>
          <t>Kommuner</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3281-2020</t>
        </is>
      </c>
      <c r="B2364" s="1" t="n">
        <v>43852</v>
      </c>
      <c r="C2364" s="1" t="n">
        <v>45657</v>
      </c>
      <c r="D2364" t="inlineStr">
        <is>
          <t>VÄSTERNORRLANDS LÄN</t>
        </is>
      </c>
      <c r="E2364" t="inlineStr">
        <is>
          <t>ÖRNSKÖLDSVIK</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3299-2020</t>
        </is>
      </c>
      <c r="B2365" s="1" t="n">
        <v>43852</v>
      </c>
      <c r="C2365" s="1" t="n">
        <v>45657</v>
      </c>
      <c r="D2365" t="inlineStr">
        <is>
          <t>VÄSTERNORRLANDS LÄN</t>
        </is>
      </c>
      <c r="E2365" t="inlineStr">
        <is>
          <t>ÖRNSKÖLDSVIK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3490-2020</t>
        </is>
      </c>
      <c r="B2366" s="1" t="n">
        <v>43852</v>
      </c>
      <c r="C2366" s="1" t="n">
        <v>45657</v>
      </c>
      <c r="D2366" t="inlineStr">
        <is>
          <t>VÄSTERNORRLANDS LÄN</t>
        </is>
      </c>
      <c r="E2366" t="inlineStr">
        <is>
          <t>KRAMFORS</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3283-2020</t>
        </is>
      </c>
      <c r="B2367" s="1" t="n">
        <v>43852</v>
      </c>
      <c r="C2367" s="1" t="n">
        <v>45657</v>
      </c>
      <c r="D2367" t="inlineStr">
        <is>
          <t>VÄSTERNORRLANDS LÄN</t>
        </is>
      </c>
      <c r="E2367" t="inlineStr">
        <is>
          <t>TIMRÅ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4889-2020</t>
        </is>
      </c>
      <c r="B2368" s="1" t="n">
        <v>43852</v>
      </c>
      <c r="C2368" s="1" t="n">
        <v>45657</v>
      </c>
      <c r="D2368" t="inlineStr">
        <is>
          <t>VÄSTERNORRLANDS LÄN</t>
        </is>
      </c>
      <c r="E2368" t="inlineStr">
        <is>
          <t>ÖRNSKÖLDSVIK</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3633-2020</t>
        </is>
      </c>
      <c r="B2369" s="1" t="n">
        <v>43853</v>
      </c>
      <c r="C2369" s="1" t="n">
        <v>45657</v>
      </c>
      <c r="D2369" t="inlineStr">
        <is>
          <t>VÄSTERNORRLANDS LÄN</t>
        </is>
      </c>
      <c r="E2369" t="inlineStr">
        <is>
          <t>ÖRNSKÖLDSVIK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3658-2020</t>
        </is>
      </c>
      <c r="B2370" s="1" t="n">
        <v>43853</v>
      </c>
      <c r="C2370" s="1" t="n">
        <v>45657</v>
      </c>
      <c r="D2370" t="inlineStr">
        <is>
          <t>VÄSTERNORRLANDS LÄN</t>
        </is>
      </c>
      <c r="E2370" t="inlineStr">
        <is>
          <t>ÅNGE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3538-2020</t>
        </is>
      </c>
      <c r="B2371" s="1" t="n">
        <v>43853</v>
      </c>
      <c r="C2371" s="1" t="n">
        <v>45657</v>
      </c>
      <c r="D2371" t="inlineStr">
        <is>
          <t>VÄSTERNORRLANDS LÄN</t>
        </is>
      </c>
      <c r="E2371" t="inlineStr">
        <is>
          <t>SUNDSVALL</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3664-2020</t>
        </is>
      </c>
      <c r="B2372" s="1" t="n">
        <v>43853</v>
      </c>
      <c r="C2372" s="1" t="n">
        <v>45657</v>
      </c>
      <c r="D2372" t="inlineStr">
        <is>
          <t>VÄSTERNORRLANDS LÄN</t>
        </is>
      </c>
      <c r="E2372" t="inlineStr">
        <is>
          <t>ÅNGE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3681-2020</t>
        </is>
      </c>
      <c r="B2373" s="1" t="n">
        <v>43853</v>
      </c>
      <c r="C2373" s="1" t="n">
        <v>45657</v>
      </c>
      <c r="D2373" t="inlineStr">
        <is>
          <t>VÄSTERNORRLANDS LÄN</t>
        </is>
      </c>
      <c r="E2373" t="inlineStr">
        <is>
          <t>ÖRNSKÖLDSVIK</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3993-2020</t>
        </is>
      </c>
      <c r="B2374" s="1" t="n">
        <v>43856</v>
      </c>
      <c r="C2374" s="1" t="n">
        <v>45657</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4365-2020</t>
        </is>
      </c>
      <c r="B2375" s="1" t="n">
        <v>43857</v>
      </c>
      <c r="C2375" s="1" t="n">
        <v>45657</v>
      </c>
      <c r="D2375" t="inlineStr">
        <is>
          <t>VÄSTERNORRLANDS LÄN</t>
        </is>
      </c>
      <c r="E2375" t="inlineStr">
        <is>
          <t>ÅNGE</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4363-2020</t>
        </is>
      </c>
      <c r="B2376" s="1" t="n">
        <v>43857</v>
      </c>
      <c r="C2376" s="1" t="n">
        <v>45657</v>
      </c>
      <c r="D2376" t="inlineStr">
        <is>
          <t>VÄSTERNORRLANDS LÄN</t>
        </is>
      </c>
      <c r="E2376" t="inlineStr">
        <is>
          <t>SOLLEFTEÅ</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5248-2020</t>
        </is>
      </c>
      <c r="B2377" s="1" t="n">
        <v>43857</v>
      </c>
      <c r="C2377" s="1" t="n">
        <v>45657</v>
      </c>
      <c r="D2377" t="inlineStr">
        <is>
          <t>VÄSTERNORRLANDS LÄN</t>
        </is>
      </c>
      <c r="E2377" t="inlineStr">
        <is>
          <t>SOLLEFTEÅ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4458-2020</t>
        </is>
      </c>
      <c r="B2378" s="1" t="n">
        <v>43858</v>
      </c>
      <c r="C2378" s="1" t="n">
        <v>45657</v>
      </c>
      <c r="D2378" t="inlineStr">
        <is>
          <t>VÄSTERNORRLANDS LÄN</t>
        </is>
      </c>
      <c r="E2378" t="inlineStr">
        <is>
          <t>ÅNGE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4528-2020</t>
        </is>
      </c>
      <c r="B2379" s="1" t="n">
        <v>43858</v>
      </c>
      <c r="C2379" s="1" t="n">
        <v>45657</v>
      </c>
      <c r="D2379" t="inlineStr">
        <is>
          <t>VÄSTERNORRLANDS LÄN</t>
        </is>
      </c>
      <c r="E2379" t="inlineStr">
        <is>
          <t>SUNDSVALL</t>
        </is>
      </c>
      <c r="F2379" t="inlineStr">
        <is>
          <t>Kommuner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5102-2020</t>
        </is>
      </c>
      <c r="B2380" s="1" t="n">
        <v>43859</v>
      </c>
      <c r="C2380" s="1" t="n">
        <v>45657</v>
      </c>
      <c r="D2380" t="inlineStr">
        <is>
          <t>VÄSTERNORRLANDS LÄN</t>
        </is>
      </c>
      <c r="E2380" t="inlineStr">
        <is>
          <t>ÅNGE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5462-2020</t>
        </is>
      </c>
      <c r="B2381" s="1" t="n">
        <v>43859</v>
      </c>
      <c r="C2381" s="1" t="n">
        <v>45657</v>
      </c>
      <c r="D2381" t="inlineStr">
        <is>
          <t>VÄSTERNORRLANDS LÄN</t>
        </is>
      </c>
      <c r="E2381" t="inlineStr">
        <is>
          <t>ÖRNSKÖLDSVIK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5122-2020</t>
        </is>
      </c>
      <c r="B2382" s="1" t="n">
        <v>43860</v>
      </c>
      <c r="C2382" s="1" t="n">
        <v>45657</v>
      </c>
      <c r="D2382" t="inlineStr">
        <is>
          <t>VÄSTERNORRLANDS LÄN</t>
        </is>
      </c>
      <c r="E2382" t="inlineStr">
        <is>
          <t>ÖRNSKÖLDSVIK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5635-2020</t>
        </is>
      </c>
      <c r="B2383" s="1" t="n">
        <v>43860</v>
      </c>
      <c r="C2383" s="1" t="n">
        <v>45657</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5631-2020</t>
        </is>
      </c>
      <c r="B2384" s="1" t="n">
        <v>43860</v>
      </c>
      <c r="C2384" s="1" t="n">
        <v>45657</v>
      </c>
      <c r="D2384" t="inlineStr">
        <is>
          <t>VÄSTERNORRLANDS LÄN</t>
        </is>
      </c>
      <c r="E2384" t="inlineStr">
        <is>
          <t>SUNDSVALL</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5528-2020</t>
        </is>
      </c>
      <c r="B2385" s="1" t="n">
        <v>43861</v>
      </c>
      <c r="C2385" s="1" t="n">
        <v>45657</v>
      </c>
      <c r="D2385" t="inlineStr">
        <is>
          <t>VÄSTERNORRLANDS LÄN</t>
        </is>
      </c>
      <c r="E2385" t="inlineStr">
        <is>
          <t>SUNDSVALL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5662-2020</t>
        </is>
      </c>
      <c r="B2386" s="1" t="n">
        <v>43861</v>
      </c>
      <c r="C2386" s="1" t="n">
        <v>45657</v>
      </c>
      <c r="D2386" t="inlineStr">
        <is>
          <t>VÄSTERNORRLANDS LÄN</t>
        </is>
      </c>
      <c r="E2386" t="inlineStr">
        <is>
          <t>SOLLEFTEÅ</t>
        </is>
      </c>
      <c r="F2386" t="inlineStr">
        <is>
          <t>Holmen skog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5705-2020</t>
        </is>
      </c>
      <c r="B2387" s="1" t="n">
        <v>43861</v>
      </c>
      <c r="C2387" s="1" t="n">
        <v>45657</v>
      </c>
      <c r="D2387" t="inlineStr">
        <is>
          <t>VÄSTERNORRLANDS LÄN</t>
        </is>
      </c>
      <c r="E2387" t="inlineStr">
        <is>
          <t>SUNDSVALL</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5714-2020</t>
        </is>
      </c>
      <c r="B2388" s="1" t="n">
        <v>43861</v>
      </c>
      <c r="C2388" s="1" t="n">
        <v>45657</v>
      </c>
      <c r="D2388" t="inlineStr">
        <is>
          <t>VÄSTERNORRLANDS LÄN</t>
        </is>
      </c>
      <c r="E2388" t="inlineStr">
        <is>
          <t>SOLLEFTEÅ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5711-2020</t>
        </is>
      </c>
      <c r="B2389" s="1" t="n">
        <v>43861</v>
      </c>
      <c r="C2389" s="1" t="n">
        <v>45657</v>
      </c>
      <c r="D2389" t="inlineStr">
        <is>
          <t>VÄSTERNORRLANDS LÄN</t>
        </is>
      </c>
      <c r="E2389" t="inlineStr">
        <is>
          <t>SUNDSVALL</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5908-2020</t>
        </is>
      </c>
      <c r="B2390" s="1" t="n">
        <v>43861</v>
      </c>
      <c r="C2390" s="1" t="n">
        <v>45657</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5707-2020</t>
        </is>
      </c>
      <c r="B2391" s="1" t="n">
        <v>43861</v>
      </c>
      <c r="C2391" s="1" t="n">
        <v>45657</v>
      </c>
      <c r="D2391" t="inlineStr">
        <is>
          <t>VÄSTERNORRLANDS LÄN</t>
        </is>
      </c>
      <c r="E2391" t="inlineStr">
        <is>
          <t>KRAMFORS</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5773-2020</t>
        </is>
      </c>
      <c r="B2392" s="1" t="n">
        <v>43864</v>
      </c>
      <c r="C2392" s="1" t="n">
        <v>45657</v>
      </c>
      <c r="D2392" t="inlineStr">
        <is>
          <t>VÄSTERNORRLANDS LÄN</t>
        </is>
      </c>
      <c r="E2392" t="inlineStr">
        <is>
          <t>SUNDSVALL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5815-2020</t>
        </is>
      </c>
      <c r="B2393" s="1" t="n">
        <v>43864</v>
      </c>
      <c r="C2393" s="1" t="n">
        <v>45657</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5975-2020</t>
        </is>
      </c>
      <c r="B2394" s="1" t="n">
        <v>43864</v>
      </c>
      <c r="C2394" s="1" t="n">
        <v>45657</v>
      </c>
      <c r="D2394" t="inlineStr">
        <is>
          <t>VÄSTERNORRLANDS LÄN</t>
        </is>
      </c>
      <c r="E2394" t="inlineStr">
        <is>
          <t>ÅNGE</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5963-2020</t>
        </is>
      </c>
      <c r="B2395" s="1" t="n">
        <v>43864</v>
      </c>
      <c r="C2395" s="1" t="n">
        <v>45657</v>
      </c>
      <c r="D2395" t="inlineStr">
        <is>
          <t>VÄSTERNORRLANDS LÄN</t>
        </is>
      </c>
      <c r="E2395" t="inlineStr">
        <is>
          <t>SUNDSVALL</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5966-2020</t>
        </is>
      </c>
      <c r="B2396" s="1" t="n">
        <v>43864</v>
      </c>
      <c r="C2396" s="1" t="n">
        <v>45657</v>
      </c>
      <c r="D2396" t="inlineStr">
        <is>
          <t>VÄSTERNORRLANDS LÄN</t>
        </is>
      </c>
      <c r="E2396" t="inlineStr">
        <is>
          <t>SUNDSVALL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6393-2020</t>
        </is>
      </c>
      <c r="B2397" s="1" t="n">
        <v>43866</v>
      </c>
      <c r="C2397" s="1" t="n">
        <v>45657</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6269-2020</t>
        </is>
      </c>
      <c r="B2398" s="1" t="n">
        <v>43866</v>
      </c>
      <c r="C2398" s="1" t="n">
        <v>45657</v>
      </c>
      <c r="D2398" t="inlineStr">
        <is>
          <t>VÄSTERNORRLANDS LÄN</t>
        </is>
      </c>
      <c r="E2398" t="inlineStr">
        <is>
          <t>KRAMFORS</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6274-2020</t>
        </is>
      </c>
      <c r="B2399" s="1" t="n">
        <v>43866</v>
      </c>
      <c r="C2399" s="1" t="n">
        <v>45657</v>
      </c>
      <c r="D2399" t="inlineStr">
        <is>
          <t>VÄSTERNORRLANDS LÄN</t>
        </is>
      </c>
      <c r="E2399" t="inlineStr">
        <is>
          <t>ÖRNSKÖLDSVIK</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6292-2020</t>
        </is>
      </c>
      <c r="B2400" s="1" t="n">
        <v>43866</v>
      </c>
      <c r="C2400" s="1" t="n">
        <v>45657</v>
      </c>
      <c r="D2400" t="inlineStr">
        <is>
          <t>VÄSTERNORRLANDS LÄN</t>
        </is>
      </c>
      <c r="E2400" t="inlineStr">
        <is>
          <t>SUNDSVALL</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6930-2020</t>
        </is>
      </c>
      <c r="B2401" s="1" t="n">
        <v>43866</v>
      </c>
      <c r="C2401" s="1" t="n">
        <v>45657</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6557-2020</t>
        </is>
      </c>
      <c r="B2402" s="1" t="n">
        <v>43867</v>
      </c>
      <c r="C2402" s="1" t="n">
        <v>45657</v>
      </c>
      <c r="D2402" t="inlineStr">
        <is>
          <t>VÄSTERNORRLANDS LÄN</t>
        </is>
      </c>
      <c r="E2402" t="inlineStr">
        <is>
          <t>ÅNGE</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6551-2020</t>
        </is>
      </c>
      <c r="B2403" s="1" t="n">
        <v>43867</v>
      </c>
      <c r="C2403" s="1" t="n">
        <v>45657</v>
      </c>
      <c r="D2403" t="inlineStr">
        <is>
          <t>VÄSTERNORRLANDS LÄN</t>
        </is>
      </c>
      <c r="E2403" t="inlineStr">
        <is>
          <t>ÅNGE</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6563-2020</t>
        </is>
      </c>
      <c r="B2404" s="1" t="n">
        <v>43867</v>
      </c>
      <c r="C2404" s="1" t="n">
        <v>45657</v>
      </c>
      <c r="D2404" t="inlineStr">
        <is>
          <t>VÄSTERNORRLANDS LÄN</t>
        </is>
      </c>
      <c r="E2404" t="inlineStr">
        <is>
          <t>ÅNGE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6555-2020</t>
        </is>
      </c>
      <c r="B2405" s="1" t="n">
        <v>43867</v>
      </c>
      <c r="C2405" s="1" t="n">
        <v>45657</v>
      </c>
      <c r="D2405" t="inlineStr">
        <is>
          <t>VÄSTERNORRLANDS LÄN</t>
        </is>
      </c>
      <c r="E2405" t="inlineStr">
        <is>
          <t>ÅNGE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6562-2020</t>
        </is>
      </c>
      <c r="B2406" s="1" t="n">
        <v>43867</v>
      </c>
      <c r="C2406" s="1" t="n">
        <v>45657</v>
      </c>
      <c r="D2406" t="inlineStr">
        <is>
          <t>VÄSTERNORRLANDS LÄN</t>
        </is>
      </c>
      <c r="E2406" t="inlineStr">
        <is>
          <t>ÅNGE</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6807-2020</t>
        </is>
      </c>
      <c r="B2407" s="1" t="n">
        <v>43867</v>
      </c>
      <c r="C2407" s="1" t="n">
        <v>45657</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8130-2020</t>
        </is>
      </c>
      <c r="B2408" s="1" t="n">
        <v>43867</v>
      </c>
      <c r="C2408" s="1" t="n">
        <v>45657</v>
      </c>
      <c r="D2408" t="inlineStr">
        <is>
          <t>VÄSTERNORRLANDS LÄN</t>
        </is>
      </c>
      <c r="E2408" t="inlineStr">
        <is>
          <t>KRAMFORS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6565-2020</t>
        </is>
      </c>
      <c r="B2409" s="1" t="n">
        <v>43867</v>
      </c>
      <c r="C2409" s="1" t="n">
        <v>45657</v>
      </c>
      <c r="D2409" t="inlineStr">
        <is>
          <t>VÄSTERNORRLANDS LÄN</t>
        </is>
      </c>
      <c r="E2409" t="inlineStr">
        <is>
          <t>ÅNGE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7134-2020</t>
        </is>
      </c>
      <c r="B2410" s="1" t="n">
        <v>43868</v>
      </c>
      <c r="C2410" s="1" t="n">
        <v>45657</v>
      </c>
      <c r="D2410" t="inlineStr">
        <is>
          <t>VÄSTERNORRLANDS LÄN</t>
        </is>
      </c>
      <c r="E2410" t="inlineStr">
        <is>
          <t>TIMRÅ</t>
        </is>
      </c>
      <c r="F2410" t="inlineStr">
        <is>
          <t>SCA</t>
        </is>
      </c>
      <c r="G2410" t="n">
        <v>25.8</v>
      </c>
      <c r="H2410" t="n">
        <v>0</v>
      </c>
      <c r="I2410" t="n">
        <v>0</v>
      </c>
      <c r="J2410" t="n">
        <v>0</v>
      </c>
      <c r="K2410" t="n">
        <v>0</v>
      </c>
      <c r="L2410" t="n">
        <v>0</v>
      </c>
      <c r="M2410" t="n">
        <v>0</v>
      </c>
      <c r="N2410" t="n">
        <v>0</v>
      </c>
      <c r="O2410" t="n">
        <v>0</v>
      </c>
      <c r="P2410" t="n">
        <v>0</v>
      </c>
      <c r="Q2410" t="n">
        <v>0</v>
      </c>
      <c r="R2410" s="2" t="inlineStr"/>
    </row>
    <row r="2411" ht="15" customHeight="1">
      <c r="A2411" t="inlineStr">
        <is>
          <t>A 7175-2020</t>
        </is>
      </c>
      <c r="B2411" s="1" t="n">
        <v>43868</v>
      </c>
      <c r="C2411" s="1" t="n">
        <v>45657</v>
      </c>
      <c r="D2411" t="inlineStr">
        <is>
          <t>VÄSTERNORRLANDS LÄN</t>
        </is>
      </c>
      <c r="E2411" t="inlineStr">
        <is>
          <t>KRAMFORS</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7497-2020</t>
        </is>
      </c>
      <c r="B2412" s="1" t="n">
        <v>43871</v>
      </c>
      <c r="C2412" s="1" t="n">
        <v>45657</v>
      </c>
      <c r="D2412" t="inlineStr">
        <is>
          <t>VÄSTERNORRLANDS LÄN</t>
        </is>
      </c>
      <c r="E2412" t="inlineStr">
        <is>
          <t>SUNDSVALL</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7502-2020</t>
        </is>
      </c>
      <c r="B2413" s="1" t="n">
        <v>43871</v>
      </c>
      <c r="C2413" s="1" t="n">
        <v>45657</v>
      </c>
      <c r="D2413" t="inlineStr">
        <is>
          <t>VÄSTERNORRLANDS LÄN</t>
        </is>
      </c>
      <c r="E2413" t="inlineStr">
        <is>
          <t>SUNDSVALL</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7499-2020</t>
        </is>
      </c>
      <c r="B2414" s="1" t="n">
        <v>43871</v>
      </c>
      <c r="C2414" s="1" t="n">
        <v>45657</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7505-2020</t>
        </is>
      </c>
      <c r="B2415" s="1" t="n">
        <v>43871</v>
      </c>
      <c r="C2415" s="1" t="n">
        <v>45657</v>
      </c>
      <c r="D2415" t="inlineStr">
        <is>
          <t>VÄSTERNORRLANDS LÄN</t>
        </is>
      </c>
      <c r="E2415" t="inlineStr">
        <is>
          <t>SUNDSVALL</t>
        </is>
      </c>
      <c r="G2415" t="n">
        <v>10</v>
      </c>
      <c r="H2415" t="n">
        <v>0</v>
      </c>
      <c r="I2415" t="n">
        <v>0</v>
      </c>
      <c r="J2415" t="n">
        <v>0</v>
      </c>
      <c r="K2415" t="n">
        <v>0</v>
      </c>
      <c r="L2415" t="n">
        <v>0</v>
      </c>
      <c r="M2415" t="n">
        <v>0</v>
      </c>
      <c r="N2415" t="n">
        <v>0</v>
      </c>
      <c r="O2415" t="n">
        <v>0</v>
      </c>
      <c r="P2415" t="n">
        <v>0</v>
      </c>
      <c r="Q2415" t="n">
        <v>0</v>
      </c>
      <c r="R2415" s="2" t="inlineStr"/>
    </row>
    <row r="2416" ht="15" customHeight="1">
      <c r="A2416" t="inlineStr">
        <is>
          <t>A 7501-2020</t>
        </is>
      </c>
      <c r="B2416" s="1" t="n">
        <v>43871</v>
      </c>
      <c r="C2416" s="1" t="n">
        <v>45657</v>
      </c>
      <c r="D2416" t="inlineStr">
        <is>
          <t>VÄSTERNORRLANDS LÄN</t>
        </is>
      </c>
      <c r="E2416" t="inlineStr">
        <is>
          <t>SUNDSVALL</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7498-2020</t>
        </is>
      </c>
      <c r="B2417" s="1" t="n">
        <v>43871</v>
      </c>
      <c r="C2417" s="1" t="n">
        <v>45657</v>
      </c>
      <c r="D2417" t="inlineStr">
        <is>
          <t>VÄSTERNORRLANDS LÄN</t>
        </is>
      </c>
      <c r="E2417" t="inlineStr">
        <is>
          <t>SUNDSVALL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7503-2020</t>
        </is>
      </c>
      <c r="B2418" s="1" t="n">
        <v>43871</v>
      </c>
      <c r="C2418" s="1" t="n">
        <v>45657</v>
      </c>
      <c r="D2418" t="inlineStr">
        <is>
          <t>VÄSTERNORRLANDS LÄN</t>
        </is>
      </c>
      <c r="E2418" t="inlineStr">
        <is>
          <t>SUNDSVALL</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7596-2020</t>
        </is>
      </c>
      <c r="B2419" s="1" t="n">
        <v>43872</v>
      </c>
      <c r="C2419" s="1" t="n">
        <v>45657</v>
      </c>
      <c r="D2419" t="inlineStr">
        <is>
          <t>VÄSTERNORRLANDS LÄN</t>
        </is>
      </c>
      <c r="E2419" t="inlineStr">
        <is>
          <t>ÖRNSKÖLDSVIK</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7717-2020</t>
        </is>
      </c>
      <c r="B2420" s="1" t="n">
        <v>43872</v>
      </c>
      <c r="C2420" s="1" t="n">
        <v>45657</v>
      </c>
      <c r="D2420" t="inlineStr">
        <is>
          <t>VÄSTERNORRLANDS LÄN</t>
        </is>
      </c>
      <c r="E2420" t="inlineStr">
        <is>
          <t>HÄRNÖSAND</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7787-2020</t>
        </is>
      </c>
      <c r="B2421" s="1" t="n">
        <v>43872</v>
      </c>
      <c r="C2421" s="1" t="n">
        <v>45657</v>
      </c>
      <c r="D2421" t="inlineStr">
        <is>
          <t>VÄSTERNORRLANDS LÄN</t>
        </is>
      </c>
      <c r="E2421" t="inlineStr">
        <is>
          <t>ÅNGE</t>
        </is>
      </c>
      <c r="F2421" t="inlineStr">
        <is>
          <t>SCA</t>
        </is>
      </c>
      <c r="G2421" t="n">
        <v>22.8</v>
      </c>
      <c r="H2421" t="n">
        <v>0</v>
      </c>
      <c r="I2421" t="n">
        <v>0</v>
      </c>
      <c r="J2421" t="n">
        <v>0</v>
      </c>
      <c r="K2421" t="n">
        <v>0</v>
      </c>
      <c r="L2421" t="n">
        <v>0</v>
      </c>
      <c r="M2421" t="n">
        <v>0</v>
      </c>
      <c r="N2421" t="n">
        <v>0</v>
      </c>
      <c r="O2421" t="n">
        <v>0</v>
      </c>
      <c r="P2421" t="n">
        <v>0</v>
      </c>
      <c r="Q2421" t="n">
        <v>0</v>
      </c>
      <c r="R2421" s="2" t="inlineStr"/>
    </row>
    <row r="2422" ht="15" customHeight="1">
      <c r="A2422" t="inlineStr">
        <is>
          <t>A 7780-2020</t>
        </is>
      </c>
      <c r="B2422" s="1" t="n">
        <v>43872</v>
      </c>
      <c r="C2422" s="1" t="n">
        <v>45657</v>
      </c>
      <c r="D2422" t="inlineStr">
        <is>
          <t>VÄSTERNORRLANDS LÄN</t>
        </is>
      </c>
      <c r="E2422" t="inlineStr">
        <is>
          <t>HÄRNÖSAND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7961-2020</t>
        </is>
      </c>
      <c r="B2423" s="1" t="n">
        <v>43873</v>
      </c>
      <c r="C2423" s="1" t="n">
        <v>45657</v>
      </c>
      <c r="D2423" t="inlineStr">
        <is>
          <t>VÄSTERNORRLANDS LÄN</t>
        </is>
      </c>
      <c r="E2423" t="inlineStr">
        <is>
          <t>SUNDSVALL</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7944-2020</t>
        </is>
      </c>
      <c r="B2424" s="1" t="n">
        <v>43873</v>
      </c>
      <c r="C2424" s="1" t="n">
        <v>45657</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8194-2020</t>
        </is>
      </c>
      <c r="B2425" s="1" t="n">
        <v>43874</v>
      </c>
      <c r="C2425" s="1" t="n">
        <v>45657</v>
      </c>
      <c r="D2425" t="inlineStr">
        <is>
          <t>VÄSTERNORRLANDS LÄN</t>
        </is>
      </c>
      <c r="E2425" t="inlineStr">
        <is>
          <t>ÖRNSKÖLDSVIK</t>
        </is>
      </c>
      <c r="F2425" t="inlineStr">
        <is>
          <t>Holmen skog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8279-2020</t>
        </is>
      </c>
      <c r="B2426" s="1" t="n">
        <v>43874</v>
      </c>
      <c r="C2426" s="1" t="n">
        <v>45657</v>
      </c>
      <c r="D2426" t="inlineStr">
        <is>
          <t>VÄSTERNORRLANDS LÄN</t>
        </is>
      </c>
      <c r="E2426" t="inlineStr">
        <is>
          <t>TIMRÅ</t>
        </is>
      </c>
      <c r="G2426" t="n">
        <v>10.9</v>
      </c>
      <c r="H2426" t="n">
        <v>0</v>
      </c>
      <c r="I2426" t="n">
        <v>0</v>
      </c>
      <c r="J2426" t="n">
        <v>0</v>
      </c>
      <c r="K2426" t="n">
        <v>0</v>
      </c>
      <c r="L2426" t="n">
        <v>0</v>
      </c>
      <c r="M2426" t="n">
        <v>0</v>
      </c>
      <c r="N2426" t="n">
        <v>0</v>
      </c>
      <c r="O2426" t="n">
        <v>0</v>
      </c>
      <c r="P2426" t="n">
        <v>0</v>
      </c>
      <c r="Q2426" t="n">
        <v>0</v>
      </c>
      <c r="R2426" s="2" t="inlineStr"/>
    </row>
    <row r="2427" ht="15" customHeight="1">
      <c r="A2427" t="inlineStr">
        <is>
          <t>A 8487-2020</t>
        </is>
      </c>
      <c r="B2427" s="1" t="n">
        <v>43874</v>
      </c>
      <c r="C2427" s="1" t="n">
        <v>45657</v>
      </c>
      <c r="D2427" t="inlineStr">
        <is>
          <t>VÄSTERNORRLANDS LÄN</t>
        </is>
      </c>
      <c r="E2427" t="inlineStr">
        <is>
          <t>KRAMFORS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8567-2020</t>
        </is>
      </c>
      <c r="B2428" s="1" t="n">
        <v>43874</v>
      </c>
      <c r="C2428" s="1" t="n">
        <v>45657</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8475-2020</t>
        </is>
      </c>
      <c r="B2429" s="1" t="n">
        <v>43874</v>
      </c>
      <c r="C2429" s="1" t="n">
        <v>45657</v>
      </c>
      <c r="D2429" t="inlineStr">
        <is>
          <t>VÄSTERNORRLANDS LÄN</t>
        </is>
      </c>
      <c r="E2429" t="inlineStr">
        <is>
          <t>ÖRNSKÖLDSVIK</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8527-2020</t>
        </is>
      </c>
      <c r="B2430" s="1" t="n">
        <v>43875</v>
      </c>
      <c r="C2430" s="1" t="n">
        <v>45657</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8317-2020</t>
        </is>
      </c>
      <c r="B2431" s="1" t="n">
        <v>43875</v>
      </c>
      <c r="C2431" s="1" t="n">
        <v>45657</v>
      </c>
      <c r="D2431" t="inlineStr">
        <is>
          <t>VÄSTERNORRLANDS LÄN</t>
        </is>
      </c>
      <c r="E2431" t="inlineStr">
        <is>
          <t>ÖRNSKÖLDSVIK</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8363-2020</t>
        </is>
      </c>
      <c r="B2432" s="1" t="n">
        <v>43875</v>
      </c>
      <c r="C2432" s="1" t="n">
        <v>45657</v>
      </c>
      <c r="D2432" t="inlineStr">
        <is>
          <t>VÄSTERNORRLANDS LÄN</t>
        </is>
      </c>
      <c r="E2432" t="inlineStr">
        <is>
          <t>SOLLEFTEÅ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8486-2020</t>
        </is>
      </c>
      <c r="B2433" s="1" t="n">
        <v>43875</v>
      </c>
      <c r="C2433" s="1" t="n">
        <v>45657</v>
      </c>
      <c r="D2433" t="inlineStr">
        <is>
          <t>VÄSTERNORRLANDS LÄN</t>
        </is>
      </c>
      <c r="E2433" t="inlineStr">
        <is>
          <t>KRAMFORS</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8524-2020</t>
        </is>
      </c>
      <c r="B2434" s="1" t="n">
        <v>43875</v>
      </c>
      <c r="C2434" s="1" t="n">
        <v>45657</v>
      </c>
      <c r="D2434" t="inlineStr">
        <is>
          <t>VÄSTERNORRLANDS LÄN</t>
        </is>
      </c>
      <c r="E2434" t="inlineStr">
        <is>
          <t>KRAMFORS</t>
        </is>
      </c>
      <c r="F2434" t="inlineStr">
        <is>
          <t>Kommuner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8533-2020</t>
        </is>
      </c>
      <c r="B2435" s="1" t="n">
        <v>43875</v>
      </c>
      <c r="C2435" s="1" t="n">
        <v>45657</v>
      </c>
      <c r="D2435" t="inlineStr">
        <is>
          <t>VÄSTERNORRLANDS LÄN</t>
        </is>
      </c>
      <c r="E2435" t="inlineStr">
        <is>
          <t>ÅNGE</t>
        </is>
      </c>
      <c r="F2435" t="inlineStr">
        <is>
          <t>SCA</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8479-2020</t>
        </is>
      </c>
      <c r="B2436" s="1" t="n">
        <v>43875</v>
      </c>
      <c r="C2436" s="1" t="n">
        <v>45657</v>
      </c>
      <c r="D2436" t="inlineStr">
        <is>
          <t>VÄSTERNORRLANDS LÄN</t>
        </is>
      </c>
      <c r="E2436" t="inlineStr">
        <is>
          <t>KRAMFORS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8531-2020</t>
        </is>
      </c>
      <c r="B2437" s="1" t="n">
        <v>43875</v>
      </c>
      <c r="C2437" s="1" t="n">
        <v>45657</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8534-2020</t>
        </is>
      </c>
      <c r="B2438" s="1" t="n">
        <v>43875</v>
      </c>
      <c r="C2438" s="1" t="n">
        <v>45657</v>
      </c>
      <c r="D2438" t="inlineStr">
        <is>
          <t>VÄSTERNORRLANDS LÄN</t>
        </is>
      </c>
      <c r="E2438" t="inlineStr">
        <is>
          <t>ÅNGE</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8525-2020</t>
        </is>
      </c>
      <c r="B2439" s="1" t="n">
        <v>43875</v>
      </c>
      <c r="C2439" s="1" t="n">
        <v>45657</v>
      </c>
      <c r="D2439" t="inlineStr">
        <is>
          <t>VÄSTERNORRLANDS LÄN</t>
        </is>
      </c>
      <c r="E2439" t="inlineStr">
        <is>
          <t>KRAMFORS</t>
        </is>
      </c>
      <c r="F2439" t="inlineStr">
        <is>
          <t>Kommuner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8542-2020</t>
        </is>
      </c>
      <c r="B2440" s="1" t="n">
        <v>43876</v>
      </c>
      <c r="C2440" s="1" t="n">
        <v>45657</v>
      </c>
      <c r="D2440" t="inlineStr">
        <is>
          <t>VÄSTERNORRLANDS LÄN</t>
        </is>
      </c>
      <c r="E2440" t="inlineStr">
        <is>
          <t>ÖRNSKÖLDSVIK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8858-2020</t>
        </is>
      </c>
      <c r="B2441" s="1" t="n">
        <v>43878</v>
      </c>
      <c r="C2441" s="1" t="n">
        <v>45657</v>
      </c>
      <c r="D2441" t="inlineStr">
        <is>
          <t>VÄSTERNORRLANDS LÄN</t>
        </is>
      </c>
      <c r="E2441" t="inlineStr">
        <is>
          <t>ÖRNSKÖLDSVIK</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8882-2020</t>
        </is>
      </c>
      <c r="B2442" s="1" t="n">
        <v>43878</v>
      </c>
      <c r="C2442" s="1" t="n">
        <v>45657</v>
      </c>
      <c r="D2442" t="inlineStr">
        <is>
          <t>VÄSTERNORRLANDS LÄN</t>
        </is>
      </c>
      <c r="E2442" t="inlineStr">
        <is>
          <t>SUNDSVALL</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8924-2020</t>
        </is>
      </c>
      <c r="B2443" s="1" t="n">
        <v>43878</v>
      </c>
      <c r="C2443" s="1" t="n">
        <v>45657</v>
      </c>
      <c r="D2443" t="inlineStr">
        <is>
          <t>VÄSTERNORRLANDS LÄN</t>
        </is>
      </c>
      <c r="E2443" t="inlineStr">
        <is>
          <t>SUNDSVALL</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8935-2020</t>
        </is>
      </c>
      <c r="B2444" s="1" t="n">
        <v>43878</v>
      </c>
      <c r="C2444" s="1" t="n">
        <v>45657</v>
      </c>
      <c r="D2444" t="inlineStr">
        <is>
          <t>VÄSTERNORRLANDS LÄN</t>
        </is>
      </c>
      <c r="E2444" t="inlineStr">
        <is>
          <t>SOLLEFTEÅ</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8937-2020</t>
        </is>
      </c>
      <c r="B2445" s="1" t="n">
        <v>43878</v>
      </c>
      <c r="C2445" s="1" t="n">
        <v>45657</v>
      </c>
      <c r="D2445" t="inlineStr">
        <is>
          <t>VÄSTERNORRLANDS LÄN</t>
        </is>
      </c>
      <c r="E2445" t="inlineStr">
        <is>
          <t>HÄRNÖSAND</t>
        </is>
      </c>
      <c r="F2445" t="inlineStr">
        <is>
          <t>SCA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8943-2020</t>
        </is>
      </c>
      <c r="B2446" s="1" t="n">
        <v>43878</v>
      </c>
      <c r="C2446" s="1" t="n">
        <v>45657</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9029-2020</t>
        </is>
      </c>
      <c r="B2447" s="1" t="n">
        <v>43879</v>
      </c>
      <c r="C2447" s="1" t="n">
        <v>45657</v>
      </c>
      <c r="D2447" t="inlineStr">
        <is>
          <t>VÄSTERNORRLANDS LÄN</t>
        </is>
      </c>
      <c r="E2447" t="inlineStr">
        <is>
          <t>TIMRÅ</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9097-2020</t>
        </is>
      </c>
      <c r="B2448" s="1" t="n">
        <v>43879</v>
      </c>
      <c r="C2448" s="1" t="n">
        <v>45657</v>
      </c>
      <c r="D2448" t="inlineStr">
        <is>
          <t>VÄSTERNORRLANDS LÄN</t>
        </is>
      </c>
      <c r="E2448" t="inlineStr">
        <is>
          <t>TIMRÅ</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9205-2020</t>
        </is>
      </c>
      <c r="B2449" s="1" t="n">
        <v>43879</v>
      </c>
      <c r="C2449" s="1" t="n">
        <v>45657</v>
      </c>
      <c r="D2449" t="inlineStr">
        <is>
          <t>VÄSTERNORRLANDS LÄN</t>
        </is>
      </c>
      <c r="E2449" t="inlineStr">
        <is>
          <t>ÖRNSKÖLDSVIK</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9486-2020</t>
        </is>
      </c>
      <c r="B2450" s="1" t="n">
        <v>43880</v>
      </c>
      <c r="C2450" s="1" t="n">
        <v>45657</v>
      </c>
      <c r="D2450" t="inlineStr">
        <is>
          <t>VÄSTERNORRLANDS LÄN</t>
        </is>
      </c>
      <c r="E2450" t="inlineStr">
        <is>
          <t>SUNDSVALL</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9554-2020</t>
        </is>
      </c>
      <c r="B2451" s="1" t="n">
        <v>43881</v>
      </c>
      <c r="C2451" s="1" t="n">
        <v>45657</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9837-2020</t>
        </is>
      </c>
      <c r="B2452" s="1" t="n">
        <v>43881</v>
      </c>
      <c r="C2452" s="1" t="n">
        <v>45657</v>
      </c>
      <c r="D2452" t="inlineStr">
        <is>
          <t>VÄSTERNORRLANDS LÄN</t>
        </is>
      </c>
      <c r="E2452" t="inlineStr">
        <is>
          <t>SUNDSVALL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9841-2020</t>
        </is>
      </c>
      <c r="B2453" s="1" t="n">
        <v>43881</v>
      </c>
      <c r="C2453" s="1" t="n">
        <v>45657</v>
      </c>
      <c r="D2453" t="inlineStr">
        <is>
          <t>VÄSTERNORRLANDS LÄN</t>
        </is>
      </c>
      <c r="E2453" t="inlineStr">
        <is>
          <t>SUNDSVALL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9836-2020</t>
        </is>
      </c>
      <c r="B2454" s="1" t="n">
        <v>43881</v>
      </c>
      <c r="C2454" s="1" t="n">
        <v>45657</v>
      </c>
      <c r="D2454" t="inlineStr">
        <is>
          <t>VÄSTERNORRLANDS LÄN</t>
        </is>
      </c>
      <c r="E2454" t="inlineStr">
        <is>
          <t>KRAMFORS</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9915-2020</t>
        </is>
      </c>
      <c r="B2455" s="1" t="n">
        <v>43882</v>
      </c>
      <c r="C2455" s="1" t="n">
        <v>45657</v>
      </c>
      <c r="D2455" t="inlineStr">
        <is>
          <t>VÄSTERNORRLANDS LÄN</t>
        </is>
      </c>
      <c r="E2455" t="inlineStr">
        <is>
          <t>SUNDSVALL</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10463-2020</t>
        </is>
      </c>
      <c r="B2456" s="1" t="n">
        <v>43885</v>
      </c>
      <c r="C2456" s="1" t="n">
        <v>45657</v>
      </c>
      <c r="D2456" t="inlineStr">
        <is>
          <t>VÄSTERNORRLANDS LÄN</t>
        </is>
      </c>
      <c r="E2456" t="inlineStr">
        <is>
          <t>ÖRNSKÖLDSVIK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10377-2020</t>
        </is>
      </c>
      <c r="B2457" s="1" t="n">
        <v>43885</v>
      </c>
      <c r="C2457" s="1" t="n">
        <v>45657</v>
      </c>
      <c r="D2457" t="inlineStr">
        <is>
          <t>VÄSTERNORRLANDS LÄN</t>
        </is>
      </c>
      <c r="E2457" t="inlineStr">
        <is>
          <t>TIMRÅ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10855-2020</t>
        </is>
      </c>
      <c r="B2458" s="1" t="n">
        <v>43885</v>
      </c>
      <c r="C2458" s="1" t="n">
        <v>45657</v>
      </c>
      <c r="D2458" t="inlineStr">
        <is>
          <t>VÄSTERNORRLANDS LÄN</t>
        </is>
      </c>
      <c r="E2458" t="inlineStr">
        <is>
          <t>ÖRNSKÖLDSVIK</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10455-2020</t>
        </is>
      </c>
      <c r="B2459" s="1" t="n">
        <v>43886</v>
      </c>
      <c r="C2459" s="1" t="n">
        <v>45657</v>
      </c>
      <c r="D2459" t="inlineStr">
        <is>
          <t>VÄSTERNORRLANDS LÄN</t>
        </is>
      </c>
      <c r="E2459" t="inlineStr">
        <is>
          <t>SUNDSVALL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10144-2020</t>
        </is>
      </c>
      <c r="B2460" s="1" t="n">
        <v>43886</v>
      </c>
      <c r="C2460" s="1" t="n">
        <v>45657</v>
      </c>
      <c r="D2460" t="inlineStr">
        <is>
          <t>VÄSTERNORRLANDS LÄN</t>
        </is>
      </c>
      <c r="E2460" t="inlineStr">
        <is>
          <t>ÅNGE</t>
        </is>
      </c>
      <c r="F2460" t="inlineStr">
        <is>
          <t>SCA</t>
        </is>
      </c>
      <c r="G2460" t="n">
        <v>21.7</v>
      </c>
      <c r="H2460" t="n">
        <v>0</v>
      </c>
      <c r="I2460" t="n">
        <v>0</v>
      </c>
      <c r="J2460" t="n">
        <v>0</v>
      </c>
      <c r="K2460" t="n">
        <v>0</v>
      </c>
      <c r="L2460" t="n">
        <v>0</v>
      </c>
      <c r="M2460" t="n">
        <v>0</v>
      </c>
      <c r="N2460" t="n">
        <v>0</v>
      </c>
      <c r="O2460" t="n">
        <v>0</v>
      </c>
      <c r="P2460" t="n">
        <v>0</v>
      </c>
      <c r="Q2460" t="n">
        <v>0</v>
      </c>
      <c r="R2460" s="2" t="inlineStr"/>
    </row>
    <row r="2461" ht="15" customHeight="1">
      <c r="A2461" t="inlineStr">
        <is>
          <t>A 10456-2020</t>
        </is>
      </c>
      <c r="B2461" s="1" t="n">
        <v>43886</v>
      </c>
      <c r="C2461" s="1" t="n">
        <v>45657</v>
      </c>
      <c r="D2461" t="inlineStr">
        <is>
          <t>VÄSTERNORRLANDS LÄN</t>
        </is>
      </c>
      <c r="E2461" t="inlineStr">
        <is>
          <t>SUNDSVALL</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10145-2020</t>
        </is>
      </c>
      <c r="B2462" s="1" t="n">
        <v>43886</v>
      </c>
      <c r="C2462" s="1" t="n">
        <v>45657</v>
      </c>
      <c r="D2462" t="inlineStr">
        <is>
          <t>VÄSTERNORRLANDS LÄN</t>
        </is>
      </c>
      <c r="E2462" t="inlineStr">
        <is>
          <t>ÅNGE</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10571-2020</t>
        </is>
      </c>
      <c r="B2463" s="1" t="n">
        <v>43887</v>
      </c>
      <c r="C2463" s="1" t="n">
        <v>45657</v>
      </c>
      <c r="D2463" t="inlineStr">
        <is>
          <t>VÄSTERNORRLANDS LÄN</t>
        </is>
      </c>
      <c r="E2463" t="inlineStr">
        <is>
          <t>SUNDSVALL</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10631-2020</t>
        </is>
      </c>
      <c r="B2464" s="1" t="n">
        <v>43887</v>
      </c>
      <c r="C2464" s="1" t="n">
        <v>45657</v>
      </c>
      <c r="D2464" t="inlineStr">
        <is>
          <t>VÄSTERNORRLANDS LÄN</t>
        </is>
      </c>
      <c r="E2464" t="inlineStr">
        <is>
          <t>SOLLEFTEÅ</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10649-2020</t>
        </is>
      </c>
      <c r="B2465" s="1" t="n">
        <v>43887</v>
      </c>
      <c r="C2465" s="1" t="n">
        <v>45657</v>
      </c>
      <c r="D2465" t="inlineStr">
        <is>
          <t>VÄSTERNORRLANDS LÄN</t>
        </is>
      </c>
      <c r="E2465" t="inlineStr">
        <is>
          <t>SUNDSVALL</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10846-2020</t>
        </is>
      </c>
      <c r="B2466" s="1" t="n">
        <v>43888</v>
      </c>
      <c r="C2466" s="1" t="n">
        <v>45657</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10904-2020</t>
        </is>
      </c>
      <c r="B2467" s="1" t="n">
        <v>43889</v>
      </c>
      <c r="C2467" s="1" t="n">
        <v>45657</v>
      </c>
      <c r="D2467" t="inlineStr">
        <is>
          <t>VÄSTERNORRLANDS LÄN</t>
        </is>
      </c>
      <c r="E2467" t="inlineStr">
        <is>
          <t>SUNDSVALL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11101-2020</t>
        </is>
      </c>
      <c r="B2468" s="1" t="n">
        <v>43889</v>
      </c>
      <c r="C2468" s="1" t="n">
        <v>45657</v>
      </c>
      <c r="D2468" t="inlineStr">
        <is>
          <t>VÄSTERNORRLANDS LÄN</t>
        </is>
      </c>
      <c r="E2468" t="inlineStr">
        <is>
          <t>ÅNGE</t>
        </is>
      </c>
      <c r="F2468" t="inlineStr">
        <is>
          <t>Holmen skog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11968-2020</t>
        </is>
      </c>
      <c r="B2469" s="1" t="n">
        <v>43889</v>
      </c>
      <c r="C2469" s="1" t="n">
        <v>45657</v>
      </c>
      <c r="D2469" t="inlineStr">
        <is>
          <t>VÄSTERNORRLANDS LÄN</t>
        </is>
      </c>
      <c r="E2469" t="inlineStr">
        <is>
          <t>ÖRNSKÖLDSVIK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11426-2020</t>
        </is>
      </c>
      <c r="B2470" s="1" t="n">
        <v>43892</v>
      </c>
      <c r="C2470" s="1" t="n">
        <v>45657</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11277-2020</t>
        </is>
      </c>
      <c r="B2471" s="1" t="n">
        <v>43892</v>
      </c>
      <c r="C2471" s="1" t="n">
        <v>45657</v>
      </c>
      <c r="D2471" t="inlineStr">
        <is>
          <t>VÄSTERNORRLANDS LÄN</t>
        </is>
      </c>
      <c r="E2471" t="inlineStr">
        <is>
          <t>SUNDSVALL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11413-2020</t>
        </is>
      </c>
      <c r="B2472" s="1" t="n">
        <v>43892</v>
      </c>
      <c r="C2472" s="1" t="n">
        <v>45657</v>
      </c>
      <c r="D2472" t="inlineStr">
        <is>
          <t>VÄSTERNORRLANDS LÄN</t>
        </is>
      </c>
      <c r="E2472" t="inlineStr">
        <is>
          <t>SUNDSVALL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11411-2020</t>
        </is>
      </c>
      <c r="B2473" s="1" t="n">
        <v>43892</v>
      </c>
      <c r="C2473" s="1" t="n">
        <v>45657</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11427-2020</t>
        </is>
      </c>
      <c r="B2474" s="1" t="n">
        <v>43892</v>
      </c>
      <c r="C2474" s="1" t="n">
        <v>45657</v>
      </c>
      <c r="D2474" t="inlineStr">
        <is>
          <t>VÄSTERNORRLANDS LÄN</t>
        </is>
      </c>
      <c r="E2474" t="inlineStr">
        <is>
          <t>SUNDSVALL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12464-2020</t>
        </is>
      </c>
      <c r="B2475" s="1" t="n">
        <v>43892</v>
      </c>
      <c r="C2475" s="1" t="n">
        <v>45657</v>
      </c>
      <c r="D2475" t="inlineStr">
        <is>
          <t>VÄSTERNORRLANDS LÄN</t>
        </is>
      </c>
      <c r="E2475" t="inlineStr">
        <is>
          <t>KRAMFORS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12584-2020</t>
        </is>
      </c>
      <c r="B2476" s="1" t="n">
        <v>43892</v>
      </c>
      <c r="C2476" s="1" t="n">
        <v>45657</v>
      </c>
      <c r="D2476" t="inlineStr">
        <is>
          <t>VÄSTERNORRLANDS LÄN</t>
        </is>
      </c>
      <c r="E2476" t="inlineStr">
        <is>
          <t>ÖRNSKÖLDSVIK</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11682-2020</t>
        </is>
      </c>
      <c r="B2477" s="1" t="n">
        <v>43893</v>
      </c>
      <c r="C2477" s="1" t="n">
        <v>45657</v>
      </c>
      <c r="D2477" t="inlineStr">
        <is>
          <t>VÄSTERNORRLANDS LÄN</t>
        </is>
      </c>
      <c r="E2477" t="inlineStr">
        <is>
          <t>SUNDSVALL</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11685-2020</t>
        </is>
      </c>
      <c r="B2478" s="1" t="n">
        <v>43893</v>
      </c>
      <c r="C2478" s="1" t="n">
        <v>45657</v>
      </c>
      <c r="D2478" t="inlineStr">
        <is>
          <t>VÄSTERNORRLANDS LÄN</t>
        </is>
      </c>
      <c r="E2478" t="inlineStr">
        <is>
          <t>SOLLEFTEÅ</t>
        </is>
      </c>
      <c r="F2478" t="inlineStr">
        <is>
          <t>SCA</t>
        </is>
      </c>
      <c r="G2478" t="n">
        <v>10.3</v>
      </c>
      <c r="H2478" t="n">
        <v>0</v>
      </c>
      <c r="I2478" t="n">
        <v>0</v>
      </c>
      <c r="J2478" t="n">
        <v>0</v>
      </c>
      <c r="K2478" t="n">
        <v>0</v>
      </c>
      <c r="L2478" t="n">
        <v>0</v>
      </c>
      <c r="M2478" t="n">
        <v>0</v>
      </c>
      <c r="N2478" t="n">
        <v>0</v>
      </c>
      <c r="O2478" t="n">
        <v>0</v>
      </c>
      <c r="P2478" t="n">
        <v>0</v>
      </c>
      <c r="Q2478" t="n">
        <v>0</v>
      </c>
      <c r="R2478" s="2" t="inlineStr"/>
    </row>
    <row r="2479" ht="15" customHeight="1">
      <c r="A2479" t="inlineStr">
        <is>
          <t>A 11691-2020</t>
        </is>
      </c>
      <c r="B2479" s="1" t="n">
        <v>43893</v>
      </c>
      <c r="C2479" s="1" t="n">
        <v>45657</v>
      </c>
      <c r="D2479" t="inlineStr">
        <is>
          <t>VÄSTERNORRLANDS LÄN</t>
        </is>
      </c>
      <c r="E2479" t="inlineStr">
        <is>
          <t>HÄRNÖSAND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11687-2020</t>
        </is>
      </c>
      <c r="B2480" s="1" t="n">
        <v>43893</v>
      </c>
      <c r="C2480" s="1" t="n">
        <v>45657</v>
      </c>
      <c r="D2480" t="inlineStr">
        <is>
          <t>VÄSTERNORRLANDS LÄN</t>
        </is>
      </c>
      <c r="E2480" t="inlineStr">
        <is>
          <t>HÄRNÖSAND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11692-2020</t>
        </is>
      </c>
      <c r="B2481" s="1" t="n">
        <v>43893</v>
      </c>
      <c r="C2481" s="1" t="n">
        <v>45657</v>
      </c>
      <c r="D2481" t="inlineStr">
        <is>
          <t>VÄSTERNORRLANDS LÄN</t>
        </is>
      </c>
      <c r="E2481" t="inlineStr">
        <is>
          <t>HÄRNÖSAND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12819-2020</t>
        </is>
      </c>
      <c r="B2482" s="1" t="n">
        <v>43893</v>
      </c>
      <c r="C2482" s="1" t="n">
        <v>45657</v>
      </c>
      <c r="D2482" t="inlineStr">
        <is>
          <t>VÄSTERNORRLANDS LÄN</t>
        </is>
      </c>
      <c r="E2482" t="inlineStr">
        <is>
          <t>SOLLEFTEÅ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12065-2020</t>
        </is>
      </c>
      <c r="B2483" s="1" t="n">
        <v>43894</v>
      </c>
      <c r="C2483" s="1" t="n">
        <v>45657</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12066-2020</t>
        </is>
      </c>
      <c r="B2484" s="1" t="n">
        <v>43894</v>
      </c>
      <c r="C2484" s="1" t="n">
        <v>45657</v>
      </c>
      <c r="D2484" t="inlineStr">
        <is>
          <t>VÄSTERNORRLANDS LÄN</t>
        </is>
      </c>
      <c r="E2484" t="inlineStr">
        <is>
          <t>SUNDSVALL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12336-2020</t>
        </is>
      </c>
      <c r="B2485" s="1" t="n">
        <v>43895</v>
      </c>
      <c r="C2485" s="1" t="n">
        <v>45657</v>
      </c>
      <c r="D2485" t="inlineStr">
        <is>
          <t>VÄSTERNORRLANDS LÄN</t>
        </is>
      </c>
      <c r="E2485" t="inlineStr">
        <is>
          <t>SUNDSVALL</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12525-2020</t>
        </is>
      </c>
      <c r="B2486" s="1" t="n">
        <v>43896</v>
      </c>
      <c r="C2486" s="1" t="n">
        <v>45657</v>
      </c>
      <c r="D2486" t="inlineStr">
        <is>
          <t>VÄSTERNORRLANDS LÄN</t>
        </is>
      </c>
      <c r="E2486" t="inlineStr">
        <is>
          <t>SOLLEFTEÅ</t>
        </is>
      </c>
      <c r="F2486" t="inlineStr">
        <is>
          <t>SCA</t>
        </is>
      </c>
      <c r="G2486" t="n">
        <v>28.7</v>
      </c>
      <c r="H2486" t="n">
        <v>0</v>
      </c>
      <c r="I2486" t="n">
        <v>0</v>
      </c>
      <c r="J2486" t="n">
        <v>0</v>
      </c>
      <c r="K2486" t="n">
        <v>0</v>
      </c>
      <c r="L2486" t="n">
        <v>0</v>
      </c>
      <c r="M2486" t="n">
        <v>0</v>
      </c>
      <c r="N2486" t="n">
        <v>0</v>
      </c>
      <c r="O2486" t="n">
        <v>0</v>
      </c>
      <c r="P2486" t="n">
        <v>0</v>
      </c>
      <c r="Q2486" t="n">
        <v>0</v>
      </c>
      <c r="R2486" s="2" t="inlineStr"/>
    </row>
    <row r="2487" ht="15" customHeight="1">
      <c r="A2487" t="inlineStr">
        <is>
          <t>A 12824-2020</t>
        </is>
      </c>
      <c r="B2487" s="1" t="n">
        <v>43899</v>
      </c>
      <c r="C2487" s="1" t="n">
        <v>45657</v>
      </c>
      <c r="D2487" t="inlineStr">
        <is>
          <t>VÄSTERNORRLANDS LÄN</t>
        </is>
      </c>
      <c r="E2487" t="inlineStr">
        <is>
          <t>ÖRNSKÖLDSVIK</t>
        </is>
      </c>
      <c r="F2487" t="inlineStr">
        <is>
          <t>Holmen skog AB</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12866-2020</t>
        </is>
      </c>
      <c r="B2488" s="1" t="n">
        <v>43899</v>
      </c>
      <c r="C2488" s="1" t="n">
        <v>45657</v>
      </c>
      <c r="D2488" t="inlineStr">
        <is>
          <t>VÄSTERNORRLANDS LÄN</t>
        </is>
      </c>
      <c r="E2488" t="inlineStr">
        <is>
          <t>ÅNGE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12868-2020</t>
        </is>
      </c>
      <c r="B2489" s="1" t="n">
        <v>43899</v>
      </c>
      <c r="C2489" s="1" t="n">
        <v>45657</v>
      </c>
      <c r="D2489" t="inlineStr">
        <is>
          <t>VÄSTERNORRLANDS LÄN</t>
        </is>
      </c>
      <c r="E2489" t="inlineStr">
        <is>
          <t>ÅNGE</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14092-2020</t>
        </is>
      </c>
      <c r="B2490" s="1" t="n">
        <v>43899</v>
      </c>
      <c r="C2490" s="1" t="n">
        <v>45657</v>
      </c>
      <c r="D2490" t="inlineStr">
        <is>
          <t>VÄSTERNORRLANDS LÄN</t>
        </is>
      </c>
      <c r="E2490" t="inlineStr">
        <is>
          <t>KRAMFORS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14086-2020</t>
        </is>
      </c>
      <c r="B2491" s="1" t="n">
        <v>43899</v>
      </c>
      <c r="C2491" s="1" t="n">
        <v>45657</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13074-2020</t>
        </is>
      </c>
      <c r="B2492" s="1" t="n">
        <v>43900</v>
      </c>
      <c r="C2492" s="1" t="n">
        <v>45657</v>
      </c>
      <c r="D2492" t="inlineStr">
        <is>
          <t>VÄSTERNORRLANDS LÄN</t>
        </is>
      </c>
      <c r="E2492" t="inlineStr">
        <is>
          <t>SUNDSVALL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13073-2020</t>
        </is>
      </c>
      <c r="B2493" s="1" t="n">
        <v>43900</v>
      </c>
      <c r="C2493" s="1" t="n">
        <v>45657</v>
      </c>
      <c r="D2493" t="inlineStr">
        <is>
          <t>VÄSTERNORRLANDS LÄN</t>
        </is>
      </c>
      <c r="E2493" t="inlineStr">
        <is>
          <t>SUNDSVALL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13082-2020</t>
        </is>
      </c>
      <c r="B2494" s="1" t="n">
        <v>43900</v>
      </c>
      <c r="C2494" s="1" t="n">
        <v>45657</v>
      </c>
      <c r="D2494" t="inlineStr">
        <is>
          <t>VÄSTERNORRLANDS LÄN</t>
        </is>
      </c>
      <c r="E2494" t="inlineStr">
        <is>
          <t>SUNDSVALL</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13023-2020</t>
        </is>
      </c>
      <c r="B2495" s="1" t="n">
        <v>43900</v>
      </c>
      <c r="C2495" s="1" t="n">
        <v>45657</v>
      </c>
      <c r="D2495" t="inlineStr">
        <is>
          <t>VÄSTERNORRLANDS LÄN</t>
        </is>
      </c>
      <c r="E2495" t="inlineStr">
        <is>
          <t>SOLLEFTEÅ</t>
        </is>
      </c>
      <c r="F2495" t="inlineStr">
        <is>
          <t>Kyrkan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13068-2020</t>
        </is>
      </c>
      <c r="B2496" s="1" t="n">
        <v>43900</v>
      </c>
      <c r="C2496" s="1" t="n">
        <v>45657</v>
      </c>
      <c r="D2496" t="inlineStr">
        <is>
          <t>VÄSTERNORRLANDS LÄN</t>
        </is>
      </c>
      <c r="E2496" t="inlineStr">
        <is>
          <t>SUNDSVALL</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14626-2020</t>
        </is>
      </c>
      <c r="B2497" s="1" t="n">
        <v>43901</v>
      </c>
      <c r="C2497" s="1" t="n">
        <v>45657</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13274-2020</t>
        </is>
      </c>
      <c r="B2498" s="1" t="n">
        <v>43901</v>
      </c>
      <c r="C2498" s="1" t="n">
        <v>45657</v>
      </c>
      <c r="D2498" t="inlineStr">
        <is>
          <t>VÄSTERNORRLANDS LÄN</t>
        </is>
      </c>
      <c r="E2498" t="inlineStr">
        <is>
          <t>ÖRNSKÖLDSVIK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13291-2020</t>
        </is>
      </c>
      <c r="B2499" s="1" t="n">
        <v>43901</v>
      </c>
      <c r="C2499" s="1" t="n">
        <v>45657</v>
      </c>
      <c r="D2499" t="inlineStr">
        <is>
          <t>VÄSTERNORRLANDS LÄN</t>
        </is>
      </c>
      <c r="E2499" t="inlineStr">
        <is>
          <t>SUNDSVALL</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13336-2020</t>
        </is>
      </c>
      <c r="B2500" s="1" t="n">
        <v>43902</v>
      </c>
      <c r="C2500" s="1" t="n">
        <v>45657</v>
      </c>
      <c r="D2500" t="inlineStr">
        <is>
          <t>VÄSTERNORRLANDS LÄN</t>
        </is>
      </c>
      <c r="E2500" t="inlineStr">
        <is>
          <t>ÖRNSKÖLDSVIK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13559-2020</t>
        </is>
      </c>
      <c r="B2501" s="1" t="n">
        <v>43902</v>
      </c>
      <c r="C2501" s="1" t="n">
        <v>45657</v>
      </c>
      <c r="D2501" t="inlineStr">
        <is>
          <t>VÄSTERNORRLANDS LÄN</t>
        </is>
      </c>
      <c r="E2501" t="inlineStr">
        <is>
          <t>ÅNGE</t>
        </is>
      </c>
      <c r="F2501" t="inlineStr">
        <is>
          <t>SCA</t>
        </is>
      </c>
      <c r="G2501" t="n">
        <v>24.5</v>
      </c>
      <c r="H2501" t="n">
        <v>0</v>
      </c>
      <c r="I2501" t="n">
        <v>0</v>
      </c>
      <c r="J2501" t="n">
        <v>0</v>
      </c>
      <c r="K2501" t="n">
        <v>0</v>
      </c>
      <c r="L2501" t="n">
        <v>0</v>
      </c>
      <c r="M2501" t="n">
        <v>0</v>
      </c>
      <c r="N2501" t="n">
        <v>0</v>
      </c>
      <c r="O2501" t="n">
        <v>0</v>
      </c>
      <c r="P2501" t="n">
        <v>0</v>
      </c>
      <c r="Q2501" t="n">
        <v>0</v>
      </c>
      <c r="R2501" s="2" t="inlineStr"/>
    </row>
    <row r="2502" ht="15" customHeight="1">
      <c r="A2502" t="inlineStr">
        <is>
          <t>A 13567-2020</t>
        </is>
      </c>
      <c r="B2502" s="1" t="n">
        <v>43902</v>
      </c>
      <c r="C2502" s="1" t="n">
        <v>45657</v>
      </c>
      <c r="D2502" t="inlineStr">
        <is>
          <t>VÄSTERNORRLANDS LÄN</t>
        </is>
      </c>
      <c r="E2502" t="inlineStr">
        <is>
          <t>SOLLEFTEÅ</t>
        </is>
      </c>
      <c r="F2502" t="inlineStr">
        <is>
          <t>SCA</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13577-2020</t>
        </is>
      </c>
      <c r="B2503" s="1" t="n">
        <v>43902</v>
      </c>
      <c r="C2503" s="1" t="n">
        <v>45657</v>
      </c>
      <c r="D2503" t="inlineStr">
        <is>
          <t>VÄSTERNORRLANDS LÄN</t>
        </is>
      </c>
      <c r="E2503" t="inlineStr">
        <is>
          <t>SOLLEFTEÅ</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13565-2020</t>
        </is>
      </c>
      <c r="B2504" s="1" t="n">
        <v>43902</v>
      </c>
      <c r="C2504" s="1" t="n">
        <v>45657</v>
      </c>
      <c r="D2504" t="inlineStr">
        <is>
          <t>VÄSTERNORRLANDS LÄN</t>
        </is>
      </c>
      <c r="E2504" t="inlineStr">
        <is>
          <t>SOLLEFTEÅ</t>
        </is>
      </c>
      <c r="F2504" t="inlineStr">
        <is>
          <t>SCA</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13575-2020</t>
        </is>
      </c>
      <c r="B2505" s="1" t="n">
        <v>43902</v>
      </c>
      <c r="C2505" s="1" t="n">
        <v>45657</v>
      </c>
      <c r="D2505" t="inlineStr">
        <is>
          <t>VÄSTERNORRLANDS LÄN</t>
        </is>
      </c>
      <c r="E2505" t="inlineStr">
        <is>
          <t>SOLLEFTEÅ</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13561-2020</t>
        </is>
      </c>
      <c r="B2506" s="1" t="n">
        <v>43902</v>
      </c>
      <c r="C2506" s="1" t="n">
        <v>45657</v>
      </c>
      <c r="D2506" t="inlineStr">
        <is>
          <t>VÄSTERNORRLANDS LÄN</t>
        </is>
      </c>
      <c r="E2506" t="inlineStr">
        <is>
          <t>SOLLEFTEÅ</t>
        </is>
      </c>
      <c r="F2506" t="inlineStr">
        <is>
          <t>SCA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13564-2020</t>
        </is>
      </c>
      <c r="B2507" s="1" t="n">
        <v>43902</v>
      </c>
      <c r="C2507" s="1" t="n">
        <v>45657</v>
      </c>
      <c r="D2507" t="inlineStr">
        <is>
          <t>VÄSTERNORRLANDS LÄN</t>
        </is>
      </c>
      <c r="E2507" t="inlineStr">
        <is>
          <t>SOLLEFTEÅ</t>
        </is>
      </c>
      <c r="F2507" t="inlineStr">
        <is>
          <t>SCA</t>
        </is>
      </c>
      <c r="G2507" t="n">
        <v>26.1</v>
      </c>
      <c r="H2507" t="n">
        <v>0</v>
      </c>
      <c r="I2507" t="n">
        <v>0</v>
      </c>
      <c r="J2507" t="n">
        <v>0</v>
      </c>
      <c r="K2507" t="n">
        <v>0</v>
      </c>
      <c r="L2507" t="n">
        <v>0</v>
      </c>
      <c r="M2507" t="n">
        <v>0</v>
      </c>
      <c r="N2507" t="n">
        <v>0</v>
      </c>
      <c r="O2507" t="n">
        <v>0</v>
      </c>
      <c r="P2507" t="n">
        <v>0</v>
      </c>
      <c r="Q2507" t="n">
        <v>0</v>
      </c>
      <c r="R2507" s="2" t="inlineStr"/>
    </row>
    <row r="2508" ht="15" customHeight="1">
      <c r="A2508" t="inlineStr">
        <is>
          <t>A 14716-2020</t>
        </is>
      </c>
      <c r="B2508" s="1" t="n">
        <v>43903</v>
      </c>
      <c r="C2508" s="1" t="n">
        <v>45657</v>
      </c>
      <c r="D2508" t="inlineStr">
        <is>
          <t>VÄSTERNORRLANDS LÄN</t>
        </is>
      </c>
      <c r="E2508" t="inlineStr">
        <is>
          <t>ÖRNSKÖLDSVIK</t>
        </is>
      </c>
      <c r="F2508" t="inlineStr">
        <is>
          <t>Övriga Aktiebolag</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13782-2020</t>
        </is>
      </c>
      <c r="B2509" s="1" t="n">
        <v>43903</v>
      </c>
      <c r="C2509" s="1" t="n">
        <v>45657</v>
      </c>
      <c r="D2509" t="inlineStr">
        <is>
          <t>VÄSTERNORRLANDS LÄN</t>
        </is>
      </c>
      <c r="E2509" t="inlineStr">
        <is>
          <t>TIMRÅ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13798-2020</t>
        </is>
      </c>
      <c r="B2510" s="1" t="n">
        <v>43903</v>
      </c>
      <c r="C2510" s="1" t="n">
        <v>45657</v>
      </c>
      <c r="D2510" t="inlineStr">
        <is>
          <t>VÄSTERNORRLANDS LÄN</t>
        </is>
      </c>
      <c r="E2510" t="inlineStr">
        <is>
          <t>SOLLEFTEÅ</t>
        </is>
      </c>
      <c r="F2510" t="inlineStr">
        <is>
          <t>SCA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13864-2020</t>
        </is>
      </c>
      <c r="B2511" s="1" t="n">
        <v>43906</v>
      </c>
      <c r="C2511" s="1" t="n">
        <v>45657</v>
      </c>
      <c r="D2511" t="inlineStr">
        <is>
          <t>VÄSTERNORRLANDS LÄN</t>
        </is>
      </c>
      <c r="E2511" t="inlineStr">
        <is>
          <t>SOLLEFTEÅ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14330-2020</t>
        </is>
      </c>
      <c r="B2512" s="1" t="n">
        <v>43907</v>
      </c>
      <c r="C2512" s="1" t="n">
        <v>45657</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14586-2020</t>
        </is>
      </c>
      <c r="B2513" s="1" t="n">
        <v>43908</v>
      </c>
      <c r="C2513" s="1" t="n">
        <v>45657</v>
      </c>
      <c r="D2513" t="inlineStr">
        <is>
          <t>VÄSTERNORRLANDS LÄN</t>
        </is>
      </c>
      <c r="E2513" t="inlineStr">
        <is>
          <t>ÅNGE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16374-2020</t>
        </is>
      </c>
      <c r="B2514" s="1" t="n">
        <v>43908</v>
      </c>
      <c r="C2514" s="1" t="n">
        <v>45657</v>
      </c>
      <c r="D2514" t="inlineStr">
        <is>
          <t>VÄSTERNORRLANDS LÄN</t>
        </is>
      </c>
      <c r="E2514" t="inlineStr">
        <is>
          <t>HÄRNÖSAND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16293-2020</t>
        </is>
      </c>
      <c r="B2515" s="1" t="n">
        <v>43908</v>
      </c>
      <c r="C2515" s="1" t="n">
        <v>45657</v>
      </c>
      <c r="D2515" t="inlineStr">
        <is>
          <t>VÄSTERNORRLANDS LÄN</t>
        </is>
      </c>
      <c r="E2515" t="inlineStr">
        <is>
          <t>ÖRNSKÖLDSVIK</t>
        </is>
      </c>
      <c r="G2515" t="n">
        <v>12.1</v>
      </c>
      <c r="H2515" t="n">
        <v>0</v>
      </c>
      <c r="I2515" t="n">
        <v>0</v>
      </c>
      <c r="J2515" t="n">
        <v>0</v>
      </c>
      <c r="K2515" t="n">
        <v>0</v>
      </c>
      <c r="L2515" t="n">
        <v>0</v>
      </c>
      <c r="M2515" t="n">
        <v>0</v>
      </c>
      <c r="N2515" t="n">
        <v>0</v>
      </c>
      <c r="O2515" t="n">
        <v>0</v>
      </c>
      <c r="P2515" t="n">
        <v>0</v>
      </c>
      <c r="Q2515" t="n">
        <v>0</v>
      </c>
      <c r="R2515" s="2" t="inlineStr"/>
    </row>
    <row r="2516" ht="15" customHeight="1">
      <c r="A2516" t="inlineStr">
        <is>
          <t>A 14781-2020</t>
        </is>
      </c>
      <c r="B2516" s="1" t="n">
        <v>43909</v>
      </c>
      <c r="C2516" s="1" t="n">
        <v>45657</v>
      </c>
      <c r="D2516" t="inlineStr">
        <is>
          <t>VÄSTERNORRLANDS LÄN</t>
        </is>
      </c>
      <c r="E2516" t="inlineStr">
        <is>
          <t>HÄRNÖSAND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14861-2020</t>
        </is>
      </c>
      <c r="B2517" s="1" t="n">
        <v>43909</v>
      </c>
      <c r="C2517" s="1" t="n">
        <v>45657</v>
      </c>
      <c r="D2517" t="inlineStr">
        <is>
          <t>VÄSTERNORRLANDS LÄN</t>
        </is>
      </c>
      <c r="E2517" t="inlineStr">
        <is>
          <t>KRAMFORS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14859-2020</t>
        </is>
      </c>
      <c r="B2518" s="1" t="n">
        <v>43909</v>
      </c>
      <c r="C2518" s="1" t="n">
        <v>45657</v>
      </c>
      <c r="D2518" t="inlineStr">
        <is>
          <t>VÄSTERNORRLANDS LÄN</t>
        </is>
      </c>
      <c r="E2518" t="inlineStr">
        <is>
          <t>SOLLEFTEÅ</t>
        </is>
      </c>
      <c r="F2518" t="inlineStr">
        <is>
          <t>SCA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16655-2020</t>
        </is>
      </c>
      <c r="B2519" s="1" t="n">
        <v>43909</v>
      </c>
      <c r="C2519" s="1" t="n">
        <v>45657</v>
      </c>
      <c r="D2519" t="inlineStr">
        <is>
          <t>VÄSTERNORRLANDS LÄN</t>
        </is>
      </c>
      <c r="E2519" t="inlineStr">
        <is>
          <t>ÖRNSKÖLDSVIK</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14853-2020</t>
        </is>
      </c>
      <c r="B2520" s="1" t="n">
        <v>43909</v>
      </c>
      <c r="C2520" s="1" t="n">
        <v>45657</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15098-2020</t>
        </is>
      </c>
      <c r="B2521" s="1" t="n">
        <v>43910</v>
      </c>
      <c r="C2521" s="1" t="n">
        <v>45657</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15215-2020</t>
        </is>
      </c>
      <c r="B2522" s="1" t="n">
        <v>43913</v>
      </c>
      <c r="C2522" s="1" t="n">
        <v>45657</v>
      </c>
      <c r="D2522" t="inlineStr">
        <is>
          <t>VÄSTERNORRLANDS LÄN</t>
        </is>
      </c>
      <c r="E2522" t="inlineStr">
        <is>
          <t>SUNDSVALL</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15267-2020</t>
        </is>
      </c>
      <c r="B2523" s="1" t="n">
        <v>43913</v>
      </c>
      <c r="C2523" s="1" t="n">
        <v>45657</v>
      </c>
      <c r="D2523" t="inlineStr">
        <is>
          <t>VÄSTERNORRLANDS LÄN</t>
        </is>
      </c>
      <c r="E2523" t="inlineStr">
        <is>
          <t>SUNDSVALL</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15537-2020</t>
        </is>
      </c>
      <c r="B2524" s="1" t="n">
        <v>43914</v>
      </c>
      <c r="C2524" s="1" t="n">
        <v>45657</v>
      </c>
      <c r="D2524" t="inlineStr">
        <is>
          <t>VÄSTERNORRLANDS LÄN</t>
        </is>
      </c>
      <c r="E2524" t="inlineStr">
        <is>
          <t>ÖRNSKÖLDSVIK</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15639-2020</t>
        </is>
      </c>
      <c r="B2525" s="1" t="n">
        <v>43914</v>
      </c>
      <c r="C2525" s="1" t="n">
        <v>45657</v>
      </c>
      <c r="D2525" t="inlineStr">
        <is>
          <t>VÄSTERNORRLANDS LÄN</t>
        </is>
      </c>
      <c r="E2525" t="inlineStr">
        <is>
          <t>SUNDSVALL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17101-2020</t>
        </is>
      </c>
      <c r="B2526" s="1" t="n">
        <v>43914</v>
      </c>
      <c r="C2526" s="1" t="n">
        <v>45657</v>
      </c>
      <c r="D2526" t="inlineStr">
        <is>
          <t>VÄSTERNORRLANDS LÄN</t>
        </is>
      </c>
      <c r="E2526" t="inlineStr">
        <is>
          <t>ÅNGE</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17223-2020</t>
        </is>
      </c>
      <c r="B2527" s="1" t="n">
        <v>43914</v>
      </c>
      <c r="C2527" s="1" t="n">
        <v>45657</v>
      </c>
      <c r="D2527" t="inlineStr">
        <is>
          <t>VÄSTERNORRLANDS LÄN</t>
        </is>
      </c>
      <c r="E2527" t="inlineStr">
        <is>
          <t>ÖRNSKÖLDSVIK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17098-2020</t>
        </is>
      </c>
      <c r="B2528" s="1" t="n">
        <v>43914</v>
      </c>
      <c r="C2528" s="1" t="n">
        <v>45657</v>
      </c>
      <c r="D2528" t="inlineStr">
        <is>
          <t>VÄSTERNORRLANDS LÄN</t>
        </is>
      </c>
      <c r="E2528" t="inlineStr">
        <is>
          <t>ÅNGE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17227-2020</t>
        </is>
      </c>
      <c r="B2529" s="1" t="n">
        <v>43914</v>
      </c>
      <c r="C2529" s="1" t="n">
        <v>45657</v>
      </c>
      <c r="D2529" t="inlineStr">
        <is>
          <t>VÄSTERNORRLANDS LÄN</t>
        </is>
      </c>
      <c r="E2529" t="inlineStr">
        <is>
          <t>ÖRNSKÖLDSVIK</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15631-2020</t>
        </is>
      </c>
      <c r="B2530" s="1" t="n">
        <v>43914</v>
      </c>
      <c r="C2530" s="1" t="n">
        <v>45657</v>
      </c>
      <c r="D2530" t="inlineStr">
        <is>
          <t>VÄSTERNORRLANDS LÄN</t>
        </is>
      </c>
      <c r="E2530" t="inlineStr">
        <is>
          <t>TIMRÅ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15640-2020</t>
        </is>
      </c>
      <c r="B2531" s="1" t="n">
        <v>43914</v>
      </c>
      <c r="C2531" s="1" t="n">
        <v>45657</v>
      </c>
      <c r="D2531" t="inlineStr">
        <is>
          <t>VÄSTERNORRLANDS LÄN</t>
        </is>
      </c>
      <c r="E2531" t="inlineStr">
        <is>
          <t>SUNDSVALL</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17231-2020</t>
        </is>
      </c>
      <c r="B2532" s="1" t="n">
        <v>43914</v>
      </c>
      <c r="C2532" s="1" t="n">
        <v>45657</v>
      </c>
      <c r="D2532" t="inlineStr">
        <is>
          <t>VÄSTERNORRLANDS LÄN</t>
        </is>
      </c>
      <c r="E2532" t="inlineStr">
        <is>
          <t>ÖRNSKÖLDSVIK</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15815-2020</t>
        </is>
      </c>
      <c r="B2533" s="1" t="n">
        <v>43915</v>
      </c>
      <c r="C2533" s="1" t="n">
        <v>45657</v>
      </c>
      <c r="D2533" t="inlineStr">
        <is>
          <t>VÄSTERNORRLANDS LÄN</t>
        </is>
      </c>
      <c r="E2533" t="inlineStr">
        <is>
          <t>HÄRNÖSAND</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15890-2020</t>
        </is>
      </c>
      <c r="B2534" s="1" t="n">
        <v>43915</v>
      </c>
      <c r="C2534" s="1" t="n">
        <v>45657</v>
      </c>
      <c r="D2534" t="inlineStr">
        <is>
          <t>VÄSTERNORRLANDS LÄN</t>
        </is>
      </c>
      <c r="E2534" t="inlineStr">
        <is>
          <t>SUNDSVALL</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15892-2020</t>
        </is>
      </c>
      <c r="B2535" s="1" t="n">
        <v>43915</v>
      </c>
      <c r="C2535" s="1" t="n">
        <v>45657</v>
      </c>
      <c r="D2535" t="inlineStr">
        <is>
          <t>VÄSTERNORRLANDS LÄN</t>
        </is>
      </c>
      <c r="E2535" t="inlineStr">
        <is>
          <t>SUNDSVALL</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15726-2020</t>
        </is>
      </c>
      <c r="B2536" s="1" t="n">
        <v>43915</v>
      </c>
      <c r="C2536" s="1" t="n">
        <v>45657</v>
      </c>
      <c r="D2536" t="inlineStr">
        <is>
          <t>VÄSTERNORRLANDS LÄN</t>
        </is>
      </c>
      <c r="E2536" t="inlineStr">
        <is>
          <t>SUNDSVALL</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16166-2020</t>
        </is>
      </c>
      <c r="B2537" s="1" t="n">
        <v>43916</v>
      </c>
      <c r="C2537" s="1" t="n">
        <v>45657</v>
      </c>
      <c r="D2537" t="inlineStr">
        <is>
          <t>VÄSTERNORRLANDS LÄN</t>
        </is>
      </c>
      <c r="E2537" t="inlineStr">
        <is>
          <t>SUNDSVALL</t>
        </is>
      </c>
      <c r="F2537" t="inlineStr">
        <is>
          <t>SCA</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16165-2020</t>
        </is>
      </c>
      <c r="B2538" s="1" t="n">
        <v>43916</v>
      </c>
      <c r="C2538" s="1" t="n">
        <v>45657</v>
      </c>
      <c r="D2538" t="inlineStr">
        <is>
          <t>VÄSTERNORRLANDS LÄN</t>
        </is>
      </c>
      <c r="E2538" t="inlineStr">
        <is>
          <t>SUNDSVALL</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16160-2020</t>
        </is>
      </c>
      <c r="B2539" s="1" t="n">
        <v>43916</v>
      </c>
      <c r="C2539" s="1" t="n">
        <v>45657</v>
      </c>
      <c r="D2539" t="inlineStr">
        <is>
          <t>VÄSTERNORRLANDS LÄN</t>
        </is>
      </c>
      <c r="E2539" t="inlineStr">
        <is>
          <t>KRAMFORS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16167-2020</t>
        </is>
      </c>
      <c r="B2540" s="1" t="n">
        <v>43916</v>
      </c>
      <c r="C2540" s="1" t="n">
        <v>45657</v>
      </c>
      <c r="D2540" t="inlineStr">
        <is>
          <t>VÄSTERNORRLANDS LÄN</t>
        </is>
      </c>
      <c r="E2540" t="inlineStr">
        <is>
          <t>SUNDSVALL</t>
        </is>
      </c>
      <c r="F2540" t="inlineStr">
        <is>
          <t>SCA</t>
        </is>
      </c>
      <c r="G2540" t="n">
        <v>24.1</v>
      </c>
      <c r="H2540" t="n">
        <v>0</v>
      </c>
      <c r="I2540" t="n">
        <v>0</v>
      </c>
      <c r="J2540" t="n">
        <v>0</v>
      </c>
      <c r="K2540" t="n">
        <v>0</v>
      </c>
      <c r="L2540" t="n">
        <v>0</v>
      </c>
      <c r="M2540" t="n">
        <v>0</v>
      </c>
      <c r="N2540" t="n">
        <v>0</v>
      </c>
      <c r="O2540" t="n">
        <v>0</v>
      </c>
      <c r="P2540" t="n">
        <v>0</v>
      </c>
      <c r="Q2540" t="n">
        <v>0</v>
      </c>
      <c r="R2540" s="2" t="inlineStr"/>
    </row>
    <row r="2541" ht="15" customHeight="1">
      <c r="A2541" t="inlineStr">
        <is>
          <t>A 17370-2020</t>
        </is>
      </c>
      <c r="B2541" s="1" t="n">
        <v>43916</v>
      </c>
      <c r="C2541" s="1" t="n">
        <v>45657</v>
      </c>
      <c r="D2541" t="inlineStr">
        <is>
          <t>VÄSTERNORRLANDS LÄN</t>
        </is>
      </c>
      <c r="E2541" t="inlineStr">
        <is>
          <t>HÄRNÖSAND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16197-2020</t>
        </is>
      </c>
      <c r="B2542" s="1" t="n">
        <v>43917</v>
      </c>
      <c r="C2542" s="1" t="n">
        <v>45657</v>
      </c>
      <c r="D2542" t="inlineStr">
        <is>
          <t>VÄSTERNORRLANDS LÄN</t>
        </is>
      </c>
      <c r="E2542" t="inlineStr">
        <is>
          <t>ÖRNSKÖLDSVIK</t>
        </is>
      </c>
      <c r="G2542" t="n">
        <v>15.1</v>
      </c>
      <c r="H2542" t="n">
        <v>0</v>
      </c>
      <c r="I2542" t="n">
        <v>0</v>
      </c>
      <c r="J2542" t="n">
        <v>0</v>
      </c>
      <c r="K2542" t="n">
        <v>0</v>
      </c>
      <c r="L2542" t="n">
        <v>0</v>
      </c>
      <c r="M2542" t="n">
        <v>0</v>
      </c>
      <c r="N2542" t="n">
        <v>0</v>
      </c>
      <c r="O2542" t="n">
        <v>0</v>
      </c>
      <c r="P2542" t="n">
        <v>0</v>
      </c>
      <c r="Q2542" t="n">
        <v>0</v>
      </c>
      <c r="R2542" s="2" t="inlineStr"/>
    </row>
    <row r="2543" ht="15" customHeight="1">
      <c r="A2543" t="inlineStr">
        <is>
          <t>A 16371-2020</t>
        </is>
      </c>
      <c r="B2543" s="1" t="n">
        <v>43917</v>
      </c>
      <c r="C2543" s="1" t="n">
        <v>45657</v>
      </c>
      <c r="D2543" t="inlineStr">
        <is>
          <t>VÄSTERNORRLANDS LÄN</t>
        </is>
      </c>
      <c r="E2543" t="inlineStr">
        <is>
          <t>ÖRNSKÖLDSVIK</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16568-2020</t>
        </is>
      </c>
      <c r="B2544" s="1" t="n">
        <v>43920</v>
      </c>
      <c r="C2544" s="1" t="n">
        <v>45657</v>
      </c>
      <c r="D2544" t="inlineStr">
        <is>
          <t>VÄSTERNORRLANDS LÄN</t>
        </is>
      </c>
      <c r="E2544" t="inlineStr">
        <is>
          <t>ÖRNSKÖLDSVIK</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16522-2020</t>
        </is>
      </c>
      <c r="B2545" s="1" t="n">
        <v>43920</v>
      </c>
      <c r="C2545" s="1" t="n">
        <v>45657</v>
      </c>
      <c r="D2545" t="inlineStr">
        <is>
          <t>VÄSTERNORRLANDS LÄN</t>
        </is>
      </c>
      <c r="E2545" t="inlineStr">
        <is>
          <t>ÖRNSKÖLDSVIK</t>
        </is>
      </c>
      <c r="F2545" t="inlineStr">
        <is>
          <t>Holmen skog AB</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17007-2020</t>
        </is>
      </c>
      <c r="B2546" s="1" t="n">
        <v>43921</v>
      </c>
      <c r="C2546" s="1" t="n">
        <v>45657</v>
      </c>
      <c r="D2546" t="inlineStr">
        <is>
          <t>VÄSTERNORRLANDS LÄN</t>
        </is>
      </c>
      <c r="E2546" t="inlineStr">
        <is>
          <t>ÅNGE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16796-2020</t>
        </is>
      </c>
      <c r="B2547" s="1" t="n">
        <v>43921</v>
      </c>
      <c r="C2547" s="1" t="n">
        <v>45657</v>
      </c>
      <c r="D2547" t="inlineStr">
        <is>
          <t>VÄSTERNORRLANDS LÄN</t>
        </is>
      </c>
      <c r="E2547" t="inlineStr">
        <is>
          <t>ÖRNSKÖLDSVIK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16947-2020</t>
        </is>
      </c>
      <c r="B2548" s="1" t="n">
        <v>43921</v>
      </c>
      <c r="C2548" s="1" t="n">
        <v>45657</v>
      </c>
      <c r="D2548" t="inlineStr">
        <is>
          <t>VÄSTERNORRLANDS LÄN</t>
        </is>
      </c>
      <c r="E2548" t="inlineStr">
        <is>
          <t>SUNDSVALL</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17069-2020</t>
        </is>
      </c>
      <c r="B2549" s="1" t="n">
        <v>43921</v>
      </c>
      <c r="C2549" s="1" t="n">
        <v>45657</v>
      </c>
      <c r="D2549" t="inlineStr">
        <is>
          <t>VÄSTERNORRLANDS LÄN</t>
        </is>
      </c>
      <c r="E2549" t="inlineStr">
        <is>
          <t>ÅNGE</t>
        </is>
      </c>
      <c r="F2549" t="inlineStr">
        <is>
          <t>SCA</t>
        </is>
      </c>
      <c r="G2549" t="n">
        <v>10.1</v>
      </c>
      <c r="H2549" t="n">
        <v>0</v>
      </c>
      <c r="I2549" t="n">
        <v>0</v>
      </c>
      <c r="J2549" t="n">
        <v>0</v>
      </c>
      <c r="K2549" t="n">
        <v>0</v>
      </c>
      <c r="L2549" t="n">
        <v>0</v>
      </c>
      <c r="M2549" t="n">
        <v>0</v>
      </c>
      <c r="N2549" t="n">
        <v>0</v>
      </c>
      <c r="O2549" t="n">
        <v>0</v>
      </c>
      <c r="P2549" t="n">
        <v>0</v>
      </c>
      <c r="Q2549" t="n">
        <v>0</v>
      </c>
      <c r="R2549" s="2" t="inlineStr"/>
    </row>
    <row r="2550" ht="15" customHeight="1">
      <c r="A2550" t="inlineStr">
        <is>
          <t>A 17620-2020</t>
        </is>
      </c>
      <c r="B2550" s="1" t="n">
        <v>43921</v>
      </c>
      <c r="C2550" s="1" t="n">
        <v>45657</v>
      </c>
      <c r="D2550" t="inlineStr">
        <is>
          <t>VÄSTERNORRLANDS LÄN</t>
        </is>
      </c>
      <c r="E2550" t="inlineStr">
        <is>
          <t>ÖRNSKÖLDSVIK</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17691-2020</t>
        </is>
      </c>
      <c r="B2551" s="1" t="n">
        <v>43923</v>
      </c>
      <c r="C2551" s="1" t="n">
        <v>45657</v>
      </c>
      <c r="D2551" t="inlineStr">
        <is>
          <t>VÄSTERNORRLANDS LÄN</t>
        </is>
      </c>
      <c r="E2551" t="inlineStr">
        <is>
          <t>SUNDSVALL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17822-2020</t>
        </is>
      </c>
      <c r="B2552" s="1" t="n">
        <v>43924</v>
      </c>
      <c r="C2552" s="1" t="n">
        <v>45657</v>
      </c>
      <c r="D2552" t="inlineStr">
        <is>
          <t>VÄSTERNORRLANDS LÄN</t>
        </is>
      </c>
      <c r="E2552" t="inlineStr">
        <is>
          <t>TIMRÅ</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17859-2020</t>
        </is>
      </c>
      <c r="B2553" s="1" t="n">
        <v>43924</v>
      </c>
      <c r="C2553" s="1" t="n">
        <v>45657</v>
      </c>
      <c r="D2553" t="inlineStr">
        <is>
          <t>VÄSTERNORRLANDS LÄN</t>
        </is>
      </c>
      <c r="E2553" t="inlineStr">
        <is>
          <t>ÖRNSKÖLDSVIK</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18174-2020</t>
        </is>
      </c>
      <c r="B2554" s="1" t="n">
        <v>43924</v>
      </c>
      <c r="C2554" s="1" t="n">
        <v>45657</v>
      </c>
      <c r="D2554" t="inlineStr">
        <is>
          <t>VÄSTERNORRLANDS LÄN</t>
        </is>
      </c>
      <c r="E2554" t="inlineStr">
        <is>
          <t>HÄRNÖSAND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18107-2020</t>
        </is>
      </c>
      <c r="B2555" s="1" t="n">
        <v>43927</v>
      </c>
      <c r="C2555" s="1" t="n">
        <v>45657</v>
      </c>
      <c r="D2555" t="inlineStr">
        <is>
          <t>VÄSTERNORRLANDS LÄN</t>
        </is>
      </c>
      <c r="E2555" t="inlineStr">
        <is>
          <t>TIMRÅ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18515-2020</t>
        </is>
      </c>
      <c r="B2556" s="1" t="n">
        <v>43927</v>
      </c>
      <c r="C2556" s="1" t="n">
        <v>45657</v>
      </c>
      <c r="D2556" t="inlineStr">
        <is>
          <t>VÄSTERNORRLANDS LÄN</t>
        </is>
      </c>
      <c r="E2556" t="inlineStr">
        <is>
          <t>SOLLEFTEÅ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18207-2020</t>
        </is>
      </c>
      <c r="B2557" s="1" t="n">
        <v>43927</v>
      </c>
      <c r="C2557" s="1" t="n">
        <v>45657</v>
      </c>
      <c r="D2557" t="inlineStr">
        <is>
          <t>VÄSTERNORRLANDS LÄN</t>
        </is>
      </c>
      <c r="E2557" t="inlineStr">
        <is>
          <t>HÄRNÖSAND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18211-2020</t>
        </is>
      </c>
      <c r="B2558" s="1" t="n">
        <v>43927</v>
      </c>
      <c r="C2558" s="1" t="n">
        <v>45657</v>
      </c>
      <c r="D2558" t="inlineStr">
        <is>
          <t>VÄSTERNORRLANDS LÄN</t>
        </is>
      </c>
      <c r="E2558" t="inlineStr">
        <is>
          <t>TIMRÅ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18208-2020</t>
        </is>
      </c>
      <c r="B2559" s="1" t="n">
        <v>43927</v>
      </c>
      <c r="C2559" s="1" t="n">
        <v>45657</v>
      </c>
      <c r="D2559" t="inlineStr">
        <is>
          <t>VÄSTERNORRLANDS LÄN</t>
        </is>
      </c>
      <c r="E2559" t="inlineStr">
        <is>
          <t>TIMRÅ</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18402-2020</t>
        </is>
      </c>
      <c r="B2560" s="1" t="n">
        <v>43928</v>
      </c>
      <c r="C2560" s="1" t="n">
        <v>45657</v>
      </c>
      <c r="D2560" t="inlineStr">
        <is>
          <t>VÄSTERNORRLANDS LÄN</t>
        </is>
      </c>
      <c r="E2560" t="inlineStr">
        <is>
          <t>SOLLEFTEÅ</t>
        </is>
      </c>
      <c r="F2560" t="inlineStr">
        <is>
          <t>Kyrkan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18627-2020</t>
        </is>
      </c>
      <c r="B2561" s="1" t="n">
        <v>43928</v>
      </c>
      <c r="C2561" s="1" t="n">
        <v>45657</v>
      </c>
      <c r="D2561" t="inlineStr">
        <is>
          <t>VÄSTERNORRLANDS LÄN</t>
        </is>
      </c>
      <c r="E2561" t="inlineStr">
        <is>
          <t>ÖRNSKÖLDSVIK</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18628-2020</t>
        </is>
      </c>
      <c r="B2562" s="1" t="n">
        <v>43928</v>
      </c>
      <c r="C2562" s="1" t="n">
        <v>45657</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18941-2020</t>
        </is>
      </c>
      <c r="B2563" s="1" t="n">
        <v>43935</v>
      </c>
      <c r="C2563" s="1" t="n">
        <v>45657</v>
      </c>
      <c r="D2563" t="inlineStr">
        <is>
          <t>VÄSTERNORRLANDS LÄN</t>
        </is>
      </c>
      <c r="E2563" t="inlineStr">
        <is>
          <t>ÖRNSKÖLDSVIK</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18977-2020</t>
        </is>
      </c>
      <c r="B2564" s="1" t="n">
        <v>43935</v>
      </c>
      <c r="C2564" s="1" t="n">
        <v>45657</v>
      </c>
      <c r="D2564" t="inlineStr">
        <is>
          <t>VÄSTERNORRLANDS LÄN</t>
        </is>
      </c>
      <c r="E2564" t="inlineStr">
        <is>
          <t>ÖRNSKÖLDSVIK</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19000-2020</t>
        </is>
      </c>
      <c r="B2565" s="1" t="n">
        <v>43935</v>
      </c>
      <c r="C2565" s="1" t="n">
        <v>45657</v>
      </c>
      <c r="D2565" t="inlineStr">
        <is>
          <t>VÄSTERNORRLANDS LÄN</t>
        </is>
      </c>
      <c r="E2565" t="inlineStr">
        <is>
          <t>KRAMFORS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19025-2020</t>
        </is>
      </c>
      <c r="B2566" s="1" t="n">
        <v>43936</v>
      </c>
      <c r="C2566" s="1" t="n">
        <v>45657</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19034-2020</t>
        </is>
      </c>
      <c r="B2567" s="1" t="n">
        <v>43936</v>
      </c>
      <c r="C2567" s="1" t="n">
        <v>45657</v>
      </c>
      <c r="D2567" t="inlineStr">
        <is>
          <t>VÄSTERNORRLANDS LÄN</t>
        </is>
      </c>
      <c r="E2567" t="inlineStr">
        <is>
          <t>SUNDSVALL</t>
        </is>
      </c>
      <c r="F2567" t="inlineStr">
        <is>
          <t>Kommuner</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19074-2020</t>
        </is>
      </c>
      <c r="B2568" s="1" t="n">
        <v>43936</v>
      </c>
      <c r="C2568" s="1" t="n">
        <v>45657</v>
      </c>
      <c r="D2568" t="inlineStr">
        <is>
          <t>VÄSTERNORRLANDS LÄN</t>
        </is>
      </c>
      <c r="E2568" t="inlineStr">
        <is>
          <t>SUNDSVALL</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19164-2020</t>
        </is>
      </c>
      <c r="B2569" s="1" t="n">
        <v>43936</v>
      </c>
      <c r="C2569" s="1" t="n">
        <v>45657</v>
      </c>
      <c r="D2569" t="inlineStr">
        <is>
          <t>VÄSTERNORRLANDS LÄN</t>
        </is>
      </c>
      <c r="E2569" t="inlineStr">
        <is>
          <t>KRAMFORS</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19125-2020</t>
        </is>
      </c>
      <c r="B2570" s="1" t="n">
        <v>43936</v>
      </c>
      <c r="C2570" s="1" t="n">
        <v>45657</v>
      </c>
      <c r="D2570" t="inlineStr">
        <is>
          <t>VÄSTERNORRLANDS LÄN</t>
        </is>
      </c>
      <c r="E2570" t="inlineStr">
        <is>
          <t>ÅNGE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19708-2020</t>
        </is>
      </c>
      <c r="B2571" s="1" t="n">
        <v>43937</v>
      </c>
      <c r="C2571" s="1" t="n">
        <v>45657</v>
      </c>
      <c r="D2571" t="inlineStr">
        <is>
          <t>VÄSTERNORRLANDS LÄN</t>
        </is>
      </c>
      <c r="E2571" t="inlineStr">
        <is>
          <t>KRAMFORS</t>
        </is>
      </c>
      <c r="F2571" t="inlineStr">
        <is>
          <t>Kyrkan</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19769-2020</t>
        </is>
      </c>
      <c r="B2572" s="1" t="n">
        <v>43937</v>
      </c>
      <c r="C2572" s="1" t="n">
        <v>45657</v>
      </c>
      <c r="D2572" t="inlineStr">
        <is>
          <t>VÄSTERNORRLANDS LÄN</t>
        </is>
      </c>
      <c r="E2572" t="inlineStr">
        <is>
          <t>TIMRÅ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19792-2020</t>
        </is>
      </c>
      <c r="B2573" s="1" t="n">
        <v>43937</v>
      </c>
      <c r="C2573" s="1" t="n">
        <v>45657</v>
      </c>
      <c r="D2573" t="inlineStr">
        <is>
          <t>VÄSTERNORRLANDS LÄN</t>
        </is>
      </c>
      <c r="E2573" t="inlineStr">
        <is>
          <t>TIMRÅ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19311-2020</t>
        </is>
      </c>
      <c r="B2574" s="1" t="n">
        <v>43937</v>
      </c>
      <c r="C2574" s="1" t="n">
        <v>45657</v>
      </c>
      <c r="D2574" t="inlineStr">
        <is>
          <t>VÄSTERNORRLANDS LÄN</t>
        </is>
      </c>
      <c r="E2574" t="inlineStr">
        <is>
          <t>TIMRÅ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19764-2020</t>
        </is>
      </c>
      <c r="B2575" s="1" t="n">
        <v>43937</v>
      </c>
      <c r="C2575" s="1" t="n">
        <v>45657</v>
      </c>
      <c r="D2575" t="inlineStr">
        <is>
          <t>VÄSTERNORRLANDS LÄN</t>
        </is>
      </c>
      <c r="E2575" t="inlineStr">
        <is>
          <t>TIMRÅ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19785-2020</t>
        </is>
      </c>
      <c r="B2576" s="1" t="n">
        <v>43937</v>
      </c>
      <c r="C2576" s="1" t="n">
        <v>45657</v>
      </c>
      <c r="D2576" t="inlineStr">
        <is>
          <t>VÄSTERNORRLANDS LÄN</t>
        </is>
      </c>
      <c r="E2576" t="inlineStr">
        <is>
          <t>TIMRÅ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19796-2020</t>
        </is>
      </c>
      <c r="B2577" s="1" t="n">
        <v>43937</v>
      </c>
      <c r="C2577" s="1" t="n">
        <v>45657</v>
      </c>
      <c r="D2577" t="inlineStr">
        <is>
          <t>VÄSTERNORRLANDS LÄN</t>
        </is>
      </c>
      <c r="E2577" t="inlineStr">
        <is>
          <t>TIMRÅ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19809-2020</t>
        </is>
      </c>
      <c r="B2578" s="1" t="n">
        <v>43937</v>
      </c>
      <c r="C2578" s="1" t="n">
        <v>45657</v>
      </c>
      <c r="D2578" t="inlineStr">
        <is>
          <t>VÄSTERNORRLANDS LÄN</t>
        </is>
      </c>
      <c r="E2578" t="inlineStr">
        <is>
          <t>TIMRÅ</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19761-2020</t>
        </is>
      </c>
      <c r="B2579" s="1" t="n">
        <v>43937</v>
      </c>
      <c r="C2579" s="1" t="n">
        <v>45657</v>
      </c>
      <c r="D2579" t="inlineStr">
        <is>
          <t>VÄSTERNORRLANDS LÄN</t>
        </is>
      </c>
      <c r="E2579" t="inlineStr">
        <is>
          <t>TIMRÅ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19774-2020</t>
        </is>
      </c>
      <c r="B2580" s="1" t="n">
        <v>43937</v>
      </c>
      <c r="C2580" s="1" t="n">
        <v>45657</v>
      </c>
      <c r="D2580" t="inlineStr">
        <is>
          <t>VÄSTERNORRLANDS LÄN</t>
        </is>
      </c>
      <c r="E2580" t="inlineStr">
        <is>
          <t>TIMRÅ</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19794-2020</t>
        </is>
      </c>
      <c r="B2581" s="1" t="n">
        <v>43937</v>
      </c>
      <c r="C2581" s="1" t="n">
        <v>45657</v>
      </c>
      <c r="D2581" t="inlineStr">
        <is>
          <t>VÄSTERNORRLANDS LÄN</t>
        </is>
      </c>
      <c r="E2581" t="inlineStr">
        <is>
          <t>TIMRÅ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19807-2020</t>
        </is>
      </c>
      <c r="B2582" s="1" t="n">
        <v>43937</v>
      </c>
      <c r="C2582" s="1" t="n">
        <v>45657</v>
      </c>
      <c r="D2582" t="inlineStr">
        <is>
          <t>VÄSTERNORRLANDS LÄN</t>
        </is>
      </c>
      <c r="E2582" t="inlineStr">
        <is>
          <t>TIMRÅ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19765-2020</t>
        </is>
      </c>
      <c r="B2583" s="1" t="n">
        <v>43937</v>
      </c>
      <c r="C2583" s="1" t="n">
        <v>45657</v>
      </c>
      <c r="D2583" t="inlineStr">
        <is>
          <t>VÄSTERNORRLANDS LÄN</t>
        </is>
      </c>
      <c r="E2583" t="inlineStr">
        <is>
          <t>TIMRÅ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19789-2020</t>
        </is>
      </c>
      <c r="B2584" s="1" t="n">
        <v>43937</v>
      </c>
      <c r="C2584" s="1" t="n">
        <v>45657</v>
      </c>
      <c r="D2584" t="inlineStr">
        <is>
          <t>VÄSTERNORRLANDS LÄN</t>
        </is>
      </c>
      <c r="E2584" t="inlineStr">
        <is>
          <t>TIMRÅ</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19533-2020</t>
        </is>
      </c>
      <c r="B2585" s="1" t="n">
        <v>43938</v>
      </c>
      <c r="C2585" s="1" t="n">
        <v>45657</v>
      </c>
      <c r="D2585" t="inlineStr">
        <is>
          <t>VÄSTERNORRLANDS LÄN</t>
        </is>
      </c>
      <c r="E2585" t="inlineStr">
        <is>
          <t>ÖRNSKÖLDSVIK</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19727-2020</t>
        </is>
      </c>
      <c r="B2586" s="1" t="n">
        <v>43942</v>
      </c>
      <c r="C2586" s="1" t="n">
        <v>45657</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19619-2020</t>
        </is>
      </c>
      <c r="B2587" s="1" t="n">
        <v>43941</v>
      </c>
      <c r="C2587" s="1" t="n">
        <v>45657</v>
      </c>
      <c r="D2587" t="inlineStr">
        <is>
          <t>VÄSTERNORRLANDS LÄN</t>
        </is>
      </c>
      <c r="E2587" t="inlineStr">
        <is>
          <t>ÅNGE</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19726-2020</t>
        </is>
      </c>
      <c r="B2588" s="1" t="n">
        <v>43941</v>
      </c>
      <c r="C2588" s="1" t="n">
        <v>45657</v>
      </c>
      <c r="D2588" t="inlineStr">
        <is>
          <t>VÄSTERNORRLANDS LÄN</t>
        </is>
      </c>
      <c r="E2588" t="inlineStr">
        <is>
          <t>SUNDSVALL</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19724-2020</t>
        </is>
      </c>
      <c r="B2589" s="1" t="n">
        <v>43941</v>
      </c>
      <c r="C2589" s="1" t="n">
        <v>45657</v>
      </c>
      <c r="D2589" t="inlineStr">
        <is>
          <t>VÄSTERNORRLANDS LÄN</t>
        </is>
      </c>
      <c r="E2589" t="inlineStr">
        <is>
          <t>SUNDSVALL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20079-2020</t>
        </is>
      </c>
      <c r="B2590" s="1" t="n">
        <v>43943</v>
      </c>
      <c r="C2590" s="1" t="n">
        <v>45657</v>
      </c>
      <c r="D2590" t="inlineStr">
        <is>
          <t>VÄSTERNORRLANDS LÄN</t>
        </is>
      </c>
      <c r="E2590" t="inlineStr">
        <is>
          <t>ÅNGE</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20082-2020</t>
        </is>
      </c>
      <c r="B2591" s="1" t="n">
        <v>43943</v>
      </c>
      <c r="C2591" s="1" t="n">
        <v>45657</v>
      </c>
      <c r="D2591" t="inlineStr">
        <is>
          <t>VÄSTERNORRLANDS LÄN</t>
        </is>
      </c>
      <c r="E2591" t="inlineStr">
        <is>
          <t>SUNDSVALL</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20090-2020</t>
        </is>
      </c>
      <c r="B2592" s="1" t="n">
        <v>43943</v>
      </c>
      <c r="C2592" s="1" t="n">
        <v>45657</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20181-2020</t>
        </is>
      </c>
      <c r="B2593" s="1" t="n">
        <v>43944</v>
      </c>
      <c r="C2593" s="1" t="n">
        <v>45657</v>
      </c>
      <c r="D2593" t="inlineStr">
        <is>
          <t>VÄSTERNORRLANDS LÄN</t>
        </is>
      </c>
      <c r="E2593" t="inlineStr">
        <is>
          <t>HÄRNÖSAND</t>
        </is>
      </c>
      <c r="F2593" t="inlineStr">
        <is>
          <t>Kyrkan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20211-2020</t>
        </is>
      </c>
      <c r="B2594" s="1" t="n">
        <v>43944</v>
      </c>
      <c r="C2594" s="1" t="n">
        <v>45657</v>
      </c>
      <c r="D2594" t="inlineStr">
        <is>
          <t>VÄSTERNORRLANDS LÄN</t>
        </is>
      </c>
      <c r="E2594" t="inlineStr">
        <is>
          <t>ÅNGE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20192-2020</t>
        </is>
      </c>
      <c r="B2595" s="1" t="n">
        <v>43944</v>
      </c>
      <c r="C2595" s="1" t="n">
        <v>45657</v>
      </c>
      <c r="D2595" t="inlineStr">
        <is>
          <t>VÄSTERNORRLANDS LÄN</t>
        </is>
      </c>
      <c r="E2595" t="inlineStr">
        <is>
          <t>ÅNGE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20164-2020</t>
        </is>
      </c>
      <c r="B2596" s="1" t="n">
        <v>43944</v>
      </c>
      <c r="C2596" s="1" t="n">
        <v>45657</v>
      </c>
      <c r="D2596" t="inlineStr">
        <is>
          <t>VÄSTERNORRLANDS LÄN</t>
        </is>
      </c>
      <c r="E2596" t="inlineStr">
        <is>
          <t>SOLLEFTEÅ</t>
        </is>
      </c>
      <c r="F2596" t="inlineStr">
        <is>
          <t>Holmen skog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20467-2020</t>
        </is>
      </c>
      <c r="B2597" s="1" t="n">
        <v>43944</v>
      </c>
      <c r="C2597" s="1" t="n">
        <v>45657</v>
      </c>
      <c r="D2597" t="inlineStr">
        <is>
          <t>VÄSTERNORRLANDS LÄN</t>
        </is>
      </c>
      <c r="E2597" t="inlineStr">
        <is>
          <t>ÖRNSKÖLDSVIK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20419-2020</t>
        </is>
      </c>
      <c r="B2598" s="1" t="n">
        <v>43945</v>
      </c>
      <c r="C2598" s="1" t="n">
        <v>45657</v>
      </c>
      <c r="D2598" t="inlineStr">
        <is>
          <t>VÄSTERNORRLANDS LÄN</t>
        </is>
      </c>
      <c r="E2598" t="inlineStr">
        <is>
          <t>SOLLEFTEÅ</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20849-2020</t>
        </is>
      </c>
      <c r="B2599" s="1" t="n">
        <v>43945</v>
      </c>
      <c r="C2599" s="1" t="n">
        <v>45657</v>
      </c>
      <c r="D2599" t="inlineStr">
        <is>
          <t>VÄSTERNORRLANDS LÄN</t>
        </is>
      </c>
      <c r="E2599" t="inlineStr">
        <is>
          <t>ÖRNSKÖLDSVIK</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20314-2020</t>
        </is>
      </c>
      <c r="B2600" s="1" t="n">
        <v>43945</v>
      </c>
      <c r="C2600" s="1" t="n">
        <v>45657</v>
      </c>
      <c r="D2600" t="inlineStr">
        <is>
          <t>VÄSTERNORRLANDS LÄN</t>
        </is>
      </c>
      <c r="E2600" t="inlineStr">
        <is>
          <t>ÖRNSKÖLDSVIK</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20861-2020</t>
        </is>
      </c>
      <c r="B2601" s="1" t="n">
        <v>43948</v>
      </c>
      <c r="C2601" s="1" t="n">
        <v>45657</v>
      </c>
      <c r="D2601" t="inlineStr">
        <is>
          <t>VÄSTERNORRLANDS LÄN</t>
        </is>
      </c>
      <c r="E2601" t="inlineStr">
        <is>
          <t>SOLLEFTEÅ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20623-2020</t>
        </is>
      </c>
      <c r="B2602" s="1" t="n">
        <v>43948</v>
      </c>
      <c r="C2602" s="1" t="n">
        <v>45657</v>
      </c>
      <c r="D2602" t="inlineStr">
        <is>
          <t>VÄSTERNORRLANDS LÄN</t>
        </is>
      </c>
      <c r="E2602" t="inlineStr">
        <is>
          <t>SUNDSVALL</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20669-2020</t>
        </is>
      </c>
      <c r="B2603" s="1" t="n">
        <v>43949</v>
      </c>
      <c r="C2603" s="1" t="n">
        <v>45657</v>
      </c>
      <c r="D2603" t="inlineStr">
        <is>
          <t>VÄSTERNORRLANDS LÄN</t>
        </is>
      </c>
      <c r="E2603" t="inlineStr">
        <is>
          <t>ÖRNSKÖLDSVIK</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20820-2020</t>
        </is>
      </c>
      <c r="B2604" s="1" t="n">
        <v>43949</v>
      </c>
      <c r="C2604" s="1" t="n">
        <v>45657</v>
      </c>
      <c r="D2604" t="inlineStr">
        <is>
          <t>VÄSTERNORRLANDS LÄN</t>
        </is>
      </c>
      <c r="E2604" t="inlineStr">
        <is>
          <t>ÅNGE</t>
        </is>
      </c>
      <c r="F2604" t="inlineStr">
        <is>
          <t>SCA</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21021-2020</t>
        </is>
      </c>
      <c r="B2605" s="1" t="n">
        <v>43950</v>
      </c>
      <c r="C2605" s="1" t="n">
        <v>45657</v>
      </c>
      <c r="D2605" t="inlineStr">
        <is>
          <t>VÄSTERNORRLANDS LÄN</t>
        </is>
      </c>
      <c r="E2605" t="inlineStr">
        <is>
          <t>KRAMFORS</t>
        </is>
      </c>
      <c r="F2605" t="inlineStr">
        <is>
          <t>SCA</t>
        </is>
      </c>
      <c r="G2605" t="n">
        <v>9.300000000000001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21022-2020</t>
        </is>
      </c>
      <c r="B2606" s="1" t="n">
        <v>43950</v>
      </c>
      <c r="C2606" s="1" t="n">
        <v>45657</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21097-2020</t>
        </is>
      </c>
      <c r="B2607" s="1" t="n">
        <v>43950</v>
      </c>
      <c r="C2607" s="1" t="n">
        <v>45657</v>
      </c>
      <c r="D2607" t="inlineStr">
        <is>
          <t>VÄSTERNORRLANDS LÄN</t>
        </is>
      </c>
      <c r="E2607" t="inlineStr">
        <is>
          <t>SOLLEFTEÅ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21020-2020</t>
        </is>
      </c>
      <c r="B2608" s="1" t="n">
        <v>43950</v>
      </c>
      <c r="C2608" s="1" t="n">
        <v>45657</v>
      </c>
      <c r="D2608" t="inlineStr">
        <is>
          <t>VÄSTERNORRLANDS LÄN</t>
        </is>
      </c>
      <c r="E2608" t="inlineStr">
        <is>
          <t>SOLLEFTEÅ</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21048-2020</t>
        </is>
      </c>
      <c r="B2609" s="1" t="n">
        <v>43951</v>
      </c>
      <c r="C2609" s="1" t="n">
        <v>45657</v>
      </c>
      <c r="D2609" t="inlineStr">
        <is>
          <t>VÄSTERNORRLANDS LÄN</t>
        </is>
      </c>
      <c r="E2609" t="inlineStr">
        <is>
          <t>HÄRNÖSAND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21210-2020</t>
        </is>
      </c>
      <c r="B2610" s="1" t="n">
        <v>43951</v>
      </c>
      <c r="C2610" s="1" t="n">
        <v>45657</v>
      </c>
      <c r="D2610" t="inlineStr">
        <is>
          <t>VÄSTERNORRLANDS LÄN</t>
        </is>
      </c>
      <c r="E2610" t="inlineStr">
        <is>
          <t>TIMRÅ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21102-2020</t>
        </is>
      </c>
      <c r="B2611" s="1" t="n">
        <v>43951</v>
      </c>
      <c r="C2611" s="1" t="n">
        <v>45657</v>
      </c>
      <c r="D2611" t="inlineStr">
        <is>
          <t>VÄSTERNORRLANDS LÄN</t>
        </is>
      </c>
      <c r="E2611" t="inlineStr">
        <is>
          <t>HÄRNÖSAND</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21199-2020</t>
        </is>
      </c>
      <c r="B2612" s="1" t="n">
        <v>43951</v>
      </c>
      <c r="C2612" s="1" t="n">
        <v>45657</v>
      </c>
      <c r="D2612" t="inlineStr">
        <is>
          <t>VÄSTERNORRLANDS LÄN</t>
        </is>
      </c>
      <c r="E2612" t="inlineStr">
        <is>
          <t>ÖRNSKÖLDSVIK</t>
        </is>
      </c>
      <c r="F2612" t="inlineStr">
        <is>
          <t>Holmen skog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21207-2020</t>
        </is>
      </c>
      <c r="B2613" s="1" t="n">
        <v>43951</v>
      </c>
      <c r="C2613" s="1" t="n">
        <v>45657</v>
      </c>
      <c r="D2613" t="inlineStr">
        <is>
          <t>VÄSTERNORRLANDS LÄN</t>
        </is>
      </c>
      <c r="E2613" t="inlineStr">
        <is>
          <t>ÅNGE</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21503-2020</t>
        </is>
      </c>
      <c r="B2614" s="1" t="n">
        <v>43951</v>
      </c>
      <c r="C2614" s="1" t="n">
        <v>45657</v>
      </c>
      <c r="D2614" t="inlineStr">
        <is>
          <t>VÄSTERNORRLANDS LÄN</t>
        </is>
      </c>
      <c r="E2614" t="inlineStr">
        <is>
          <t>HÄRNÖSAND</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21501-2020</t>
        </is>
      </c>
      <c r="B2615" s="1" t="n">
        <v>43951</v>
      </c>
      <c r="C2615" s="1" t="n">
        <v>45657</v>
      </c>
      <c r="D2615" t="inlineStr">
        <is>
          <t>VÄSTERNORRLANDS LÄN</t>
        </is>
      </c>
      <c r="E2615" t="inlineStr">
        <is>
          <t>HÄRNÖSAND</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22168-2020</t>
        </is>
      </c>
      <c r="B2616" s="1" t="n">
        <v>43955</v>
      </c>
      <c r="C2616" s="1" t="n">
        <v>45657</v>
      </c>
      <c r="D2616" t="inlineStr">
        <is>
          <t>VÄSTERNORRLANDS LÄN</t>
        </is>
      </c>
      <c r="E2616" t="inlineStr">
        <is>
          <t>ÖRNSKÖLDSVIK</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21488-2020</t>
        </is>
      </c>
      <c r="B2617" s="1" t="n">
        <v>43955</v>
      </c>
      <c r="C2617" s="1" t="n">
        <v>45657</v>
      </c>
      <c r="D2617" t="inlineStr">
        <is>
          <t>VÄSTERNORRLANDS LÄN</t>
        </is>
      </c>
      <c r="E2617" t="inlineStr">
        <is>
          <t>ÖRNSKÖLDSVIK</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21411-2020</t>
        </is>
      </c>
      <c r="B2618" s="1" t="n">
        <v>43955</v>
      </c>
      <c r="C2618" s="1" t="n">
        <v>45657</v>
      </c>
      <c r="D2618" t="inlineStr">
        <is>
          <t>VÄSTERNORRLANDS LÄN</t>
        </is>
      </c>
      <c r="E2618" t="inlineStr">
        <is>
          <t>SUNDSVALL</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21358-2020</t>
        </is>
      </c>
      <c r="B2619" s="1" t="n">
        <v>43955</v>
      </c>
      <c r="C2619" s="1" t="n">
        <v>45657</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21874-2020</t>
        </is>
      </c>
      <c r="B2620" s="1" t="n">
        <v>43955</v>
      </c>
      <c r="C2620" s="1" t="n">
        <v>45657</v>
      </c>
      <c r="D2620" t="inlineStr">
        <is>
          <t>VÄSTERNORRLANDS LÄN</t>
        </is>
      </c>
      <c r="E2620" t="inlineStr">
        <is>
          <t>TIMRÅ</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21478-2020</t>
        </is>
      </c>
      <c r="B2621" s="1" t="n">
        <v>43955</v>
      </c>
      <c r="C2621" s="1" t="n">
        <v>45657</v>
      </c>
      <c r="D2621" t="inlineStr">
        <is>
          <t>VÄSTERNORRLANDS LÄN</t>
        </is>
      </c>
      <c r="E2621" t="inlineStr">
        <is>
          <t>ÖRNSKÖLDSVIK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21598-2020</t>
        </is>
      </c>
      <c r="B2622" s="1" t="n">
        <v>43956</v>
      </c>
      <c r="C2622" s="1" t="n">
        <v>45657</v>
      </c>
      <c r="D2622" t="inlineStr">
        <is>
          <t>VÄSTERNORRLANDS LÄN</t>
        </is>
      </c>
      <c r="E2622" t="inlineStr">
        <is>
          <t>TIMRÅ</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21600-2020</t>
        </is>
      </c>
      <c r="B2623" s="1" t="n">
        <v>43957</v>
      </c>
      <c r="C2623" s="1" t="n">
        <v>45657</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22369-2020</t>
        </is>
      </c>
      <c r="B2624" s="1" t="n">
        <v>43957</v>
      </c>
      <c r="C2624" s="1" t="n">
        <v>45657</v>
      </c>
      <c r="D2624" t="inlineStr">
        <is>
          <t>VÄSTERNORRLANDS LÄN</t>
        </is>
      </c>
      <c r="E2624" t="inlineStr">
        <is>
          <t>KRAMFORS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22280-2020</t>
        </is>
      </c>
      <c r="B2625" s="1" t="n">
        <v>43957</v>
      </c>
      <c r="C2625" s="1" t="n">
        <v>45657</v>
      </c>
      <c r="D2625" t="inlineStr">
        <is>
          <t>VÄSTERNORRLANDS LÄN</t>
        </is>
      </c>
      <c r="E2625" t="inlineStr">
        <is>
          <t>ÖRNSKÖLDSVIK</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21763-2020</t>
        </is>
      </c>
      <c r="B2626" s="1" t="n">
        <v>43957</v>
      </c>
      <c r="C2626" s="1" t="n">
        <v>45657</v>
      </c>
      <c r="D2626" t="inlineStr">
        <is>
          <t>VÄSTERNORRLANDS LÄN</t>
        </is>
      </c>
      <c r="E2626" t="inlineStr">
        <is>
          <t>ÅNGE</t>
        </is>
      </c>
      <c r="F2626" t="inlineStr">
        <is>
          <t>SCA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21816-2020</t>
        </is>
      </c>
      <c r="B2627" s="1" t="n">
        <v>43957</v>
      </c>
      <c r="C2627" s="1" t="n">
        <v>45657</v>
      </c>
      <c r="D2627" t="inlineStr">
        <is>
          <t>VÄSTERNORRLANDS LÄN</t>
        </is>
      </c>
      <c r="E2627" t="inlineStr">
        <is>
          <t>ÖRNSKÖLDSVIK</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22371-2020</t>
        </is>
      </c>
      <c r="B2628" s="1" t="n">
        <v>43957</v>
      </c>
      <c r="C2628" s="1" t="n">
        <v>45657</v>
      </c>
      <c r="D2628" t="inlineStr">
        <is>
          <t>VÄSTERNORRLANDS LÄN</t>
        </is>
      </c>
      <c r="E2628" t="inlineStr">
        <is>
          <t>SOLLEFTEÅ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21884-2020</t>
        </is>
      </c>
      <c r="B2629" s="1" t="n">
        <v>43958</v>
      </c>
      <c r="C2629" s="1" t="n">
        <v>45657</v>
      </c>
      <c r="D2629" t="inlineStr">
        <is>
          <t>VÄSTERNORRLANDS LÄN</t>
        </is>
      </c>
      <c r="E2629" t="inlineStr">
        <is>
          <t>HÄRNÖSAND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22459-2020</t>
        </is>
      </c>
      <c r="B2630" s="1" t="n">
        <v>43958</v>
      </c>
      <c r="C2630" s="1" t="n">
        <v>45657</v>
      </c>
      <c r="D2630" t="inlineStr">
        <is>
          <t>VÄSTERNORRLANDS LÄN</t>
        </is>
      </c>
      <c r="E2630" t="inlineStr">
        <is>
          <t>HÄRNÖSAND</t>
        </is>
      </c>
      <c r="G2630" t="n">
        <v>16.8</v>
      </c>
      <c r="H2630" t="n">
        <v>0</v>
      </c>
      <c r="I2630" t="n">
        <v>0</v>
      </c>
      <c r="J2630" t="n">
        <v>0</v>
      </c>
      <c r="K2630" t="n">
        <v>0</v>
      </c>
      <c r="L2630" t="n">
        <v>0</v>
      </c>
      <c r="M2630" t="n">
        <v>0</v>
      </c>
      <c r="N2630" t="n">
        <v>0</v>
      </c>
      <c r="O2630" t="n">
        <v>0</v>
      </c>
      <c r="P2630" t="n">
        <v>0</v>
      </c>
      <c r="Q2630" t="n">
        <v>0</v>
      </c>
      <c r="R2630" s="2" t="inlineStr"/>
    </row>
    <row r="2631" ht="15" customHeight="1">
      <c r="A2631" t="inlineStr">
        <is>
          <t>A 22041-2020</t>
        </is>
      </c>
      <c r="B2631" s="1" t="n">
        <v>43959</v>
      </c>
      <c r="C2631" s="1" t="n">
        <v>45657</v>
      </c>
      <c r="D2631" t="inlineStr">
        <is>
          <t>VÄSTERNORRLANDS LÄN</t>
        </is>
      </c>
      <c r="E2631" t="inlineStr">
        <is>
          <t>ÅNGE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21992-2020</t>
        </is>
      </c>
      <c r="B2632" s="1" t="n">
        <v>43959</v>
      </c>
      <c r="C2632" s="1" t="n">
        <v>45657</v>
      </c>
      <c r="D2632" t="inlineStr">
        <is>
          <t>VÄSTERNORRLANDS LÄN</t>
        </is>
      </c>
      <c r="E2632" t="inlineStr">
        <is>
          <t>ÖRNSKÖLDSVIK</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22101-2020</t>
        </is>
      </c>
      <c r="B2633" s="1" t="n">
        <v>43959</v>
      </c>
      <c r="C2633" s="1" t="n">
        <v>45657</v>
      </c>
      <c r="D2633" t="inlineStr">
        <is>
          <t>VÄSTERNORRLANDS LÄN</t>
        </is>
      </c>
      <c r="E2633" t="inlineStr">
        <is>
          <t>SUNDSVALL</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22039-2020</t>
        </is>
      </c>
      <c r="B2634" s="1" t="n">
        <v>43959</v>
      </c>
      <c r="C2634" s="1" t="n">
        <v>45657</v>
      </c>
      <c r="D2634" t="inlineStr">
        <is>
          <t>VÄSTERNORRLANDS LÄN</t>
        </is>
      </c>
      <c r="E2634" t="inlineStr">
        <is>
          <t>ÅNGE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22097-2020</t>
        </is>
      </c>
      <c r="B2635" s="1" t="n">
        <v>43960</v>
      </c>
      <c r="C2635" s="1" t="n">
        <v>45657</v>
      </c>
      <c r="D2635" t="inlineStr">
        <is>
          <t>VÄSTERNORRLANDS LÄN</t>
        </is>
      </c>
      <c r="E2635" t="inlineStr">
        <is>
          <t>SUNDSVALL</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22331-2020</t>
        </is>
      </c>
      <c r="B2636" s="1" t="n">
        <v>43962</v>
      </c>
      <c r="C2636" s="1" t="n">
        <v>45657</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22350-2020</t>
        </is>
      </c>
      <c r="B2637" s="1" t="n">
        <v>43962</v>
      </c>
      <c r="C2637" s="1" t="n">
        <v>45657</v>
      </c>
      <c r="D2637" t="inlineStr">
        <is>
          <t>VÄSTERNORRLANDS LÄN</t>
        </is>
      </c>
      <c r="E2637" t="inlineStr">
        <is>
          <t>ÖRNSKÖLDSVIK</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22408-2020</t>
        </is>
      </c>
      <c r="B2638" s="1" t="n">
        <v>43962</v>
      </c>
      <c r="C2638" s="1" t="n">
        <v>45657</v>
      </c>
      <c r="D2638" t="inlineStr">
        <is>
          <t>VÄSTERNORRLANDS LÄN</t>
        </is>
      </c>
      <c r="E2638" t="inlineStr">
        <is>
          <t>HÄRNÖSAND</t>
        </is>
      </c>
      <c r="G2638" t="n">
        <v>16.7</v>
      </c>
      <c r="H2638" t="n">
        <v>0</v>
      </c>
      <c r="I2638" t="n">
        <v>0</v>
      </c>
      <c r="J2638" t="n">
        <v>0</v>
      </c>
      <c r="K2638" t="n">
        <v>0</v>
      </c>
      <c r="L2638" t="n">
        <v>0</v>
      </c>
      <c r="M2638" t="n">
        <v>0</v>
      </c>
      <c r="N2638" t="n">
        <v>0</v>
      </c>
      <c r="O2638" t="n">
        <v>0</v>
      </c>
      <c r="P2638" t="n">
        <v>0</v>
      </c>
      <c r="Q2638" t="n">
        <v>0</v>
      </c>
      <c r="R2638" s="2" t="inlineStr"/>
    </row>
    <row r="2639" ht="15" customHeight="1">
      <c r="A2639" t="inlineStr">
        <is>
          <t>A 22410-2020</t>
        </is>
      </c>
      <c r="B2639" s="1" t="n">
        <v>43962</v>
      </c>
      <c r="C2639" s="1" t="n">
        <v>45657</v>
      </c>
      <c r="D2639" t="inlineStr">
        <is>
          <t>VÄSTERNORRLANDS LÄN</t>
        </is>
      </c>
      <c r="E2639" t="inlineStr">
        <is>
          <t>ÖRNSKÖLDSVIK</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22731-2020</t>
        </is>
      </c>
      <c r="B2640" s="1" t="n">
        <v>43962</v>
      </c>
      <c r="C2640" s="1" t="n">
        <v>45657</v>
      </c>
      <c r="D2640" t="inlineStr">
        <is>
          <t>VÄSTERNORRLANDS LÄN</t>
        </is>
      </c>
      <c r="E2640" t="inlineStr">
        <is>
          <t>SOLLEFTEÅ</t>
        </is>
      </c>
      <c r="G2640" t="n">
        <v>16.8</v>
      </c>
      <c r="H2640" t="n">
        <v>0</v>
      </c>
      <c r="I2640" t="n">
        <v>0</v>
      </c>
      <c r="J2640" t="n">
        <v>0</v>
      </c>
      <c r="K2640" t="n">
        <v>0</v>
      </c>
      <c r="L2640" t="n">
        <v>0</v>
      </c>
      <c r="M2640" t="n">
        <v>0</v>
      </c>
      <c r="N2640" t="n">
        <v>0</v>
      </c>
      <c r="O2640" t="n">
        <v>0</v>
      </c>
      <c r="P2640" t="n">
        <v>0</v>
      </c>
      <c r="Q2640" t="n">
        <v>0</v>
      </c>
      <c r="R2640" s="2" t="inlineStr"/>
    </row>
    <row r="2641" ht="15" customHeight="1">
      <c r="A2641" t="inlineStr">
        <is>
          <t>A 21607-2020</t>
        </is>
      </c>
      <c r="B2641" s="1" t="n">
        <v>43963</v>
      </c>
      <c r="C2641" s="1" t="n">
        <v>45657</v>
      </c>
      <c r="D2641" t="inlineStr">
        <is>
          <t>VÄSTERNORRLANDS LÄN</t>
        </is>
      </c>
      <c r="E2641" t="inlineStr">
        <is>
          <t>SOLLEFTEÅ</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22552-2020</t>
        </is>
      </c>
      <c r="B2642" s="1" t="n">
        <v>43963</v>
      </c>
      <c r="C2642" s="1" t="n">
        <v>45657</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22690-2020</t>
        </is>
      </c>
      <c r="B2643" s="1" t="n">
        <v>43963</v>
      </c>
      <c r="C2643" s="1" t="n">
        <v>45657</v>
      </c>
      <c r="D2643" t="inlineStr">
        <is>
          <t>VÄSTERNORRLANDS LÄN</t>
        </is>
      </c>
      <c r="E2643" t="inlineStr">
        <is>
          <t>ÅNGE</t>
        </is>
      </c>
      <c r="F2643" t="inlineStr">
        <is>
          <t>SCA</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22698-2020</t>
        </is>
      </c>
      <c r="B2644" s="1" t="n">
        <v>43963</v>
      </c>
      <c r="C2644" s="1" t="n">
        <v>45657</v>
      </c>
      <c r="D2644" t="inlineStr">
        <is>
          <t>VÄSTERNORRLANDS LÄN</t>
        </is>
      </c>
      <c r="E2644" t="inlineStr">
        <is>
          <t>KRAMFORS</t>
        </is>
      </c>
      <c r="F2644" t="inlineStr">
        <is>
          <t>SCA</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22561-2020</t>
        </is>
      </c>
      <c r="B2645" s="1" t="n">
        <v>43963</v>
      </c>
      <c r="C2645" s="1" t="n">
        <v>45657</v>
      </c>
      <c r="D2645" t="inlineStr">
        <is>
          <t>VÄSTERNORRLANDS LÄN</t>
        </is>
      </c>
      <c r="E2645" t="inlineStr">
        <is>
          <t>SOLLEFTEÅ</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22829-2020</t>
        </is>
      </c>
      <c r="B2646" s="1" t="n">
        <v>43964</v>
      </c>
      <c r="C2646" s="1" t="n">
        <v>45657</v>
      </c>
      <c r="D2646" t="inlineStr">
        <is>
          <t>VÄSTERNORRLANDS LÄN</t>
        </is>
      </c>
      <c r="E2646" t="inlineStr">
        <is>
          <t>KRAMFORS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22867-2020</t>
        </is>
      </c>
      <c r="B2647" s="1" t="n">
        <v>43964</v>
      </c>
      <c r="C2647" s="1" t="n">
        <v>45657</v>
      </c>
      <c r="D2647" t="inlineStr">
        <is>
          <t>VÄSTERNORRLANDS LÄN</t>
        </is>
      </c>
      <c r="E2647" t="inlineStr">
        <is>
          <t>ÖRNSKÖLDSVIK</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22911-2020</t>
        </is>
      </c>
      <c r="B2648" s="1" t="n">
        <v>43964</v>
      </c>
      <c r="C2648" s="1" t="n">
        <v>45657</v>
      </c>
      <c r="D2648" t="inlineStr">
        <is>
          <t>VÄSTERNORRLANDS LÄN</t>
        </is>
      </c>
      <c r="E2648" t="inlineStr">
        <is>
          <t>ÅNGE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22907-2020</t>
        </is>
      </c>
      <c r="B2649" s="1" t="n">
        <v>43964</v>
      </c>
      <c r="C2649" s="1" t="n">
        <v>45657</v>
      </c>
      <c r="D2649" t="inlineStr">
        <is>
          <t>VÄSTERNORRLANDS LÄN</t>
        </is>
      </c>
      <c r="E2649" t="inlineStr">
        <is>
          <t>ÅNGE</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22909-2020</t>
        </is>
      </c>
      <c r="B2650" s="1" t="n">
        <v>43964</v>
      </c>
      <c r="C2650" s="1" t="n">
        <v>45657</v>
      </c>
      <c r="D2650" t="inlineStr">
        <is>
          <t>VÄSTERNORRLANDS LÄN</t>
        </is>
      </c>
      <c r="E2650" t="inlineStr">
        <is>
          <t>ÅNGE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22841-2020</t>
        </is>
      </c>
      <c r="B2651" s="1" t="n">
        <v>43964</v>
      </c>
      <c r="C2651" s="1" t="n">
        <v>45657</v>
      </c>
      <c r="D2651" t="inlineStr">
        <is>
          <t>VÄSTERNORRLANDS LÄN</t>
        </is>
      </c>
      <c r="E2651" t="inlineStr">
        <is>
          <t>KRAMFORS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22950-2020</t>
        </is>
      </c>
      <c r="B2652" s="1" t="n">
        <v>43965</v>
      </c>
      <c r="C2652" s="1" t="n">
        <v>45657</v>
      </c>
      <c r="D2652" t="inlineStr">
        <is>
          <t>VÄSTERNORRLANDS LÄN</t>
        </is>
      </c>
      <c r="E2652" t="inlineStr">
        <is>
          <t>ÖRNSKÖLDSVIK</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23214-2020</t>
        </is>
      </c>
      <c r="B2653" s="1" t="n">
        <v>43965</v>
      </c>
      <c r="C2653" s="1" t="n">
        <v>45657</v>
      </c>
      <c r="D2653" t="inlineStr">
        <is>
          <t>VÄSTERNORRLANDS LÄN</t>
        </is>
      </c>
      <c r="E2653" t="inlineStr">
        <is>
          <t>ÖRNSKÖLDSVIK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23283-2020</t>
        </is>
      </c>
      <c r="B2654" s="1" t="n">
        <v>43965</v>
      </c>
      <c r="C2654" s="1" t="n">
        <v>45657</v>
      </c>
      <c r="D2654" t="inlineStr">
        <is>
          <t>VÄSTERNORRLANDS LÄN</t>
        </is>
      </c>
      <c r="E2654" t="inlineStr">
        <is>
          <t>SUNDSVALL</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23210-2020</t>
        </is>
      </c>
      <c r="B2655" s="1" t="n">
        <v>43966</v>
      </c>
      <c r="C2655" s="1" t="n">
        <v>45657</v>
      </c>
      <c r="D2655" t="inlineStr">
        <is>
          <t>VÄSTERNORRLANDS LÄN</t>
        </is>
      </c>
      <c r="E2655" t="inlineStr">
        <is>
          <t>SUNDSVALL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23231-2020</t>
        </is>
      </c>
      <c r="B2656" s="1" t="n">
        <v>43966</v>
      </c>
      <c r="C2656" s="1" t="n">
        <v>45657</v>
      </c>
      <c r="D2656" t="inlineStr">
        <is>
          <t>VÄSTERNORRLANDS LÄN</t>
        </is>
      </c>
      <c r="E2656" t="inlineStr">
        <is>
          <t>SOLLEFTEÅ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23352-2020</t>
        </is>
      </c>
      <c r="B2657" s="1" t="n">
        <v>43966</v>
      </c>
      <c r="C2657" s="1" t="n">
        <v>45657</v>
      </c>
      <c r="D2657" t="inlineStr">
        <is>
          <t>VÄSTERNORRLANDS LÄN</t>
        </is>
      </c>
      <c r="E2657" t="inlineStr">
        <is>
          <t>ÅNGE</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23415-2020</t>
        </is>
      </c>
      <c r="B2658" s="1" t="n">
        <v>43969</v>
      </c>
      <c r="C2658" s="1" t="n">
        <v>45657</v>
      </c>
      <c r="D2658" t="inlineStr">
        <is>
          <t>VÄSTERNORRLANDS LÄN</t>
        </is>
      </c>
      <c r="E2658" t="inlineStr">
        <is>
          <t>ÖRNSKÖLDSVIK</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23457-2020</t>
        </is>
      </c>
      <c r="B2659" s="1" t="n">
        <v>43969</v>
      </c>
      <c r="C2659" s="1" t="n">
        <v>45657</v>
      </c>
      <c r="D2659" t="inlineStr">
        <is>
          <t>VÄSTERNORRLANDS LÄN</t>
        </is>
      </c>
      <c r="E2659" t="inlineStr">
        <is>
          <t>HÄRNÖSAND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23575-2020</t>
        </is>
      </c>
      <c r="B2660" s="1" t="n">
        <v>43969</v>
      </c>
      <c r="C2660" s="1" t="n">
        <v>45657</v>
      </c>
      <c r="D2660" t="inlineStr">
        <is>
          <t>VÄSTERNORRLANDS LÄN</t>
        </is>
      </c>
      <c r="E2660" t="inlineStr">
        <is>
          <t>HÄRNÖSAND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23587-2020</t>
        </is>
      </c>
      <c r="B2661" s="1" t="n">
        <v>43969</v>
      </c>
      <c r="C2661" s="1" t="n">
        <v>45657</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23641-2020</t>
        </is>
      </c>
      <c r="B2662" s="1" t="n">
        <v>43969</v>
      </c>
      <c r="C2662" s="1" t="n">
        <v>45657</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23752-2020</t>
        </is>
      </c>
      <c r="B2663" s="1" t="n">
        <v>43969</v>
      </c>
      <c r="C2663" s="1" t="n">
        <v>45657</v>
      </c>
      <c r="D2663" t="inlineStr">
        <is>
          <t>VÄSTERNORRLANDS LÄN</t>
        </is>
      </c>
      <c r="E2663" t="inlineStr">
        <is>
          <t>KRAMFORS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23638-2020</t>
        </is>
      </c>
      <c r="B2664" s="1" t="n">
        <v>43969</v>
      </c>
      <c r="C2664" s="1" t="n">
        <v>45657</v>
      </c>
      <c r="D2664" t="inlineStr">
        <is>
          <t>VÄSTERNORRLANDS LÄN</t>
        </is>
      </c>
      <c r="E2664" t="inlineStr">
        <is>
          <t>SOLLEFTEÅ</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23597-2020</t>
        </is>
      </c>
      <c r="B2665" s="1" t="n">
        <v>43969</v>
      </c>
      <c r="C2665" s="1" t="n">
        <v>45657</v>
      </c>
      <c r="D2665" t="inlineStr">
        <is>
          <t>VÄSTERNORRLANDS LÄN</t>
        </is>
      </c>
      <c r="E2665" t="inlineStr">
        <is>
          <t>ÖRNSKÖLDSVIK</t>
        </is>
      </c>
      <c r="F2665" t="inlineStr">
        <is>
          <t>Holmen skog AB</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23753-2020</t>
        </is>
      </c>
      <c r="B2666" s="1" t="n">
        <v>43969</v>
      </c>
      <c r="C2666" s="1" t="n">
        <v>45657</v>
      </c>
      <c r="D2666" t="inlineStr">
        <is>
          <t>VÄSTERNORRLANDS LÄN</t>
        </is>
      </c>
      <c r="E2666" t="inlineStr">
        <is>
          <t>HÄRNÖSAND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23670-2020</t>
        </is>
      </c>
      <c r="B2667" s="1" t="n">
        <v>43969</v>
      </c>
      <c r="C2667" s="1" t="n">
        <v>45657</v>
      </c>
      <c r="D2667" t="inlineStr">
        <is>
          <t>VÄSTERNORRLANDS LÄN</t>
        </is>
      </c>
      <c r="E2667" t="inlineStr">
        <is>
          <t>HÄRNÖSAND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23660-2020</t>
        </is>
      </c>
      <c r="B2668" s="1" t="n">
        <v>43969</v>
      </c>
      <c r="C2668" s="1" t="n">
        <v>45657</v>
      </c>
      <c r="D2668" t="inlineStr">
        <is>
          <t>VÄSTERNORRLANDS LÄN</t>
        </is>
      </c>
      <c r="E2668" t="inlineStr">
        <is>
          <t>ÅNGE</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23642-2020</t>
        </is>
      </c>
      <c r="B2669" s="1" t="n">
        <v>43969</v>
      </c>
      <c r="C2669" s="1" t="n">
        <v>45657</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23762-2020</t>
        </is>
      </c>
      <c r="B2670" s="1" t="n">
        <v>43969</v>
      </c>
      <c r="C2670" s="1" t="n">
        <v>45657</v>
      </c>
      <c r="D2670" t="inlineStr">
        <is>
          <t>VÄSTERNORRLANDS LÄN</t>
        </is>
      </c>
      <c r="E2670" t="inlineStr">
        <is>
          <t>HÄRNÖSAND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24010-2020</t>
        </is>
      </c>
      <c r="B2671" s="1" t="n">
        <v>43970</v>
      </c>
      <c r="C2671" s="1" t="n">
        <v>45657</v>
      </c>
      <c r="D2671" t="inlineStr">
        <is>
          <t>VÄSTERNORRLANDS LÄN</t>
        </is>
      </c>
      <c r="E2671" t="inlineStr">
        <is>
          <t>ÖRNSKÖLDSVIK</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23848-2020</t>
        </is>
      </c>
      <c r="B2672" s="1" t="n">
        <v>43971</v>
      </c>
      <c r="C2672" s="1" t="n">
        <v>45657</v>
      </c>
      <c r="D2672" t="inlineStr">
        <is>
          <t>VÄSTERNORRLANDS LÄN</t>
        </is>
      </c>
      <c r="E2672" t="inlineStr">
        <is>
          <t>ÖRNSKÖLDSVIK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24060-2020</t>
        </is>
      </c>
      <c r="B2673" s="1" t="n">
        <v>43971</v>
      </c>
      <c r="C2673" s="1" t="n">
        <v>45657</v>
      </c>
      <c r="D2673" t="inlineStr">
        <is>
          <t>VÄSTERNORRLANDS LÄN</t>
        </is>
      </c>
      <c r="E2673" t="inlineStr">
        <is>
          <t>SOLLEFTEÅ</t>
        </is>
      </c>
      <c r="G2673" t="n">
        <v>16.3</v>
      </c>
      <c r="H2673" t="n">
        <v>0</v>
      </c>
      <c r="I2673" t="n">
        <v>0</v>
      </c>
      <c r="J2673" t="n">
        <v>0</v>
      </c>
      <c r="K2673" t="n">
        <v>0</v>
      </c>
      <c r="L2673" t="n">
        <v>0</v>
      </c>
      <c r="M2673" t="n">
        <v>0</v>
      </c>
      <c r="N2673" t="n">
        <v>0</v>
      </c>
      <c r="O2673" t="n">
        <v>0</v>
      </c>
      <c r="P2673" t="n">
        <v>0</v>
      </c>
      <c r="Q2673" t="n">
        <v>0</v>
      </c>
      <c r="R2673" s="2" t="inlineStr"/>
    </row>
    <row r="2674" ht="15" customHeight="1">
      <c r="A2674" t="inlineStr">
        <is>
          <t>A 24004-2020</t>
        </is>
      </c>
      <c r="B2674" s="1" t="n">
        <v>43971</v>
      </c>
      <c r="C2674" s="1" t="n">
        <v>45657</v>
      </c>
      <c r="D2674" t="inlineStr">
        <is>
          <t>VÄSTERNORRLANDS LÄN</t>
        </is>
      </c>
      <c r="E2674" t="inlineStr">
        <is>
          <t>ÖRNSKÖLDSVIK</t>
        </is>
      </c>
      <c r="F2674" t="inlineStr">
        <is>
          <t>Holmen skog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24062-2020</t>
        </is>
      </c>
      <c r="B2675" s="1" t="n">
        <v>43971</v>
      </c>
      <c r="C2675" s="1" t="n">
        <v>45657</v>
      </c>
      <c r="D2675" t="inlineStr">
        <is>
          <t>VÄSTERNORRLANDS LÄN</t>
        </is>
      </c>
      <c r="E2675" t="inlineStr">
        <is>
          <t>SOLLEFTEÅ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24263-2020</t>
        </is>
      </c>
      <c r="B2676" s="1" t="n">
        <v>43971</v>
      </c>
      <c r="C2676" s="1" t="n">
        <v>45657</v>
      </c>
      <c r="D2676" t="inlineStr">
        <is>
          <t>VÄSTERNORRLANDS LÄN</t>
        </is>
      </c>
      <c r="E2676" t="inlineStr">
        <is>
          <t>TIMRÅ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24049-2020</t>
        </is>
      </c>
      <c r="B2677" s="1" t="n">
        <v>43971</v>
      </c>
      <c r="C2677" s="1" t="n">
        <v>45657</v>
      </c>
      <c r="D2677" t="inlineStr">
        <is>
          <t>VÄSTERNORRLANDS LÄN</t>
        </is>
      </c>
      <c r="E2677" t="inlineStr">
        <is>
          <t>HÄRNÖSAND</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24061-2020</t>
        </is>
      </c>
      <c r="B2678" s="1" t="n">
        <v>43971</v>
      </c>
      <c r="C2678" s="1" t="n">
        <v>45657</v>
      </c>
      <c r="D2678" t="inlineStr">
        <is>
          <t>VÄSTERNORRLANDS LÄN</t>
        </is>
      </c>
      <c r="E2678" t="inlineStr">
        <is>
          <t>SOLLEFTEÅ</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24353-2020</t>
        </is>
      </c>
      <c r="B2679" s="1" t="n">
        <v>43976</v>
      </c>
      <c r="C2679" s="1" t="n">
        <v>45657</v>
      </c>
      <c r="D2679" t="inlineStr">
        <is>
          <t>VÄSTERNORRLANDS LÄN</t>
        </is>
      </c>
      <c r="E2679" t="inlineStr">
        <is>
          <t>ÅNGE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24494-2020</t>
        </is>
      </c>
      <c r="B2680" s="1" t="n">
        <v>43976</v>
      </c>
      <c r="C2680" s="1" t="n">
        <v>45657</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24411-2020</t>
        </is>
      </c>
      <c r="B2681" s="1" t="n">
        <v>43976</v>
      </c>
      <c r="C2681" s="1" t="n">
        <v>45657</v>
      </c>
      <c r="D2681" t="inlineStr">
        <is>
          <t>VÄSTERNORRLANDS LÄN</t>
        </is>
      </c>
      <c r="E2681" t="inlineStr">
        <is>
          <t>ÅNGE</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24361-2020</t>
        </is>
      </c>
      <c r="B2682" s="1" t="n">
        <v>43976</v>
      </c>
      <c r="C2682" s="1" t="n">
        <v>45657</v>
      </c>
      <c r="D2682" t="inlineStr">
        <is>
          <t>VÄSTERNORRLANDS LÄN</t>
        </is>
      </c>
      <c r="E2682" t="inlineStr">
        <is>
          <t>ÅNGE</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24510-2020</t>
        </is>
      </c>
      <c r="B2683" s="1" t="n">
        <v>43977</v>
      </c>
      <c r="C2683" s="1" t="n">
        <v>45657</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24662-2020</t>
        </is>
      </c>
      <c r="B2684" s="1" t="n">
        <v>43977</v>
      </c>
      <c r="C2684" s="1" t="n">
        <v>45657</v>
      </c>
      <c r="D2684" t="inlineStr">
        <is>
          <t>VÄSTERNORRLANDS LÄN</t>
        </is>
      </c>
      <c r="E2684" t="inlineStr">
        <is>
          <t>SUNDSVALL</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24580-2020</t>
        </is>
      </c>
      <c r="B2685" s="1" t="n">
        <v>43977</v>
      </c>
      <c r="C2685" s="1" t="n">
        <v>45657</v>
      </c>
      <c r="D2685" t="inlineStr">
        <is>
          <t>VÄSTERNORRLANDS LÄN</t>
        </is>
      </c>
      <c r="E2685" t="inlineStr">
        <is>
          <t>ÖRNSKÖLDSVIK</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24665-2020</t>
        </is>
      </c>
      <c r="B2686" s="1" t="n">
        <v>43977</v>
      </c>
      <c r="C2686" s="1" t="n">
        <v>45657</v>
      </c>
      <c r="D2686" t="inlineStr">
        <is>
          <t>VÄSTERNORRLANDS LÄN</t>
        </is>
      </c>
      <c r="E2686" t="inlineStr">
        <is>
          <t>KRAMFORS</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24696-2020</t>
        </is>
      </c>
      <c r="B2687" s="1" t="n">
        <v>43978</v>
      </c>
      <c r="C2687" s="1" t="n">
        <v>45657</v>
      </c>
      <c r="D2687" t="inlineStr">
        <is>
          <t>VÄSTERNORRLANDS LÄN</t>
        </is>
      </c>
      <c r="E2687" t="inlineStr">
        <is>
          <t>ÅNGE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24857-2020</t>
        </is>
      </c>
      <c r="B2688" s="1" t="n">
        <v>43978</v>
      </c>
      <c r="C2688" s="1" t="n">
        <v>45657</v>
      </c>
      <c r="D2688" t="inlineStr">
        <is>
          <t>VÄSTERNORRLANDS LÄN</t>
        </is>
      </c>
      <c r="E2688" t="inlineStr">
        <is>
          <t>ÅNGE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24859-2020</t>
        </is>
      </c>
      <c r="B2689" s="1" t="n">
        <v>43978</v>
      </c>
      <c r="C2689" s="1" t="n">
        <v>45657</v>
      </c>
      <c r="D2689" t="inlineStr">
        <is>
          <t>VÄSTERNORRLANDS LÄN</t>
        </is>
      </c>
      <c r="E2689" t="inlineStr">
        <is>
          <t>ÅNGE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24976-2020</t>
        </is>
      </c>
      <c r="B2690" s="1" t="n">
        <v>43978</v>
      </c>
      <c r="C2690" s="1" t="n">
        <v>45657</v>
      </c>
      <c r="D2690" t="inlineStr">
        <is>
          <t>VÄSTERNORRLANDS LÄN</t>
        </is>
      </c>
      <c r="E2690" t="inlineStr">
        <is>
          <t>ÖRNSKÖLDSVIK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25050-2020</t>
        </is>
      </c>
      <c r="B2691" s="1" t="n">
        <v>43979</v>
      </c>
      <c r="C2691" s="1" t="n">
        <v>45657</v>
      </c>
      <c r="D2691" t="inlineStr">
        <is>
          <t>VÄSTERNORRLANDS LÄN</t>
        </is>
      </c>
      <c r="E2691" t="inlineStr">
        <is>
          <t>ÖRNSKÖLDSVIK</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25100-2020</t>
        </is>
      </c>
      <c r="B2692" s="1" t="n">
        <v>43979</v>
      </c>
      <c r="C2692" s="1" t="n">
        <v>45657</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24892-2020</t>
        </is>
      </c>
      <c r="B2693" s="1" t="n">
        <v>43979</v>
      </c>
      <c r="C2693" s="1" t="n">
        <v>45657</v>
      </c>
      <c r="D2693" t="inlineStr">
        <is>
          <t>VÄSTERNORRLANDS LÄN</t>
        </is>
      </c>
      <c r="E2693" t="inlineStr">
        <is>
          <t>ÖRNSKÖLDSVIK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24988-2020</t>
        </is>
      </c>
      <c r="B2694" s="1" t="n">
        <v>43979</v>
      </c>
      <c r="C2694" s="1" t="n">
        <v>45657</v>
      </c>
      <c r="D2694" t="inlineStr">
        <is>
          <t>VÄSTERNORRLANDS LÄN</t>
        </is>
      </c>
      <c r="E2694" t="inlineStr">
        <is>
          <t>ÖRNSKÖLDSVIK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25054-2020</t>
        </is>
      </c>
      <c r="B2695" s="1" t="n">
        <v>43979</v>
      </c>
      <c r="C2695" s="1" t="n">
        <v>45657</v>
      </c>
      <c r="D2695" t="inlineStr">
        <is>
          <t>VÄSTERNORRLANDS LÄN</t>
        </is>
      </c>
      <c r="E2695" t="inlineStr">
        <is>
          <t>ÖRNSKÖLDSVIK</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25103-2020</t>
        </is>
      </c>
      <c r="B2696" s="1" t="n">
        <v>43979</v>
      </c>
      <c r="C2696" s="1" t="n">
        <v>45657</v>
      </c>
      <c r="D2696" t="inlineStr">
        <is>
          <t>VÄSTERNORRLANDS LÄN</t>
        </is>
      </c>
      <c r="E2696" t="inlineStr">
        <is>
          <t>ÖRNSKÖLDSVIK</t>
        </is>
      </c>
      <c r="F2696" t="inlineStr">
        <is>
          <t>SCA</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25290-2020</t>
        </is>
      </c>
      <c r="B2697" s="1" t="n">
        <v>43979</v>
      </c>
      <c r="C2697" s="1" t="n">
        <v>45657</v>
      </c>
      <c r="D2697" t="inlineStr">
        <is>
          <t>VÄSTERNORRLANDS LÄN</t>
        </is>
      </c>
      <c r="E2697" t="inlineStr">
        <is>
          <t>KRAMFORS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25217-2020</t>
        </is>
      </c>
      <c r="B2698" s="1" t="n">
        <v>43980</v>
      </c>
      <c r="C2698" s="1" t="n">
        <v>45657</v>
      </c>
      <c r="D2698" t="inlineStr">
        <is>
          <t>VÄSTERNORRLANDS LÄN</t>
        </is>
      </c>
      <c r="E2698" t="inlineStr">
        <is>
          <t>SUNDSVALL</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25370-2020</t>
        </is>
      </c>
      <c r="B2699" s="1" t="n">
        <v>43980</v>
      </c>
      <c r="C2699" s="1" t="n">
        <v>45657</v>
      </c>
      <c r="D2699" t="inlineStr">
        <is>
          <t>VÄSTERNORRLANDS LÄN</t>
        </is>
      </c>
      <c r="E2699" t="inlineStr">
        <is>
          <t>ÅNGE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25659-2020</t>
        </is>
      </c>
      <c r="B2700" s="1" t="n">
        <v>43983</v>
      </c>
      <c r="C2700" s="1" t="n">
        <v>45657</v>
      </c>
      <c r="D2700" t="inlineStr">
        <is>
          <t>VÄSTERNORRLANDS LÄN</t>
        </is>
      </c>
      <c r="E2700" t="inlineStr">
        <is>
          <t>KRAMFORS</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25583-2020</t>
        </is>
      </c>
      <c r="B2701" s="1" t="n">
        <v>43983</v>
      </c>
      <c r="C2701" s="1" t="n">
        <v>45657</v>
      </c>
      <c r="D2701" t="inlineStr">
        <is>
          <t>VÄSTERNORRLANDS LÄN</t>
        </is>
      </c>
      <c r="E2701" t="inlineStr">
        <is>
          <t>ÖRNSKÖLDSVIK</t>
        </is>
      </c>
      <c r="F2701" t="inlineStr">
        <is>
          <t>Holmen skog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26017-2020</t>
        </is>
      </c>
      <c r="B2702" s="1" t="n">
        <v>43984</v>
      </c>
      <c r="C2702" s="1" t="n">
        <v>45657</v>
      </c>
      <c r="D2702" t="inlineStr">
        <is>
          <t>VÄSTERNORRLANDS LÄN</t>
        </is>
      </c>
      <c r="E2702" t="inlineStr">
        <is>
          <t>ÖRNSKÖLDSVIK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26039-2020</t>
        </is>
      </c>
      <c r="B2703" s="1" t="n">
        <v>43985</v>
      </c>
      <c r="C2703" s="1" t="n">
        <v>45657</v>
      </c>
      <c r="D2703" t="inlineStr">
        <is>
          <t>VÄSTERNORRLANDS LÄN</t>
        </is>
      </c>
      <c r="E2703" t="inlineStr">
        <is>
          <t>ÖRNSKÖLDSVIK</t>
        </is>
      </c>
      <c r="F2703" t="inlineStr">
        <is>
          <t>Holmen skog AB</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26189-2020</t>
        </is>
      </c>
      <c r="B2704" s="1" t="n">
        <v>43985</v>
      </c>
      <c r="C2704" s="1" t="n">
        <v>45657</v>
      </c>
      <c r="D2704" t="inlineStr">
        <is>
          <t>VÄSTERNORRLANDS LÄN</t>
        </is>
      </c>
      <c r="E2704" t="inlineStr">
        <is>
          <t>SOLLEFTEÅ</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26249-2020</t>
        </is>
      </c>
      <c r="B2705" s="1" t="n">
        <v>43986</v>
      </c>
      <c r="C2705" s="1" t="n">
        <v>45657</v>
      </c>
      <c r="D2705" t="inlineStr">
        <is>
          <t>VÄSTERNORRLANDS LÄN</t>
        </is>
      </c>
      <c r="E2705" t="inlineStr">
        <is>
          <t>SOLLEFTEÅ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26380-2020</t>
        </is>
      </c>
      <c r="B2706" s="1" t="n">
        <v>43986</v>
      </c>
      <c r="C2706" s="1" t="n">
        <v>45657</v>
      </c>
      <c r="D2706" t="inlineStr">
        <is>
          <t>VÄSTERNORRLANDS LÄN</t>
        </is>
      </c>
      <c r="E2706" t="inlineStr">
        <is>
          <t>HÄRNÖSAND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26379-2020</t>
        </is>
      </c>
      <c r="B2707" s="1" t="n">
        <v>43986</v>
      </c>
      <c r="C2707" s="1" t="n">
        <v>45657</v>
      </c>
      <c r="D2707" t="inlineStr">
        <is>
          <t>VÄSTERNORRLANDS LÄN</t>
        </is>
      </c>
      <c r="E2707" t="inlineStr">
        <is>
          <t>HÄRNÖSAND</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26387-2020</t>
        </is>
      </c>
      <c r="B2708" s="1" t="n">
        <v>43986</v>
      </c>
      <c r="C2708" s="1" t="n">
        <v>45657</v>
      </c>
      <c r="D2708" t="inlineStr">
        <is>
          <t>VÄSTERNORRLANDS LÄN</t>
        </is>
      </c>
      <c r="E2708" t="inlineStr">
        <is>
          <t>HÄRNÖSAND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26378-2020</t>
        </is>
      </c>
      <c r="B2709" s="1" t="n">
        <v>43986</v>
      </c>
      <c r="C2709" s="1" t="n">
        <v>45657</v>
      </c>
      <c r="D2709" t="inlineStr">
        <is>
          <t>VÄSTERNORRLANDS LÄN</t>
        </is>
      </c>
      <c r="E2709" t="inlineStr">
        <is>
          <t>HÄRNÖSAND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26447-2020</t>
        </is>
      </c>
      <c r="B2710" s="1" t="n">
        <v>43987</v>
      </c>
      <c r="C2710" s="1" t="n">
        <v>45657</v>
      </c>
      <c r="D2710" t="inlineStr">
        <is>
          <t>VÄSTERNORRLANDS LÄN</t>
        </is>
      </c>
      <c r="E2710" t="inlineStr">
        <is>
          <t>ÅNGE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26469-2020</t>
        </is>
      </c>
      <c r="B2711" s="1" t="n">
        <v>43987</v>
      </c>
      <c r="C2711" s="1" t="n">
        <v>45657</v>
      </c>
      <c r="D2711" t="inlineStr">
        <is>
          <t>VÄSTERNORRLANDS LÄN</t>
        </is>
      </c>
      <c r="E2711" t="inlineStr">
        <is>
          <t>ÖRNSKÖLDSVIK</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26778-2020</t>
        </is>
      </c>
      <c r="B2712" s="1" t="n">
        <v>43987</v>
      </c>
      <c r="C2712" s="1" t="n">
        <v>45657</v>
      </c>
      <c r="D2712" t="inlineStr">
        <is>
          <t>VÄSTERNORRLANDS LÄN</t>
        </is>
      </c>
      <c r="E2712" t="inlineStr">
        <is>
          <t>HÄRNÖSAND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26613-2020</t>
        </is>
      </c>
      <c r="B2713" s="1" t="n">
        <v>43987</v>
      </c>
      <c r="C2713" s="1" t="n">
        <v>45657</v>
      </c>
      <c r="D2713" t="inlineStr">
        <is>
          <t>VÄSTERNORRLANDS LÄN</t>
        </is>
      </c>
      <c r="E2713" t="inlineStr">
        <is>
          <t>SUNDSVALL</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26473-2020</t>
        </is>
      </c>
      <c r="B2714" s="1" t="n">
        <v>43987</v>
      </c>
      <c r="C2714" s="1" t="n">
        <v>45657</v>
      </c>
      <c r="D2714" t="inlineStr">
        <is>
          <t>VÄSTERNORRLANDS LÄN</t>
        </is>
      </c>
      <c r="E2714" t="inlineStr">
        <is>
          <t>ÖRNSKÖLDSVIK</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26900-2020</t>
        </is>
      </c>
      <c r="B2715" s="1" t="n">
        <v>43990</v>
      </c>
      <c r="C2715" s="1" t="n">
        <v>45657</v>
      </c>
      <c r="D2715" t="inlineStr">
        <is>
          <t>VÄSTERNORRLANDS LÄN</t>
        </is>
      </c>
      <c r="E2715" t="inlineStr">
        <is>
          <t>HÄRNÖSAND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26925-2020</t>
        </is>
      </c>
      <c r="B2716" s="1" t="n">
        <v>43990</v>
      </c>
      <c r="C2716" s="1" t="n">
        <v>45657</v>
      </c>
      <c r="D2716" t="inlineStr">
        <is>
          <t>VÄSTERNORRLANDS LÄN</t>
        </is>
      </c>
      <c r="E2716" t="inlineStr">
        <is>
          <t>HÄRNÖSAND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26976-2020</t>
        </is>
      </c>
      <c r="B2717" s="1" t="n">
        <v>43990</v>
      </c>
      <c r="C2717" s="1" t="n">
        <v>45657</v>
      </c>
      <c r="D2717" t="inlineStr">
        <is>
          <t>VÄSTERNORRLANDS LÄN</t>
        </is>
      </c>
      <c r="E2717" t="inlineStr">
        <is>
          <t>KRAMFORS</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26962-2020</t>
        </is>
      </c>
      <c r="B2718" s="1" t="n">
        <v>43990</v>
      </c>
      <c r="C2718" s="1" t="n">
        <v>45657</v>
      </c>
      <c r="D2718" t="inlineStr">
        <is>
          <t>VÄSTERNORRLANDS LÄN</t>
        </is>
      </c>
      <c r="E2718" t="inlineStr">
        <is>
          <t>SUNDSVALL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27063-2020</t>
        </is>
      </c>
      <c r="B2719" s="1" t="n">
        <v>43991</v>
      </c>
      <c r="C2719" s="1" t="n">
        <v>45657</v>
      </c>
      <c r="D2719" t="inlineStr">
        <is>
          <t>VÄSTERNORRLANDS LÄN</t>
        </is>
      </c>
      <c r="E2719" t="inlineStr">
        <is>
          <t>ÖRNSKÖLDSVIK</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27199-2020</t>
        </is>
      </c>
      <c r="B2720" s="1" t="n">
        <v>43991</v>
      </c>
      <c r="C2720" s="1" t="n">
        <v>45657</v>
      </c>
      <c r="D2720" t="inlineStr">
        <is>
          <t>VÄSTERNORRLANDS LÄN</t>
        </is>
      </c>
      <c r="E2720" t="inlineStr">
        <is>
          <t>SOLLEFTEÅ</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27139-2020</t>
        </is>
      </c>
      <c r="B2721" s="1" t="n">
        <v>43991</v>
      </c>
      <c r="C2721" s="1" t="n">
        <v>45657</v>
      </c>
      <c r="D2721" t="inlineStr">
        <is>
          <t>VÄSTERNORRLANDS LÄN</t>
        </is>
      </c>
      <c r="E2721" t="inlineStr">
        <is>
          <t>ÖRNSKÖLDSVIK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27195-2020</t>
        </is>
      </c>
      <c r="B2722" s="1" t="n">
        <v>43991</v>
      </c>
      <c r="C2722" s="1" t="n">
        <v>45657</v>
      </c>
      <c r="D2722" t="inlineStr">
        <is>
          <t>VÄSTERNORRLANDS LÄN</t>
        </is>
      </c>
      <c r="E2722" t="inlineStr">
        <is>
          <t>SUNDSVALL</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27209-2020</t>
        </is>
      </c>
      <c r="B2723" s="1" t="n">
        <v>43991</v>
      </c>
      <c r="C2723" s="1" t="n">
        <v>45657</v>
      </c>
      <c r="D2723" t="inlineStr">
        <is>
          <t>VÄSTERNORRLANDS LÄN</t>
        </is>
      </c>
      <c r="E2723" t="inlineStr">
        <is>
          <t>SOLLEFTEÅ</t>
        </is>
      </c>
      <c r="F2723" t="inlineStr">
        <is>
          <t>SCA</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27105-2020</t>
        </is>
      </c>
      <c r="B2724" s="1" t="n">
        <v>43991</v>
      </c>
      <c r="C2724" s="1" t="n">
        <v>45657</v>
      </c>
      <c r="D2724" t="inlineStr">
        <is>
          <t>VÄSTERNORRLANDS LÄN</t>
        </is>
      </c>
      <c r="E2724" t="inlineStr">
        <is>
          <t>ÖRNSKÖLDSVIK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27274-2020</t>
        </is>
      </c>
      <c r="B2725" s="1" t="n">
        <v>43992</v>
      </c>
      <c r="C2725" s="1" t="n">
        <v>45657</v>
      </c>
      <c r="D2725" t="inlineStr">
        <is>
          <t>VÄSTERNORRLANDS LÄN</t>
        </is>
      </c>
      <c r="E2725" t="inlineStr">
        <is>
          <t>SUNDSVALL</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27351-2020</t>
        </is>
      </c>
      <c r="B2726" s="1" t="n">
        <v>43992</v>
      </c>
      <c r="C2726" s="1" t="n">
        <v>45657</v>
      </c>
      <c r="D2726" t="inlineStr">
        <is>
          <t>VÄSTERNORRLANDS LÄN</t>
        </is>
      </c>
      <c r="E2726" t="inlineStr">
        <is>
          <t>ÖRNSKÖLDSVIK</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27382-2020</t>
        </is>
      </c>
      <c r="B2727" s="1" t="n">
        <v>43992</v>
      </c>
      <c r="C2727" s="1" t="n">
        <v>45657</v>
      </c>
      <c r="D2727" t="inlineStr">
        <is>
          <t>VÄSTERNORRLANDS LÄN</t>
        </is>
      </c>
      <c r="E2727" t="inlineStr">
        <is>
          <t>ÖRNSKÖLDSVIK</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27422-2020</t>
        </is>
      </c>
      <c r="B2728" s="1" t="n">
        <v>43992</v>
      </c>
      <c r="C2728" s="1" t="n">
        <v>45657</v>
      </c>
      <c r="D2728" t="inlineStr">
        <is>
          <t>VÄSTERNORRLANDS LÄN</t>
        </is>
      </c>
      <c r="E2728" t="inlineStr">
        <is>
          <t>ÖRNSKÖLDSVIK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27773-2020</t>
        </is>
      </c>
      <c r="B2729" s="1" t="n">
        <v>43992</v>
      </c>
      <c r="C2729" s="1" t="n">
        <v>45657</v>
      </c>
      <c r="D2729" t="inlineStr">
        <is>
          <t>VÄSTERNORRLANDS LÄN</t>
        </is>
      </c>
      <c r="E2729" t="inlineStr">
        <is>
          <t>ÅNGE</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27822-2020</t>
        </is>
      </c>
      <c r="B2730" s="1" t="n">
        <v>43992</v>
      </c>
      <c r="C2730" s="1" t="n">
        <v>45657</v>
      </c>
      <c r="D2730" t="inlineStr">
        <is>
          <t>VÄSTERNORRLANDS LÄN</t>
        </is>
      </c>
      <c r="E2730" t="inlineStr">
        <is>
          <t>ÖRNSKÖLDSVIK</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27454-2020</t>
        </is>
      </c>
      <c r="B2731" s="1" t="n">
        <v>43992</v>
      </c>
      <c r="C2731" s="1" t="n">
        <v>45657</v>
      </c>
      <c r="D2731" t="inlineStr">
        <is>
          <t>VÄSTERNORRLANDS LÄN</t>
        </is>
      </c>
      <c r="E2731" t="inlineStr">
        <is>
          <t>KRAMFORS</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27821-2020</t>
        </is>
      </c>
      <c r="B2732" s="1" t="n">
        <v>43992</v>
      </c>
      <c r="C2732" s="1" t="n">
        <v>45657</v>
      </c>
      <c r="D2732" t="inlineStr">
        <is>
          <t>VÄSTERNORRLANDS LÄN</t>
        </is>
      </c>
      <c r="E2732" t="inlineStr">
        <is>
          <t>ÖRNSKÖLDSVIK</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27551-2020</t>
        </is>
      </c>
      <c r="B2733" s="1" t="n">
        <v>43993</v>
      </c>
      <c r="C2733" s="1" t="n">
        <v>45657</v>
      </c>
      <c r="D2733" t="inlineStr">
        <is>
          <t>VÄSTERNORRLANDS LÄN</t>
        </is>
      </c>
      <c r="E2733" t="inlineStr">
        <is>
          <t>SUNDSVALL</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27886-2020</t>
        </is>
      </c>
      <c r="B2734" s="1" t="n">
        <v>43994</v>
      </c>
      <c r="C2734" s="1" t="n">
        <v>45657</v>
      </c>
      <c r="D2734" t="inlineStr">
        <is>
          <t>VÄSTERNORRLANDS LÄN</t>
        </is>
      </c>
      <c r="E2734" t="inlineStr">
        <is>
          <t>KRAMFORS</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27992-2020</t>
        </is>
      </c>
      <c r="B2735" s="1" t="n">
        <v>43997</v>
      </c>
      <c r="C2735" s="1" t="n">
        <v>45657</v>
      </c>
      <c r="D2735" t="inlineStr">
        <is>
          <t>VÄSTERNORRLANDS LÄN</t>
        </is>
      </c>
      <c r="E2735" t="inlineStr">
        <is>
          <t>SUNDSVALL</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28064-2020</t>
        </is>
      </c>
      <c r="B2736" s="1" t="n">
        <v>43997</v>
      </c>
      <c r="C2736" s="1" t="n">
        <v>45657</v>
      </c>
      <c r="D2736" t="inlineStr">
        <is>
          <t>VÄSTERNORRLANDS LÄN</t>
        </is>
      </c>
      <c r="E2736" t="inlineStr">
        <is>
          <t>ÅNGE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28180-2020</t>
        </is>
      </c>
      <c r="B2737" s="1" t="n">
        <v>43997</v>
      </c>
      <c r="C2737" s="1" t="n">
        <v>45657</v>
      </c>
      <c r="D2737" t="inlineStr">
        <is>
          <t>VÄSTERNORRLANDS LÄN</t>
        </is>
      </c>
      <c r="E2737" t="inlineStr">
        <is>
          <t>ÖRNSKÖLDSVIK</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28195-2020</t>
        </is>
      </c>
      <c r="B2738" s="1" t="n">
        <v>43998</v>
      </c>
      <c r="C2738" s="1" t="n">
        <v>45657</v>
      </c>
      <c r="D2738" t="inlineStr">
        <is>
          <t>VÄSTERNORRLANDS LÄN</t>
        </is>
      </c>
      <c r="E2738" t="inlineStr">
        <is>
          <t>KRAMFORS</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28220-2020</t>
        </is>
      </c>
      <c r="B2739" s="1" t="n">
        <v>43997</v>
      </c>
      <c r="C2739" s="1" t="n">
        <v>45657</v>
      </c>
      <c r="D2739" t="inlineStr">
        <is>
          <t>VÄSTERNORRLANDS LÄN</t>
        </is>
      </c>
      <c r="E2739" t="inlineStr">
        <is>
          <t>SUNDSVALL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28559-2020</t>
        </is>
      </c>
      <c r="B2740" s="1" t="n">
        <v>43997</v>
      </c>
      <c r="C2740" s="1" t="n">
        <v>45657</v>
      </c>
      <c r="D2740" t="inlineStr">
        <is>
          <t>VÄSTERNORRLANDS LÄN</t>
        </is>
      </c>
      <c r="E2740" t="inlineStr">
        <is>
          <t>SUNDSVALL</t>
        </is>
      </c>
      <c r="F2740" t="inlineStr">
        <is>
          <t>SCA</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28222-2020</t>
        </is>
      </c>
      <c r="B2741" s="1" t="n">
        <v>43997</v>
      </c>
      <c r="C2741" s="1" t="n">
        <v>45657</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27951-2020</t>
        </is>
      </c>
      <c r="B2742" s="1" t="n">
        <v>43997</v>
      </c>
      <c r="C2742" s="1" t="n">
        <v>45657</v>
      </c>
      <c r="D2742" t="inlineStr">
        <is>
          <t>VÄSTERNORRLANDS LÄN</t>
        </is>
      </c>
      <c r="E2742" t="inlineStr">
        <is>
          <t>KRAMFORS</t>
        </is>
      </c>
      <c r="G2742" t="n">
        <v>18.7</v>
      </c>
      <c r="H2742" t="n">
        <v>0</v>
      </c>
      <c r="I2742" t="n">
        <v>0</v>
      </c>
      <c r="J2742" t="n">
        <v>0</v>
      </c>
      <c r="K2742" t="n">
        <v>0</v>
      </c>
      <c r="L2742" t="n">
        <v>0</v>
      </c>
      <c r="M2742" t="n">
        <v>0</v>
      </c>
      <c r="N2742" t="n">
        <v>0</v>
      </c>
      <c r="O2742" t="n">
        <v>0</v>
      </c>
      <c r="P2742" t="n">
        <v>0</v>
      </c>
      <c r="Q2742" t="n">
        <v>0</v>
      </c>
      <c r="R2742" s="2" t="inlineStr"/>
    </row>
    <row r="2743" ht="15" customHeight="1">
      <c r="A2743" t="inlineStr">
        <is>
          <t>A 28218-2020</t>
        </is>
      </c>
      <c r="B2743" s="1" t="n">
        <v>43997</v>
      </c>
      <c r="C2743" s="1" t="n">
        <v>45657</v>
      </c>
      <c r="D2743" t="inlineStr">
        <is>
          <t>VÄSTERNORRLANDS LÄN</t>
        </is>
      </c>
      <c r="E2743" t="inlineStr">
        <is>
          <t>SUNDSVALL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28489-2020</t>
        </is>
      </c>
      <c r="B2744" s="1" t="n">
        <v>43998</v>
      </c>
      <c r="C2744" s="1" t="n">
        <v>45657</v>
      </c>
      <c r="D2744" t="inlineStr">
        <is>
          <t>VÄSTERNORRLANDS LÄN</t>
        </is>
      </c>
      <c r="E2744" t="inlineStr">
        <is>
          <t>SOLLEFTEÅ</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28486-2020</t>
        </is>
      </c>
      <c r="B2745" s="1" t="n">
        <v>43999</v>
      </c>
      <c r="C2745" s="1" t="n">
        <v>45657</v>
      </c>
      <c r="D2745" t="inlineStr">
        <is>
          <t>VÄSTERNORRLANDS LÄN</t>
        </is>
      </c>
      <c r="E2745" t="inlineStr">
        <is>
          <t>SOLLEFTEÅ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28532-2020</t>
        </is>
      </c>
      <c r="B2746" s="1" t="n">
        <v>43999</v>
      </c>
      <c r="C2746" s="1" t="n">
        <v>45657</v>
      </c>
      <c r="D2746" t="inlineStr">
        <is>
          <t>VÄSTERNORRLANDS LÄN</t>
        </is>
      </c>
      <c r="E2746" t="inlineStr">
        <is>
          <t>KRAMFORS</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28655-2020</t>
        </is>
      </c>
      <c r="B2747" s="1" t="n">
        <v>43999</v>
      </c>
      <c r="C2747" s="1" t="n">
        <v>45657</v>
      </c>
      <c r="D2747" t="inlineStr">
        <is>
          <t>VÄSTERNORRLANDS LÄN</t>
        </is>
      </c>
      <c r="E2747" t="inlineStr">
        <is>
          <t>SUNDSVALL</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28727-2020</t>
        </is>
      </c>
      <c r="B2748" s="1" t="n">
        <v>43999</v>
      </c>
      <c r="C2748" s="1" t="n">
        <v>45657</v>
      </c>
      <c r="D2748" t="inlineStr">
        <is>
          <t>VÄSTERNORRLANDS LÄN</t>
        </is>
      </c>
      <c r="E2748" t="inlineStr">
        <is>
          <t>SUNDSVALL</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28762-2020</t>
        </is>
      </c>
      <c r="B2749" s="1" t="n">
        <v>43999</v>
      </c>
      <c r="C2749" s="1" t="n">
        <v>45657</v>
      </c>
      <c r="D2749" t="inlineStr">
        <is>
          <t>VÄSTERNORRLANDS LÄN</t>
        </is>
      </c>
      <c r="E2749" t="inlineStr">
        <is>
          <t>HÄRNÖSAND</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28724-2020</t>
        </is>
      </c>
      <c r="B2750" s="1" t="n">
        <v>43999</v>
      </c>
      <c r="C2750" s="1" t="n">
        <v>45657</v>
      </c>
      <c r="D2750" t="inlineStr">
        <is>
          <t>VÄSTERNORRLANDS LÄN</t>
        </is>
      </c>
      <c r="E2750" t="inlineStr">
        <is>
          <t>SUNDSVALL</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28890-2020</t>
        </is>
      </c>
      <c r="B2751" s="1" t="n">
        <v>44000</v>
      </c>
      <c r="C2751" s="1" t="n">
        <v>45657</v>
      </c>
      <c r="D2751" t="inlineStr">
        <is>
          <t>VÄSTERNORRLANDS LÄN</t>
        </is>
      </c>
      <c r="E2751" t="inlineStr">
        <is>
          <t>ÅNGE</t>
        </is>
      </c>
      <c r="G2751" t="n">
        <v>15.2</v>
      </c>
      <c r="H2751" t="n">
        <v>0</v>
      </c>
      <c r="I2751" t="n">
        <v>0</v>
      </c>
      <c r="J2751" t="n">
        <v>0</v>
      </c>
      <c r="K2751" t="n">
        <v>0</v>
      </c>
      <c r="L2751" t="n">
        <v>0</v>
      </c>
      <c r="M2751" t="n">
        <v>0</v>
      </c>
      <c r="N2751" t="n">
        <v>0</v>
      </c>
      <c r="O2751" t="n">
        <v>0</v>
      </c>
      <c r="P2751" t="n">
        <v>0</v>
      </c>
      <c r="Q2751" t="n">
        <v>0</v>
      </c>
      <c r="R2751" s="2" t="inlineStr"/>
    </row>
    <row r="2752" ht="15" customHeight="1">
      <c r="A2752" t="inlineStr">
        <is>
          <t>A 28832-2020</t>
        </is>
      </c>
      <c r="B2752" s="1" t="n">
        <v>44000</v>
      </c>
      <c r="C2752" s="1" t="n">
        <v>45657</v>
      </c>
      <c r="D2752" t="inlineStr">
        <is>
          <t>VÄSTERNORRLANDS LÄN</t>
        </is>
      </c>
      <c r="E2752" t="inlineStr">
        <is>
          <t>ÅNGE</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29070-2020</t>
        </is>
      </c>
      <c r="B2753" s="1" t="n">
        <v>44001</v>
      </c>
      <c r="C2753" s="1" t="n">
        <v>45657</v>
      </c>
      <c r="D2753" t="inlineStr">
        <is>
          <t>VÄSTERNORRLANDS LÄN</t>
        </is>
      </c>
      <c r="E2753" t="inlineStr">
        <is>
          <t>KRAMFORS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29059-2020</t>
        </is>
      </c>
      <c r="B2754" s="1" t="n">
        <v>44000</v>
      </c>
      <c r="C2754" s="1" t="n">
        <v>45657</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29430-2020</t>
        </is>
      </c>
      <c r="B2755" s="1" t="n">
        <v>44000</v>
      </c>
      <c r="C2755" s="1" t="n">
        <v>45657</v>
      </c>
      <c r="D2755" t="inlineStr">
        <is>
          <t>VÄSTERNORRLANDS LÄN</t>
        </is>
      </c>
      <c r="E2755" t="inlineStr">
        <is>
          <t>ÖRNSKÖLDSVIK</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29189-2020</t>
        </is>
      </c>
      <c r="B2756" s="1" t="n">
        <v>44004</v>
      </c>
      <c r="C2756" s="1" t="n">
        <v>45657</v>
      </c>
      <c r="D2756" t="inlineStr">
        <is>
          <t>VÄSTERNORRLANDS LÄN</t>
        </is>
      </c>
      <c r="E2756" t="inlineStr">
        <is>
          <t>SUNDSVALL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29353-2020</t>
        </is>
      </c>
      <c r="B2757" s="1" t="n">
        <v>44004</v>
      </c>
      <c r="C2757" s="1" t="n">
        <v>45657</v>
      </c>
      <c r="D2757" t="inlineStr">
        <is>
          <t>VÄSTERNORRLANDS LÄN</t>
        </is>
      </c>
      <c r="E2757" t="inlineStr">
        <is>
          <t>ÖRNSKÖLDSVIK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29475-2020</t>
        </is>
      </c>
      <c r="B2758" s="1" t="n">
        <v>44004</v>
      </c>
      <c r="C2758" s="1" t="n">
        <v>45657</v>
      </c>
      <c r="D2758" t="inlineStr">
        <is>
          <t>VÄSTERNORRLANDS LÄN</t>
        </is>
      </c>
      <c r="E2758" t="inlineStr">
        <is>
          <t>TIMRÅ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29507-2020</t>
        </is>
      </c>
      <c r="B2759" s="1" t="n">
        <v>44004</v>
      </c>
      <c r="C2759" s="1" t="n">
        <v>45657</v>
      </c>
      <c r="D2759" t="inlineStr">
        <is>
          <t>VÄSTERNORRLANDS LÄN</t>
        </is>
      </c>
      <c r="E2759" t="inlineStr">
        <is>
          <t>KRAMFORS</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29648-2020</t>
        </is>
      </c>
      <c r="B2760" s="1" t="n">
        <v>44004</v>
      </c>
      <c r="C2760" s="1" t="n">
        <v>45657</v>
      </c>
      <c r="D2760" t="inlineStr">
        <is>
          <t>VÄSTERNORRLANDS LÄN</t>
        </is>
      </c>
      <c r="E2760" t="inlineStr">
        <is>
          <t>SOLLEFTEÅ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29503-2020</t>
        </is>
      </c>
      <c r="B2761" s="1" t="n">
        <v>44005</v>
      </c>
      <c r="C2761" s="1" t="n">
        <v>45657</v>
      </c>
      <c r="D2761" t="inlineStr">
        <is>
          <t>VÄSTERNORRLANDS LÄN</t>
        </is>
      </c>
      <c r="E2761" t="inlineStr">
        <is>
          <t>SOLLEFTEÅ</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29662-2020</t>
        </is>
      </c>
      <c r="B2762" s="1" t="n">
        <v>44004</v>
      </c>
      <c r="C2762" s="1" t="n">
        <v>45657</v>
      </c>
      <c r="D2762" t="inlineStr">
        <is>
          <t>VÄSTERNORRLANDS LÄN</t>
        </is>
      </c>
      <c r="E2762" t="inlineStr">
        <is>
          <t>ÖRNSKÖLDSVIK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29777-2020</t>
        </is>
      </c>
      <c r="B2763" s="1" t="n">
        <v>44005</v>
      </c>
      <c r="C2763" s="1" t="n">
        <v>45657</v>
      </c>
      <c r="D2763" t="inlineStr">
        <is>
          <t>VÄSTERNORRLANDS LÄN</t>
        </is>
      </c>
      <c r="E2763" t="inlineStr">
        <is>
          <t>SUNDSVALL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29825-2020</t>
        </is>
      </c>
      <c r="B2764" s="1" t="n">
        <v>44005</v>
      </c>
      <c r="C2764" s="1" t="n">
        <v>45657</v>
      </c>
      <c r="D2764" t="inlineStr">
        <is>
          <t>VÄSTERNORRLANDS LÄN</t>
        </is>
      </c>
      <c r="E2764" t="inlineStr">
        <is>
          <t>SOLLEFTEÅ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29815-2020</t>
        </is>
      </c>
      <c r="B2765" s="1" t="n">
        <v>44005</v>
      </c>
      <c r="C2765" s="1" t="n">
        <v>45657</v>
      </c>
      <c r="D2765" t="inlineStr">
        <is>
          <t>VÄSTERNORRLANDS LÄN</t>
        </is>
      </c>
      <c r="E2765" t="inlineStr">
        <is>
          <t>KRAMFORS</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30158-2020</t>
        </is>
      </c>
      <c r="B2766" s="1" t="n">
        <v>44005</v>
      </c>
      <c r="C2766" s="1" t="n">
        <v>45657</v>
      </c>
      <c r="D2766" t="inlineStr">
        <is>
          <t>VÄSTERNORRLANDS LÄN</t>
        </is>
      </c>
      <c r="E2766" t="inlineStr">
        <is>
          <t>KRAMFORS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29784-2020</t>
        </is>
      </c>
      <c r="B2767" s="1" t="n">
        <v>44005</v>
      </c>
      <c r="C2767" s="1" t="n">
        <v>45657</v>
      </c>
      <c r="D2767" t="inlineStr">
        <is>
          <t>VÄSTERNORRLANDS LÄN</t>
        </is>
      </c>
      <c r="E2767" t="inlineStr">
        <is>
          <t>SUNDSVALL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29801-2020</t>
        </is>
      </c>
      <c r="B2768" s="1" t="n">
        <v>44005</v>
      </c>
      <c r="C2768" s="1" t="n">
        <v>45657</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30159-2020</t>
        </is>
      </c>
      <c r="B2769" s="1" t="n">
        <v>44005</v>
      </c>
      <c r="C2769" s="1" t="n">
        <v>45657</v>
      </c>
      <c r="D2769" t="inlineStr">
        <is>
          <t>VÄSTERNORRLANDS LÄN</t>
        </is>
      </c>
      <c r="E2769" t="inlineStr">
        <is>
          <t>KRAMFORS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30162-2020</t>
        </is>
      </c>
      <c r="B2770" s="1" t="n">
        <v>44005</v>
      </c>
      <c r="C2770" s="1" t="n">
        <v>45657</v>
      </c>
      <c r="D2770" t="inlineStr">
        <is>
          <t>VÄSTERNORRLANDS LÄN</t>
        </is>
      </c>
      <c r="E2770" t="inlineStr">
        <is>
          <t>KRAMFORS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29906-2020</t>
        </is>
      </c>
      <c r="B2771" s="1" t="n">
        <v>44006</v>
      </c>
      <c r="C2771" s="1" t="n">
        <v>45657</v>
      </c>
      <c r="D2771" t="inlineStr">
        <is>
          <t>VÄSTERNORRLANDS LÄN</t>
        </is>
      </c>
      <c r="E2771" t="inlineStr">
        <is>
          <t>SUNDSVALL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29950-2020</t>
        </is>
      </c>
      <c r="B2772" s="1" t="n">
        <v>44006</v>
      </c>
      <c r="C2772" s="1" t="n">
        <v>45657</v>
      </c>
      <c r="D2772" t="inlineStr">
        <is>
          <t>VÄSTERNORRLANDS LÄN</t>
        </is>
      </c>
      <c r="E2772" t="inlineStr">
        <is>
          <t>ÅNGE</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30069-2020</t>
        </is>
      </c>
      <c r="B2773" s="1" t="n">
        <v>44006</v>
      </c>
      <c r="C2773" s="1" t="n">
        <v>45657</v>
      </c>
      <c r="D2773" t="inlineStr">
        <is>
          <t>VÄSTERNORRLANDS LÄN</t>
        </is>
      </c>
      <c r="E2773" t="inlineStr">
        <is>
          <t>HÄRNÖSAND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30065-2020</t>
        </is>
      </c>
      <c r="B2774" s="1" t="n">
        <v>44006</v>
      </c>
      <c r="C2774" s="1" t="n">
        <v>45657</v>
      </c>
      <c r="D2774" t="inlineStr">
        <is>
          <t>VÄSTERNORRLANDS LÄN</t>
        </is>
      </c>
      <c r="E2774" t="inlineStr">
        <is>
          <t>HÄRNÖSAND</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30279-2020</t>
        </is>
      </c>
      <c r="B2775" s="1" t="n">
        <v>44007</v>
      </c>
      <c r="C2775" s="1" t="n">
        <v>45657</v>
      </c>
      <c r="D2775" t="inlineStr">
        <is>
          <t>VÄSTERNORRLANDS LÄN</t>
        </is>
      </c>
      <c r="E2775" t="inlineStr">
        <is>
          <t>ÖRNSKÖLDSVIK</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30395-2020</t>
        </is>
      </c>
      <c r="B2776" s="1" t="n">
        <v>44007</v>
      </c>
      <c r="C2776" s="1" t="n">
        <v>45657</v>
      </c>
      <c r="D2776" t="inlineStr">
        <is>
          <t>VÄSTERNORRLANDS LÄN</t>
        </is>
      </c>
      <c r="E2776" t="inlineStr">
        <is>
          <t>ÖRNSKÖLDSVIK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30257-2020</t>
        </is>
      </c>
      <c r="B2777" s="1" t="n">
        <v>44007</v>
      </c>
      <c r="C2777" s="1" t="n">
        <v>45657</v>
      </c>
      <c r="D2777" t="inlineStr">
        <is>
          <t>VÄSTERNORRLANDS LÄN</t>
        </is>
      </c>
      <c r="E2777" t="inlineStr">
        <is>
          <t>HÄRNÖSAND</t>
        </is>
      </c>
      <c r="F2777" t="inlineStr">
        <is>
          <t>Övriga statliga verk och myndigheter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30421-2020</t>
        </is>
      </c>
      <c r="B2778" s="1" t="n">
        <v>44007</v>
      </c>
      <c r="C2778" s="1" t="n">
        <v>45657</v>
      </c>
      <c r="D2778" t="inlineStr">
        <is>
          <t>VÄSTERNORRLANDS LÄN</t>
        </is>
      </c>
      <c r="E2778" t="inlineStr">
        <is>
          <t>ÖRNSKÖLDSVIK</t>
        </is>
      </c>
      <c r="F2778" t="inlineStr">
        <is>
          <t>Holmen skog AB</t>
        </is>
      </c>
      <c r="G2778" t="n">
        <v>16.1</v>
      </c>
      <c r="H2778" t="n">
        <v>0</v>
      </c>
      <c r="I2778" t="n">
        <v>0</v>
      </c>
      <c r="J2778" t="n">
        <v>0</v>
      </c>
      <c r="K2778" t="n">
        <v>0</v>
      </c>
      <c r="L2778" t="n">
        <v>0</v>
      </c>
      <c r="M2778" t="n">
        <v>0</v>
      </c>
      <c r="N2778" t="n">
        <v>0</v>
      </c>
      <c r="O2778" t="n">
        <v>0</v>
      </c>
      <c r="P2778" t="n">
        <v>0</v>
      </c>
      <c r="Q2778" t="n">
        <v>0</v>
      </c>
      <c r="R2778" s="2" t="inlineStr"/>
    </row>
    <row r="2779" ht="15" customHeight="1">
      <c r="A2779" t="inlineStr">
        <is>
          <t>A 30492-2020</t>
        </is>
      </c>
      <c r="B2779" s="1" t="n">
        <v>44007</v>
      </c>
      <c r="C2779" s="1" t="n">
        <v>45657</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30499-2020</t>
        </is>
      </c>
      <c r="B2780" s="1" t="n">
        <v>44007</v>
      </c>
      <c r="C2780" s="1" t="n">
        <v>45657</v>
      </c>
      <c r="D2780" t="inlineStr">
        <is>
          <t>VÄSTERNORRLANDS LÄN</t>
        </is>
      </c>
      <c r="E2780" t="inlineStr">
        <is>
          <t>HÄRNÖSAND</t>
        </is>
      </c>
      <c r="F2780" t="inlineStr">
        <is>
          <t>SCA</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30484-2020</t>
        </is>
      </c>
      <c r="B2781" s="1" t="n">
        <v>44007</v>
      </c>
      <c r="C2781" s="1" t="n">
        <v>45657</v>
      </c>
      <c r="D2781" t="inlineStr">
        <is>
          <t>VÄSTERNORRLANDS LÄN</t>
        </is>
      </c>
      <c r="E2781" t="inlineStr">
        <is>
          <t>SOLLEFTEÅ</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30753-2020</t>
        </is>
      </c>
      <c r="B2782" s="1" t="n">
        <v>44008</v>
      </c>
      <c r="C2782" s="1" t="n">
        <v>45657</v>
      </c>
      <c r="D2782" t="inlineStr">
        <is>
          <t>VÄSTERNORRLANDS LÄN</t>
        </is>
      </c>
      <c r="E2782" t="inlineStr">
        <is>
          <t>SOLLEFTEÅ</t>
        </is>
      </c>
      <c r="F2782" t="inlineStr">
        <is>
          <t>SCA</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30683-2020</t>
        </is>
      </c>
      <c r="B2783" s="1" t="n">
        <v>44008</v>
      </c>
      <c r="C2783" s="1" t="n">
        <v>45657</v>
      </c>
      <c r="D2783" t="inlineStr">
        <is>
          <t>VÄSTERNORRLANDS LÄN</t>
        </is>
      </c>
      <c r="E2783" t="inlineStr">
        <is>
          <t>ÖRNSKÖLDSVIK</t>
        </is>
      </c>
      <c r="F2783" t="inlineStr">
        <is>
          <t>Holmen skog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30685-2020</t>
        </is>
      </c>
      <c r="B2784" s="1" t="n">
        <v>44008</v>
      </c>
      <c r="C2784" s="1" t="n">
        <v>45657</v>
      </c>
      <c r="D2784" t="inlineStr">
        <is>
          <t>VÄSTERNORRLANDS LÄN</t>
        </is>
      </c>
      <c r="E2784" t="inlineStr">
        <is>
          <t>SUNDSVALL</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30747-2020</t>
        </is>
      </c>
      <c r="B2785" s="1" t="n">
        <v>44008</v>
      </c>
      <c r="C2785" s="1" t="n">
        <v>45657</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30802-2020</t>
        </is>
      </c>
      <c r="B2786" s="1" t="n">
        <v>44011</v>
      </c>
      <c r="C2786" s="1" t="n">
        <v>45657</v>
      </c>
      <c r="D2786" t="inlineStr">
        <is>
          <t>VÄSTERNORRLANDS LÄN</t>
        </is>
      </c>
      <c r="E2786" t="inlineStr">
        <is>
          <t>SOLLEFTEÅ</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31079-2020</t>
        </is>
      </c>
      <c r="B2787" s="1" t="n">
        <v>44011</v>
      </c>
      <c r="C2787" s="1" t="n">
        <v>45657</v>
      </c>
      <c r="D2787" t="inlineStr">
        <is>
          <t>VÄSTERNORRLANDS LÄN</t>
        </is>
      </c>
      <c r="E2787" t="inlineStr">
        <is>
          <t>ÅNGE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31083-2020</t>
        </is>
      </c>
      <c r="B2788" s="1" t="n">
        <v>44011</v>
      </c>
      <c r="C2788" s="1" t="n">
        <v>45657</v>
      </c>
      <c r="D2788" t="inlineStr">
        <is>
          <t>VÄSTERNORRLANDS LÄN</t>
        </is>
      </c>
      <c r="E2788" t="inlineStr">
        <is>
          <t>ÖRNSKÖLDSVIK</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30989-2020</t>
        </is>
      </c>
      <c r="B2789" s="1" t="n">
        <v>44011</v>
      </c>
      <c r="C2789" s="1" t="n">
        <v>45657</v>
      </c>
      <c r="D2789" t="inlineStr">
        <is>
          <t>VÄSTERNORRLANDS LÄN</t>
        </is>
      </c>
      <c r="E2789" t="inlineStr">
        <is>
          <t>ÖRNSKÖLDSVIK</t>
        </is>
      </c>
      <c r="F2789" t="inlineStr">
        <is>
          <t>Holmen skog AB</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31050-2020</t>
        </is>
      </c>
      <c r="B2790" s="1" t="n">
        <v>44012</v>
      </c>
      <c r="C2790" s="1" t="n">
        <v>45657</v>
      </c>
      <c r="D2790" t="inlineStr">
        <is>
          <t>VÄSTERNORRLANDS LÄN</t>
        </is>
      </c>
      <c r="E2790" t="inlineStr">
        <is>
          <t>ÖRNSKÖLDSVIK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31067-2020</t>
        </is>
      </c>
      <c r="B2791" s="1" t="n">
        <v>44012</v>
      </c>
      <c r="C2791" s="1" t="n">
        <v>45657</v>
      </c>
      <c r="D2791" t="inlineStr">
        <is>
          <t>VÄSTERNORRLANDS LÄN</t>
        </is>
      </c>
      <c r="E2791" t="inlineStr">
        <is>
          <t>ÖRNSKÖLDSVIK</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31293-2020</t>
        </is>
      </c>
      <c r="B2792" s="1" t="n">
        <v>44012</v>
      </c>
      <c r="C2792" s="1" t="n">
        <v>45657</v>
      </c>
      <c r="D2792" t="inlineStr">
        <is>
          <t>VÄSTERNORRLANDS LÄN</t>
        </is>
      </c>
      <c r="E2792" t="inlineStr">
        <is>
          <t>KRAMFORS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31313-2020</t>
        </is>
      </c>
      <c r="B2793" s="1" t="n">
        <v>44012</v>
      </c>
      <c r="C2793" s="1" t="n">
        <v>45657</v>
      </c>
      <c r="D2793" t="inlineStr">
        <is>
          <t>VÄSTERNORRLANDS LÄN</t>
        </is>
      </c>
      <c r="E2793" t="inlineStr">
        <is>
          <t>SOLLEFTEÅ</t>
        </is>
      </c>
      <c r="F2793" t="inlineStr">
        <is>
          <t>SCA</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31294-2020</t>
        </is>
      </c>
      <c r="B2794" s="1" t="n">
        <v>44012</v>
      </c>
      <c r="C2794" s="1" t="n">
        <v>45657</v>
      </c>
      <c r="D2794" t="inlineStr">
        <is>
          <t>VÄSTERNORRLANDS LÄN</t>
        </is>
      </c>
      <c r="E2794" t="inlineStr">
        <is>
          <t>KRAMFORS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31560-2020</t>
        </is>
      </c>
      <c r="B2795" s="1" t="n">
        <v>44013</v>
      </c>
      <c r="C2795" s="1" t="n">
        <v>45657</v>
      </c>
      <c r="D2795" t="inlineStr">
        <is>
          <t>VÄSTERNORRLANDS LÄN</t>
        </is>
      </c>
      <c r="E2795" t="inlineStr">
        <is>
          <t>ÖRNSKÖLDSVIK</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31586-2020</t>
        </is>
      </c>
      <c r="B2796" s="1" t="n">
        <v>44013</v>
      </c>
      <c r="C2796" s="1" t="n">
        <v>45657</v>
      </c>
      <c r="D2796" t="inlineStr">
        <is>
          <t>VÄSTERNORRLANDS LÄN</t>
        </is>
      </c>
      <c r="E2796" t="inlineStr">
        <is>
          <t>SUNDSVALL</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31594-2020</t>
        </is>
      </c>
      <c r="B2797" s="1" t="n">
        <v>44013</v>
      </c>
      <c r="C2797" s="1" t="n">
        <v>45657</v>
      </c>
      <c r="D2797" t="inlineStr">
        <is>
          <t>VÄSTERNORRLANDS LÄN</t>
        </is>
      </c>
      <c r="E2797" t="inlineStr">
        <is>
          <t>ÖRNSKÖLDSVIK</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31643-2020</t>
        </is>
      </c>
      <c r="B2798" s="1" t="n">
        <v>44013</v>
      </c>
      <c r="C2798" s="1" t="n">
        <v>45657</v>
      </c>
      <c r="D2798" t="inlineStr">
        <is>
          <t>VÄSTERNORRLANDS LÄN</t>
        </is>
      </c>
      <c r="E2798" t="inlineStr">
        <is>
          <t>ÅNGE</t>
        </is>
      </c>
      <c r="F2798" t="inlineStr">
        <is>
          <t>SCA</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31729-2020</t>
        </is>
      </c>
      <c r="B2799" s="1" t="n">
        <v>44013</v>
      </c>
      <c r="C2799" s="1" t="n">
        <v>45657</v>
      </c>
      <c r="D2799" t="inlineStr">
        <is>
          <t>VÄSTERNORRLANDS LÄN</t>
        </is>
      </c>
      <c r="E2799" t="inlineStr">
        <is>
          <t>ÖRNSKÖLDSVIK</t>
        </is>
      </c>
      <c r="G2799" t="n">
        <v>12.6</v>
      </c>
      <c r="H2799" t="n">
        <v>0</v>
      </c>
      <c r="I2799" t="n">
        <v>0</v>
      </c>
      <c r="J2799" t="n">
        <v>0</v>
      </c>
      <c r="K2799" t="n">
        <v>0</v>
      </c>
      <c r="L2799" t="n">
        <v>0</v>
      </c>
      <c r="M2799" t="n">
        <v>0</v>
      </c>
      <c r="N2799" t="n">
        <v>0</v>
      </c>
      <c r="O2799" t="n">
        <v>0</v>
      </c>
      <c r="P2799" t="n">
        <v>0</v>
      </c>
      <c r="Q2799" t="n">
        <v>0</v>
      </c>
      <c r="R2799" s="2" t="inlineStr"/>
    </row>
    <row r="2800" ht="15" customHeight="1">
      <c r="A2800" t="inlineStr">
        <is>
          <t>A 31677-2020</t>
        </is>
      </c>
      <c r="B2800" s="1" t="n">
        <v>44014</v>
      </c>
      <c r="C2800" s="1" t="n">
        <v>45657</v>
      </c>
      <c r="D2800" t="inlineStr">
        <is>
          <t>VÄSTERNORRLANDS LÄN</t>
        </is>
      </c>
      <c r="E2800" t="inlineStr">
        <is>
          <t>ÖRNSKÖLDSVIK</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31867-2020</t>
        </is>
      </c>
      <c r="B2801" s="1" t="n">
        <v>44014</v>
      </c>
      <c r="C2801" s="1" t="n">
        <v>45657</v>
      </c>
      <c r="D2801" t="inlineStr">
        <is>
          <t>VÄSTERNORRLANDS LÄN</t>
        </is>
      </c>
      <c r="E2801" t="inlineStr">
        <is>
          <t>ÅNGE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31884-2020</t>
        </is>
      </c>
      <c r="B2802" s="1" t="n">
        <v>44014</v>
      </c>
      <c r="C2802" s="1" t="n">
        <v>45657</v>
      </c>
      <c r="D2802" t="inlineStr">
        <is>
          <t>VÄSTERNORRLANDS LÄN</t>
        </is>
      </c>
      <c r="E2802" t="inlineStr">
        <is>
          <t>ÖRNSKÖLDSVIK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32005-2020</t>
        </is>
      </c>
      <c r="B2803" s="1" t="n">
        <v>44014</v>
      </c>
      <c r="C2803" s="1" t="n">
        <v>45657</v>
      </c>
      <c r="D2803" t="inlineStr">
        <is>
          <t>VÄSTERNORRLANDS LÄN</t>
        </is>
      </c>
      <c r="E2803" t="inlineStr">
        <is>
          <t>HÄRNÖSAND</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31926-2020</t>
        </is>
      </c>
      <c r="B2804" s="1" t="n">
        <v>44014</v>
      </c>
      <c r="C2804" s="1" t="n">
        <v>45657</v>
      </c>
      <c r="D2804" t="inlineStr">
        <is>
          <t>VÄSTERNORRLANDS LÄN</t>
        </is>
      </c>
      <c r="E2804" t="inlineStr">
        <is>
          <t>ÅNGE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31965-2020</t>
        </is>
      </c>
      <c r="B2805" s="1" t="n">
        <v>44014</v>
      </c>
      <c r="C2805" s="1" t="n">
        <v>45657</v>
      </c>
      <c r="D2805" t="inlineStr">
        <is>
          <t>VÄSTERNORRLANDS LÄN</t>
        </is>
      </c>
      <c r="E2805" t="inlineStr">
        <is>
          <t>SUNDSVALL</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31984-2020</t>
        </is>
      </c>
      <c r="B2806" s="1" t="n">
        <v>44014</v>
      </c>
      <c r="C2806" s="1" t="n">
        <v>45657</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32013-2020</t>
        </is>
      </c>
      <c r="B2807" s="1" t="n">
        <v>44015</v>
      </c>
      <c r="C2807" s="1" t="n">
        <v>45657</v>
      </c>
      <c r="D2807" t="inlineStr">
        <is>
          <t>VÄSTERNORRLANDS LÄN</t>
        </is>
      </c>
      <c r="E2807" t="inlineStr">
        <is>
          <t>SOLLEFTEÅ</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32170-2020</t>
        </is>
      </c>
      <c r="B2808" s="1" t="n">
        <v>44014</v>
      </c>
      <c r="C2808" s="1" t="n">
        <v>45657</v>
      </c>
      <c r="D2808" t="inlineStr">
        <is>
          <t>VÄSTERNORRLANDS LÄN</t>
        </is>
      </c>
      <c r="E2808" t="inlineStr">
        <is>
          <t>HÄRNÖSAND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32000-2020</t>
        </is>
      </c>
      <c r="B2809" s="1" t="n">
        <v>44014</v>
      </c>
      <c r="C2809" s="1" t="n">
        <v>45657</v>
      </c>
      <c r="D2809" t="inlineStr">
        <is>
          <t>VÄSTERNORRLANDS LÄN</t>
        </is>
      </c>
      <c r="E2809" t="inlineStr">
        <is>
          <t>HÄRNÖSAND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32115-2020</t>
        </is>
      </c>
      <c r="B2810" s="1" t="n">
        <v>44014</v>
      </c>
      <c r="C2810" s="1" t="n">
        <v>45657</v>
      </c>
      <c r="D2810" t="inlineStr">
        <is>
          <t>VÄSTERNORRLANDS LÄN</t>
        </is>
      </c>
      <c r="E2810" t="inlineStr">
        <is>
          <t>KRAMFORS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31996-2020</t>
        </is>
      </c>
      <c r="B2811" s="1" t="n">
        <v>44014</v>
      </c>
      <c r="C2811" s="1" t="n">
        <v>45657</v>
      </c>
      <c r="D2811" t="inlineStr">
        <is>
          <t>VÄSTERNORRLANDS LÄN</t>
        </is>
      </c>
      <c r="E2811" t="inlineStr">
        <is>
          <t>HÄRNÖSAND</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31997-2020</t>
        </is>
      </c>
      <c r="B2812" s="1" t="n">
        <v>44015</v>
      </c>
      <c r="C2812" s="1" t="n">
        <v>45657</v>
      </c>
      <c r="D2812" t="inlineStr">
        <is>
          <t>VÄSTERNORRLANDS LÄN</t>
        </is>
      </c>
      <c r="E2812" t="inlineStr">
        <is>
          <t>HÄRNÖSAND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32325-2020</t>
        </is>
      </c>
      <c r="B2813" s="1" t="n">
        <v>44016</v>
      </c>
      <c r="C2813" s="1" t="n">
        <v>45657</v>
      </c>
      <c r="D2813" t="inlineStr">
        <is>
          <t>VÄSTERNORRLANDS LÄN</t>
        </is>
      </c>
      <c r="E2813" t="inlineStr">
        <is>
          <t>SOLLEFTEÅ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32461-2020</t>
        </is>
      </c>
      <c r="B2814" s="1" t="n">
        <v>44015</v>
      </c>
      <c r="C2814" s="1" t="n">
        <v>45657</v>
      </c>
      <c r="D2814" t="inlineStr">
        <is>
          <t>VÄSTERNORRLANDS LÄN</t>
        </is>
      </c>
      <c r="E2814" t="inlineStr">
        <is>
          <t>SOLLEFTEÅ</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32198-2020</t>
        </is>
      </c>
      <c r="B2815" s="1" t="n">
        <v>44015</v>
      </c>
      <c r="C2815" s="1" t="n">
        <v>45657</v>
      </c>
      <c r="D2815" t="inlineStr">
        <is>
          <t>VÄSTERNORRLANDS LÄN</t>
        </is>
      </c>
      <c r="E2815" t="inlineStr">
        <is>
          <t>ÖRNSKÖLDSVIK</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32299-2020</t>
        </is>
      </c>
      <c r="B2816" s="1" t="n">
        <v>44015</v>
      </c>
      <c r="C2816" s="1" t="n">
        <v>45657</v>
      </c>
      <c r="D2816" t="inlineStr">
        <is>
          <t>VÄSTERNORRLANDS LÄN</t>
        </is>
      </c>
      <c r="E2816" t="inlineStr">
        <is>
          <t>ÅNGE</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32211-2020</t>
        </is>
      </c>
      <c r="B2817" s="1" t="n">
        <v>44015</v>
      </c>
      <c r="C2817" s="1" t="n">
        <v>45657</v>
      </c>
      <c r="D2817" t="inlineStr">
        <is>
          <t>VÄSTERNORRLANDS LÄN</t>
        </is>
      </c>
      <c r="E2817" t="inlineStr">
        <is>
          <t>ÖRNSKÖLDSVIK</t>
        </is>
      </c>
      <c r="F2817" t="inlineStr">
        <is>
          <t>Kyrkan</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32303-2020</t>
        </is>
      </c>
      <c r="B2818" s="1" t="n">
        <v>44015</v>
      </c>
      <c r="C2818" s="1" t="n">
        <v>45657</v>
      </c>
      <c r="D2818" t="inlineStr">
        <is>
          <t>VÄSTERNORRLANDS LÄN</t>
        </is>
      </c>
      <c r="E2818" t="inlineStr">
        <is>
          <t>ÅNGE</t>
        </is>
      </c>
      <c r="F2818" t="inlineStr">
        <is>
          <t>SCA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32318-2020</t>
        </is>
      </c>
      <c r="B2819" s="1" t="n">
        <v>44015</v>
      </c>
      <c r="C2819" s="1" t="n">
        <v>45657</v>
      </c>
      <c r="D2819" t="inlineStr">
        <is>
          <t>VÄSTERNORRLANDS LÄN</t>
        </is>
      </c>
      <c r="E2819" t="inlineStr">
        <is>
          <t>SOLLEFTEÅ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32425-2020</t>
        </is>
      </c>
      <c r="B2820" s="1" t="n">
        <v>44018</v>
      </c>
      <c r="C2820" s="1" t="n">
        <v>45657</v>
      </c>
      <c r="D2820" t="inlineStr">
        <is>
          <t>VÄSTERNORRLANDS LÄN</t>
        </is>
      </c>
      <c r="E2820" t="inlineStr">
        <is>
          <t>SUNDSVALL</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32402-2020</t>
        </is>
      </c>
      <c r="B2821" s="1" t="n">
        <v>44018</v>
      </c>
      <c r="C2821" s="1" t="n">
        <v>45657</v>
      </c>
      <c r="D2821" t="inlineStr">
        <is>
          <t>VÄSTERNORRLANDS LÄN</t>
        </is>
      </c>
      <c r="E2821" t="inlineStr">
        <is>
          <t>ÖRNSKÖLDSVIK</t>
        </is>
      </c>
      <c r="G2821" t="n">
        <v>20.9</v>
      </c>
      <c r="H2821" t="n">
        <v>0</v>
      </c>
      <c r="I2821" t="n">
        <v>0</v>
      </c>
      <c r="J2821" t="n">
        <v>0</v>
      </c>
      <c r="K2821" t="n">
        <v>0</v>
      </c>
      <c r="L2821" t="n">
        <v>0</v>
      </c>
      <c r="M2821" t="n">
        <v>0</v>
      </c>
      <c r="N2821" t="n">
        <v>0</v>
      </c>
      <c r="O2821" t="n">
        <v>0</v>
      </c>
      <c r="P2821" t="n">
        <v>0</v>
      </c>
      <c r="Q2821" t="n">
        <v>0</v>
      </c>
      <c r="R2821" s="2" t="inlineStr"/>
    </row>
    <row r="2822" ht="15" customHeight="1">
      <c r="A2822" t="inlineStr">
        <is>
          <t>A 32573-2020</t>
        </is>
      </c>
      <c r="B2822" s="1" t="n">
        <v>44018</v>
      </c>
      <c r="C2822" s="1" t="n">
        <v>45657</v>
      </c>
      <c r="D2822" t="inlineStr">
        <is>
          <t>VÄSTERNORRLANDS LÄN</t>
        </is>
      </c>
      <c r="E2822" t="inlineStr">
        <is>
          <t>ÖRNSKÖLDSVIK</t>
        </is>
      </c>
      <c r="F2822" t="inlineStr">
        <is>
          <t>Holmen skog AB</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32646-2020</t>
        </is>
      </c>
      <c r="B2823" s="1" t="n">
        <v>44018</v>
      </c>
      <c r="C2823" s="1" t="n">
        <v>45657</v>
      </c>
      <c r="D2823" t="inlineStr">
        <is>
          <t>VÄSTERNORRLANDS LÄN</t>
        </is>
      </c>
      <c r="E2823" t="inlineStr">
        <is>
          <t>SUNDSVALL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32866-2020</t>
        </is>
      </c>
      <c r="B2824" s="1" t="n">
        <v>44018</v>
      </c>
      <c r="C2824" s="1" t="n">
        <v>45657</v>
      </c>
      <c r="D2824" t="inlineStr">
        <is>
          <t>VÄSTERNORRLANDS LÄN</t>
        </is>
      </c>
      <c r="E2824" t="inlineStr">
        <is>
          <t>KRAMFORS</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32919-2020</t>
        </is>
      </c>
      <c r="B2825" s="1" t="n">
        <v>44018</v>
      </c>
      <c r="C2825" s="1" t="n">
        <v>45657</v>
      </c>
      <c r="D2825" t="inlineStr">
        <is>
          <t>VÄSTERNORRLANDS LÄN</t>
        </is>
      </c>
      <c r="E2825" t="inlineStr">
        <is>
          <t>SOLLEFTEÅ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32929-2020</t>
        </is>
      </c>
      <c r="B2826" s="1" t="n">
        <v>44018</v>
      </c>
      <c r="C2826" s="1" t="n">
        <v>45657</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32852-2020</t>
        </is>
      </c>
      <c r="B2827" s="1" t="n">
        <v>44018</v>
      </c>
      <c r="C2827" s="1" t="n">
        <v>45657</v>
      </c>
      <c r="D2827" t="inlineStr">
        <is>
          <t>VÄSTERNORRLANDS LÄN</t>
        </is>
      </c>
      <c r="E2827" t="inlineStr">
        <is>
          <t>KRAMFORS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32924-2020</t>
        </is>
      </c>
      <c r="B2828" s="1" t="n">
        <v>44018</v>
      </c>
      <c r="C2828" s="1" t="n">
        <v>45657</v>
      </c>
      <c r="D2828" t="inlineStr">
        <is>
          <t>VÄSTERNORRLANDS LÄN</t>
        </is>
      </c>
      <c r="E2828" t="inlineStr">
        <is>
          <t>SOLLEFTEÅ</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32772-2020</t>
        </is>
      </c>
      <c r="B2829" s="1" t="n">
        <v>44019</v>
      </c>
      <c r="C2829" s="1" t="n">
        <v>45657</v>
      </c>
      <c r="D2829" t="inlineStr">
        <is>
          <t>VÄSTERNORRLANDS LÄN</t>
        </is>
      </c>
      <c r="E2829" t="inlineStr">
        <is>
          <t>KRAMFORS</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32742-2020</t>
        </is>
      </c>
      <c r="B2830" s="1" t="n">
        <v>44019</v>
      </c>
      <c r="C2830" s="1" t="n">
        <v>45657</v>
      </c>
      <c r="D2830" t="inlineStr">
        <is>
          <t>VÄSTERNORRLANDS LÄN</t>
        </is>
      </c>
      <c r="E2830" t="inlineStr">
        <is>
          <t>SOLLEFTEÅ</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32760-2020</t>
        </is>
      </c>
      <c r="B2831" s="1" t="n">
        <v>44019</v>
      </c>
      <c r="C2831" s="1" t="n">
        <v>45657</v>
      </c>
      <c r="D2831" t="inlineStr">
        <is>
          <t>VÄSTERNORRLANDS LÄN</t>
        </is>
      </c>
      <c r="E2831" t="inlineStr">
        <is>
          <t>ÅNGE</t>
        </is>
      </c>
      <c r="F2831" t="inlineStr">
        <is>
          <t>SCA</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32774-2020</t>
        </is>
      </c>
      <c r="B2832" s="1" t="n">
        <v>44019</v>
      </c>
      <c r="C2832" s="1" t="n">
        <v>45657</v>
      </c>
      <c r="D2832" t="inlineStr">
        <is>
          <t>VÄSTERNORRLANDS LÄN</t>
        </is>
      </c>
      <c r="E2832" t="inlineStr">
        <is>
          <t>KRAMFORS</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32786-2020</t>
        </is>
      </c>
      <c r="B2833" s="1" t="n">
        <v>44019</v>
      </c>
      <c r="C2833" s="1" t="n">
        <v>45657</v>
      </c>
      <c r="D2833" t="inlineStr">
        <is>
          <t>VÄSTERNORRLANDS LÄN</t>
        </is>
      </c>
      <c r="E2833" t="inlineStr">
        <is>
          <t>HÄRNÖSAND</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33013-2020</t>
        </is>
      </c>
      <c r="B2834" s="1" t="n">
        <v>44020</v>
      </c>
      <c r="C2834" s="1" t="n">
        <v>45657</v>
      </c>
      <c r="D2834" t="inlineStr">
        <is>
          <t>VÄSTERNORRLANDS LÄN</t>
        </is>
      </c>
      <c r="E2834" t="inlineStr">
        <is>
          <t>SOLLEFTEÅ</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32998-2020</t>
        </is>
      </c>
      <c r="B2835" s="1" t="n">
        <v>44020</v>
      </c>
      <c r="C2835" s="1" t="n">
        <v>45657</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33009-2020</t>
        </is>
      </c>
      <c r="B2836" s="1" t="n">
        <v>44020</v>
      </c>
      <c r="C2836" s="1" t="n">
        <v>45657</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32997-2020</t>
        </is>
      </c>
      <c r="B2837" s="1" t="n">
        <v>44021</v>
      </c>
      <c r="C2837" s="1" t="n">
        <v>45657</v>
      </c>
      <c r="D2837" t="inlineStr">
        <is>
          <t>VÄSTERNORRLANDS LÄN</t>
        </is>
      </c>
      <c r="E2837" t="inlineStr">
        <is>
          <t>SUNDSVALL</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33014-2020</t>
        </is>
      </c>
      <c r="B2838" s="1" t="n">
        <v>44021</v>
      </c>
      <c r="C2838" s="1" t="n">
        <v>45657</v>
      </c>
      <c r="D2838" t="inlineStr">
        <is>
          <t>VÄSTERNORRLANDS LÄN</t>
        </is>
      </c>
      <c r="E2838" t="inlineStr">
        <is>
          <t>SOLLEFTEÅ</t>
        </is>
      </c>
      <c r="F2838" t="inlineStr">
        <is>
          <t>SCA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33010-2020</t>
        </is>
      </c>
      <c r="B2839" s="1" t="n">
        <v>44020</v>
      </c>
      <c r="C2839" s="1" t="n">
        <v>45657</v>
      </c>
      <c r="D2839" t="inlineStr">
        <is>
          <t>VÄSTERNORRLANDS LÄN</t>
        </is>
      </c>
      <c r="E2839" t="inlineStr">
        <is>
          <t>SOLLEFTEÅ</t>
        </is>
      </c>
      <c r="F2839" t="inlineStr">
        <is>
          <t>SCA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33200-2020</t>
        </is>
      </c>
      <c r="B2840" s="1" t="n">
        <v>44021</v>
      </c>
      <c r="C2840" s="1" t="n">
        <v>45657</v>
      </c>
      <c r="D2840" t="inlineStr">
        <is>
          <t>VÄSTERNORRLANDS LÄN</t>
        </is>
      </c>
      <c r="E2840" t="inlineStr">
        <is>
          <t>SOLLEFTEÅ</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33211-2020</t>
        </is>
      </c>
      <c r="B2841" s="1" t="n">
        <v>44021</v>
      </c>
      <c r="C2841" s="1" t="n">
        <v>45657</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33212-2020</t>
        </is>
      </c>
      <c r="B2842" s="1" t="n">
        <v>44021</v>
      </c>
      <c r="C2842" s="1" t="n">
        <v>45657</v>
      </c>
      <c r="D2842" t="inlineStr">
        <is>
          <t>VÄSTERNORRLANDS LÄN</t>
        </is>
      </c>
      <c r="E2842" t="inlineStr">
        <is>
          <t>SOLLEFTEÅ</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33440-2020</t>
        </is>
      </c>
      <c r="B2843" s="1" t="n">
        <v>44022</v>
      </c>
      <c r="C2843" s="1" t="n">
        <v>45657</v>
      </c>
      <c r="D2843" t="inlineStr">
        <is>
          <t>VÄSTERNORRLANDS LÄN</t>
        </is>
      </c>
      <c r="E2843" t="inlineStr">
        <is>
          <t>SOLLEFTEÅ</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33458-2020</t>
        </is>
      </c>
      <c r="B2844" s="1" t="n">
        <v>44022</v>
      </c>
      <c r="C2844" s="1" t="n">
        <v>45657</v>
      </c>
      <c r="D2844" t="inlineStr">
        <is>
          <t>VÄSTERNORRLANDS LÄN</t>
        </is>
      </c>
      <c r="E2844" t="inlineStr">
        <is>
          <t>SOLLEFTEÅ</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33442-2020</t>
        </is>
      </c>
      <c r="B2845" s="1" t="n">
        <v>44023</v>
      </c>
      <c r="C2845" s="1" t="n">
        <v>45657</v>
      </c>
      <c r="D2845" t="inlineStr">
        <is>
          <t>VÄSTERNORRLANDS LÄN</t>
        </is>
      </c>
      <c r="E2845" t="inlineStr">
        <is>
          <t>ÅNGE</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33445-2020</t>
        </is>
      </c>
      <c r="B2846" s="1" t="n">
        <v>44022</v>
      </c>
      <c r="C2846" s="1" t="n">
        <v>45657</v>
      </c>
      <c r="D2846" t="inlineStr">
        <is>
          <t>VÄSTERNORRLANDS LÄN</t>
        </is>
      </c>
      <c r="E2846" t="inlineStr">
        <is>
          <t>SOLLEFTEÅ</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33492-2020</t>
        </is>
      </c>
      <c r="B2847" s="1" t="n">
        <v>44024</v>
      </c>
      <c r="C2847" s="1" t="n">
        <v>45657</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33619-2020</t>
        </is>
      </c>
      <c r="B2848" s="1" t="n">
        <v>44026</v>
      </c>
      <c r="C2848" s="1" t="n">
        <v>45657</v>
      </c>
      <c r="D2848" t="inlineStr">
        <is>
          <t>VÄSTERNORRLANDS LÄN</t>
        </is>
      </c>
      <c r="E2848" t="inlineStr">
        <is>
          <t>ÅNGE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33554-2020</t>
        </is>
      </c>
      <c r="B2849" s="1" t="n">
        <v>44025</v>
      </c>
      <c r="C2849" s="1" t="n">
        <v>45657</v>
      </c>
      <c r="D2849" t="inlineStr">
        <is>
          <t>VÄSTERNORRLANDS LÄN</t>
        </is>
      </c>
      <c r="E2849" t="inlineStr">
        <is>
          <t>ÖRNSKÖLDSVIK</t>
        </is>
      </c>
      <c r="F2849" t="inlineStr">
        <is>
          <t>Kommuner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33563-2020</t>
        </is>
      </c>
      <c r="B2850" s="1" t="n">
        <v>44025</v>
      </c>
      <c r="C2850" s="1" t="n">
        <v>45657</v>
      </c>
      <c r="D2850" t="inlineStr">
        <is>
          <t>VÄSTERNORRLANDS LÄN</t>
        </is>
      </c>
      <c r="E2850" t="inlineStr">
        <is>
          <t>ÖRNSKÖLDSVIK</t>
        </is>
      </c>
      <c r="F2850" t="inlineStr">
        <is>
          <t>Kommuner</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33640-2020</t>
        </is>
      </c>
      <c r="B2851" s="1" t="n">
        <v>44025</v>
      </c>
      <c r="C2851" s="1" t="n">
        <v>45657</v>
      </c>
      <c r="D2851" t="inlineStr">
        <is>
          <t>VÄSTERNORRLANDS LÄN</t>
        </is>
      </c>
      <c r="E2851" t="inlineStr">
        <is>
          <t>SOLLEFTEÅ</t>
        </is>
      </c>
      <c r="F2851" t="inlineStr">
        <is>
          <t>SCA</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33641-2020</t>
        </is>
      </c>
      <c r="B2852" s="1" t="n">
        <v>44025</v>
      </c>
      <c r="C2852" s="1" t="n">
        <v>45657</v>
      </c>
      <c r="D2852" t="inlineStr">
        <is>
          <t>VÄSTERNORRLANDS LÄN</t>
        </is>
      </c>
      <c r="E2852" t="inlineStr">
        <is>
          <t>SOLLEFTEÅ</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33524-2020</t>
        </is>
      </c>
      <c r="B2853" s="1" t="n">
        <v>44025</v>
      </c>
      <c r="C2853" s="1" t="n">
        <v>45657</v>
      </c>
      <c r="D2853" t="inlineStr">
        <is>
          <t>VÄSTERNORRLANDS LÄN</t>
        </is>
      </c>
      <c r="E2853" t="inlineStr">
        <is>
          <t>ÅNGE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33628-2020</t>
        </is>
      </c>
      <c r="B2854" s="1" t="n">
        <v>44025</v>
      </c>
      <c r="C2854" s="1" t="n">
        <v>45657</v>
      </c>
      <c r="D2854" t="inlineStr">
        <is>
          <t>VÄSTERNORRLANDS LÄN</t>
        </is>
      </c>
      <c r="E2854" t="inlineStr">
        <is>
          <t>SOLLEFTEÅ</t>
        </is>
      </c>
      <c r="F2854" t="inlineStr">
        <is>
          <t>SCA</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33877-2020</t>
        </is>
      </c>
      <c r="B2855" s="1" t="n">
        <v>44025</v>
      </c>
      <c r="C2855" s="1" t="n">
        <v>45657</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33784-2020</t>
        </is>
      </c>
      <c r="B2856" s="1" t="n">
        <v>44026</v>
      </c>
      <c r="C2856" s="1" t="n">
        <v>45657</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33727-2020</t>
        </is>
      </c>
      <c r="B2857" s="1" t="n">
        <v>44026</v>
      </c>
      <c r="C2857" s="1" t="n">
        <v>45657</v>
      </c>
      <c r="D2857" t="inlineStr">
        <is>
          <t>VÄSTERNORRLANDS LÄN</t>
        </is>
      </c>
      <c r="E2857" t="inlineStr">
        <is>
          <t>ÖRNSKÖLDSVIK</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33782-2020</t>
        </is>
      </c>
      <c r="B2858" s="1" t="n">
        <v>44026</v>
      </c>
      <c r="C2858" s="1" t="n">
        <v>45657</v>
      </c>
      <c r="D2858" t="inlineStr">
        <is>
          <t>VÄSTERNORRLANDS LÄN</t>
        </is>
      </c>
      <c r="E2858" t="inlineStr">
        <is>
          <t>SOLLEFTEÅ</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33779-2020</t>
        </is>
      </c>
      <c r="B2859" s="1" t="n">
        <v>44026</v>
      </c>
      <c r="C2859" s="1" t="n">
        <v>45657</v>
      </c>
      <c r="D2859" t="inlineStr">
        <is>
          <t>VÄSTERNORRLANDS LÄN</t>
        </is>
      </c>
      <c r="E2859" t="inlineStr">
        <is>
          <t>SUNDSVALL</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33703-2020</t>
        </is>
      </c>
      <c r="B2860" s="1" t="n">
        <v>44026</v>
      </c>
      <c r="C2860" s="1" t="n">
        <v>45657</v>
      </c>
      <c r="D2860" t="inlineStr">
        <is>
          <t>VÄSTERNORRLANDS LÄN</t>
        </is>
      </c>
      <c r="E2860" t="inlineStr">
        <is>
          <t>ÖRNSKÖLDSVIK</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33879-2020</t>
        </is>
      </c>
      <c r="B2861" s="1" t="n">
        <v>44027</v>
      </c>
      <c r="C2861" s="1" t="n">
        <v>45657</v>
      </c>
      <c r="D2861" t="inlineStr">
        <is>
          <t>VÄSTERNORRLANDS LÄN</t>
        </is>
      </c>
      <c r="E2861" t="inlineStr">
        <is>
          <t>ÖRNSKÖLDSVIK</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33929-2020</t>
        </is>
      </c>
      <c r="B2862" s="1" t="n">
        <v>44027</v>
      </c>
      <c r="C2862" s="1" t="n">
        <v>45657</v>
      </c>
      <c r="D2862" t="inlineStr">
        <is>
          <t>VÄSTERNORRLANDS LÄN</t>
        </is>
      </c>
      <c r="E2862" t="inlineStr">
        <is>
          <t>KRAMFORS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33950-2020</t>
        </is>
      </c>
      <c r="B2863" s="1" t="n">
        <v>44027</v>
      </c>
      <c r="C2863" s="1" t="n">
        <v>45657</v>
      </c>
      <c r="D2863" t="inlineStr">
        <is>
          <t>VÄSTERNORRLANDS LÄN</t>
        </is>
      </c>
      <c r="E2863" t="inlineStr">
        <is>
          <t>SOLLEFTEÅ</t>
        </is>
      </c>
      <c r="F2863" t="inlineStr">
        <is>
          <t>SCA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34352-2020</t>
        </is>
      </c>
      <c r="B2864" s="1" t="n">
        <v>44028</v>
      </c>
      <c r="C2864" s="1" t="n">
        <v>45657</v>
      </c>
      <c r="D2864" t="inlineStr">
        <is>
          <t>VÄSTERNORRLANDS LÄN</t>
        </is>
      </c>
      <c r="E2864" t="inlineStr">
        <is>
          <t>KRAMFORS</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33966-2020</t>
        </is>
      </c>
      <c r="B2865" s="1" t="n">
        <v>44028</v>
      </c>
      <c r="C2865" s="1" t="n">
        <v>45657</v>
      </c>
      <c r="D2865" t="inlineStr">
        <is>
          <t>VÄSTERNORRLANDS LÄN</t>
        </is>
      </c>
      <c r="E2865" t="inlineStr">
        <is>
          <t>TIMRÅ</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34120-2020</t>
        </is>
      </c>
      <c r="B2866" s="1" t="n">
        <v>44029</v>
      </c>
      <c r="C2866" s="1" t="n">
        <v>45657</v>
      </c>
      <c r="D2866" t="inlineStr">
        <is>
          <t>VÄSTERNORRLANDS LÄN</t>
        </is>
      </c>
      <c r="E2866" t="inlineStr">
        <is>
          <t>SOLLEFTEÅ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34175-2020</t>
        </is>
      </c>
      <c r="B2867" s="1" t="n">
        <v>44029</v>
      </c>
      <c r="C2867" s="1" t="n">
        <v>45657</v>
      </c>
      <c r="D2867" t="inlineStr">
        <is>
          <t>VÄSTERNORRLANDS LÄN</t>
        </is>
      </c>
      <c r="E2867" t="inlineStr">
        <is>
          <t>ÅNGE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34237-2020</t>
        </is>
      </c>
      <c r="B2868" s="1" t="n">
        <v>44029</v>
      </c>
      <c r="C2868" s="1" t="n">
        <v>45657</v>
      </c>
      <c r="D2868" t="inlineStr">
        <is>
          <t>VÄSTERNORRLANDS LÄN</t>
        </is>
      </c>
      <c r="E2868" t="inlineStr">
        <is>
          <t>ÅNGE</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34420-2020</t>
        </is>
      </c>
      <c r="B2869" s="1" t="n">
        <v>44032</v>
      </c>
      <c r="C2869" s="1" t="n">
        <v>45657</v>
      </c>
      <c r="D2869" t="inlineStr">
        <is>
          <t>VÄSTERNORRLANDS LÄN</t>
        </is>
      </c>
      <c r="E2869" t="inlineStr">
        <is>
          <t>ÅNGE</t>
        </is>
      </c>
      <c r="G2869" t="n">
        <v>13.9</v>
      </c>
      <c r="H2869" t="n">
        <v>0</v>
      </c>
      <c r="I2869" t="n">
        <v>0</v>
      </c>
      <c r="J2869" t="n">
        <v>0</v>
      </c>
      <c r="K2869" t="n">
        <v>0</v>
      </c>
      <c r="L2869" t="n">
        <v>0</v>
      </c>
      <c r="M2869" t="n">
        <v>0</v>
      </c>
      <c r="N2869" t="n">
        <v>0</v>
      </c>
      <c r="O2869" t="n">
        <v>0</v>
      </c>
      <c r="P2869" t="n">
        <v>0</v>
      </c>
      <c r="Q2869" t="n">
        <v>0</v>
      </c>
      <c r="R2869" s="2" t="inlineStr"/>
    </row>
    <row r="2870" ht="15" customHeight="1">
      <c r="A2870" t="inlineStr">
        <is>
          <t>A 34474-2020</t>
        </is>
      </c>
      <c r="B2870" s="1" t="n">
        <v>44032</v>
      </c>
      <c r="C2870" s="1" t="n">
        <v>45657</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34400-2020</t>
        </is>
      </c>
      <c r="B2871" s="1" t="n">
        <v>44032</v>
      </c>
      <c r="C2871" s="1" t="n">
        <v>45657</v>
      </c>
      <c r="D2871" t="inlineStr">
        <is>
          <t>VÄSTERNORRLANDS LÄN</t>
        </is>
      </c>
      <c r="E2871" t="inlineStr">
        <is>
          <t>ÅNGE</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34568-2020</t>
        </is>
      </c>
      <c r="B2872" s="1" t="n">
        <v>44033</v>
      </c>
      <c r="C2872" s="1" t="n">
        <v>45657</v>
      </c>
      <c r="D2872" t="inlineStr">
        <is>
          <t>VÄSTERNORRLANDS LÄN</t>
        </is>
      </c>
      <c r="E2872" t="inlineStr">
        <is>
          <t>SUNDSVALL</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34585-2020</t>
        </is>
      </c>
      <c r="B2873" s="1" t="n">
        <v>44033</v>
      </c>
      <c r="C2873" s="1" t="n">
        <v>45657</v>
      </c>
      <c r="D2873" t="inlineStr">
        <is>
          <t>VÄSTERNORRLANDS LÄN</t>
        </is>
      </c>
      <c r="E2873" t="inlineStr">
        <is>
          <t>SOLLEFTEÅ</t>
        </is>
      </c>
      <c r="F2873" t="inlineStr">
        <is>
          <t>SCA</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34655-2020</t>
        </is>
      </c>
      <c r="B2874" s="1" t="n">
        <v>44034</v>
      </c>
      <c r="C2874" s="1" t="n">
        <v>45657</v>
      </c>
      <c r="D2874" t="inlineStr">
        <is>
          <t>VÄSTERNORRLANDS LÄN</t>
        </is>
      </c>
      <c r="E2874" t="inlineStr">
        <is>
          <t>SUNDSVALL</t>
        </is>
      </c>
      <c r="F2874" t="inlineStr">
        <is>
          <t>Naturvårdsverket</t>
        </is>
      </c>
      <c r="G2874" t="n">
        <v>39.1</v>
      </c>
      <c r="H2874" t="n">
        <v>0</v>
      </c>
      <c r="I2874" t="n">
        <v>0</v>
      </c>
      <c r="J2874" t="n">
        <v>0</v>
      </c>
      <c r="K2874" t="n">
        <v>0</v>
      </c>
      <c r="L2874" t="n">
        <v>0</v>
      </c>
      <c r="M2874" t="n">
        <v>0</v>
      </c>
      <c r="N2874" t="n">
        <v>0</v>
      </c>
      <c r="O2874" t="n">
        <v>0</v>
      </c>
      <c r="P2874" t="n">
        <v>0</v>
      </c>
      <c r="Q2874" t="n">
        <v>0</v>
      </c>
      <c r="R2874" s="2" t="inlineStr"/>
    </row>
    <row r="2875" ht="15" customHeight="1">
      <c r="A2875" t="inlineStr">
        <is>
          <t>A 34669-2020</t>
        </is>
      </c>
      <c r="B2875" s="1" t="n">
        <v>44034</v>
      </c>
      <c r="C2875" s="1" t="n">
        <v>45657</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34656-2020</t>
        </is>
      </c>
      <c r="B2876" s="1" t="n">
        <v>44034</v>
      </c>
      <c r="C2876" s="1" t="n">
        <v>45657</v>
      </c>
      <c r="D2876" t="inlineStr">
        <is>
          <t>VÄSTERNORRLANDS LÄN</t>
        </is>
      </c>
      <c r="E2876" t="inlineStr">
        <is>
          <t>SUNDSVALL</t>
        </is>
      </c>
      <c r="F2876" t="inlineStr">
        <is>
          <t>Naturvårdsverket</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34781-2020</t>
        </is>
      </c>
      <c r="B2877" s="1" t="n">
        <v>44035</v>
      </c>
      <c r="C2877" s="1" t="n">
        <v>45657</v>
      </c>
      <c r="D2877" t="inlineStr">
        <is>
          <t>VÄSTERNORRLANDS LÄN</t>
        </is>
      </c>
      <c r="E2877" t="inlineStr">
        <is>
          <t>SUNDSVALL</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34677-2020</t>
        </is>
      </c>
      <c r="B2878" s="1" t="n">
        <v>44035</v>
      </c>
      <c r="C2878" s="1" t="n">
        <v>45657</v>
      </c>
      <c r="D2878" t="inlineStr">
        <is>
          <t>VÄSTERNORRLANDS LÄN</t>
        </is>
      </c>
      <c r="E2878" t="inlineStr">
        <is>
          <t>ÅNGE</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34777-2020</t>
        </is>
      </c>
      <c r="B2879" s="1" t="n">
        <v>44035</v>
      </c>
      <c r="C2879" s="1" t="n">
        <v>45657</v>
      </c>
      <c r="D2879" t="inlineStr">
        <is>
          <t>VÄSTERNORRLANDS LÄN</t>
        </is>
      </c>
      <c r="E2879" t="inlineStr">
        <is>
          <t>ÅNGE</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34779-2020</t>
        </is>
      </c>
      <c r="B2880" s="1" t="n">
        <v>44035</v>
      </c>
      <c r="C2880" s="1" t="n">
        <v>45657</v>
      </c>
      <c r="D2880" t="inlineStr">
        <is>
          <t>VÄSTERNORRLANDS LÄN</t>
        </is>
      </c>
      <c r="E2880" t="inlineStr">
        <is>
          <t>SUNDSVALL</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34800-2020</t>
        </is>
      </c>
      <c r="B2881" s="1" t="n">
        <v>44035</v>
      </c>
      <c r="C2881" s="1" t="n">
        <v>45657</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34780-2020</t>
        </is>
      </c>
      <c r="B2882" s="1" t="n">
        <v>44035</v>
      </c>
      <c r="C2882" s="1" t="n">
        <v>45657</v>
      </c>
      <c r="D2882" t="inlineStr">
        <is>
          <t>VÄSTERNORRLANDS LÄN</t>
        </is>
      </c>
      <c r="E2882" t="inlineStr">
        <is>
          <t>SUNDSVALL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34921-2020</t>
        </is>
      </c>
      <c r="B2883" s="1" t="n">
        <v>44036</v>
      </c>
      <c r="C2883" s="1" t="n">
        <v>45657</v>
      </c>
      <c r="D2883" t="inlineStr">
        <is>
          <t>VÄSTERNORRLANDS LÄN</t>
        </is>
      </c>
      <c r="E2883" t="inlineStr">
        <is>
          <t>SOLLEFTEÅ</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34923-2020</t>
        </is>
      </c>
      <c r="B2884" s="1" t="n">
        <v>44037</v>
      </c>
      <c r="C2884" s="1" t="n">
        <v>45657</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34928-2020</t>
        </is>
      </c>
      <c r="B2885" s="1" t="n">
        <v>44036</v>
      </c>
      <c r="C2885" s="1" t="n">
        <v>45657</v>
      </c>
      <c r="D2885" t="inlineStr">
        <is>
          <t>VÄSTERNORRLANDS LÄN</t>
        </is>
      </c>
      <c r="E2885" t="inlineStr">
        <is>
          <t>ÅNGE</t>
        </is>
      </c>
      <c r="F2885" t="inlineStr">
        <is>
          <t>SCA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34922-2020</t>
        </is>
      </c>
      <c r="B2886" s="1" t="n">
        <v>44036</v>
      </c>
      <c r="C2886" s="1" t="n">
        <v>45657</v>
      </c>
      <c r="D2886" t="inlineStr">
        <is>
          <t>VÄSTERNORRLANDS LÄN</t>
        </is>
      </c>
      <c r="E2886" t="inlineStr">
        <is>
          <t>SOLLEFTEÅ</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34974-2020</t>
        </is>
      </c>
      <c r="B2887" s="1" t="n">
        <v>44039</v>
      </c>
      <c r="C2887" s="1" t="n">
        <v>45657</v>
      </c>
      <c r="D2887" t="inlineStr">
        <is>
          <t>VÄSTERNORRLANDS LÄN</t>
        </is>
      </c>
      <c r="E2887" t="inlineStr">
        <is>
          <t>ÅNGE</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35211-2020</t>
        </is>
      </c>
      <c r="B2888" s="1" t="n">
        <v>44040</v>
      </c>
      <c r="C2888" s="1" t="n">
        <v>45657</v>
      </c>
      <c r="D2888" t="inlineStr">
        <is>
          <t>VÄSTERNORRLANDS LÄN</t>
        </is>
      </c>
      <c r="E2888" t="inlineStr">
        <is>
          <t>SUNDSVALL</t>
        </is>
      </c>
      <c r="F2888" t="inlineStr">
        <is>
          <t>SCA</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35292-2020</t>
        </is>
      </c>
      <c r="B2889" s="1" t="n">
        <v>44041</v>
      </c>
      <c r="C2889" s="1" t="n">
        <v>45657</v>
      </c>
      <c r="D2889" t="inlineStr">
        <is>
          <t>VÄSTERNORRLANDS LÄN</t>
        </is>
      </c>
      <c r="E2889" t="inlineStr">
        <is>
          <t>HÄRNÖSAND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35372-2020</t>
        </is>
      </c>
      <c r="B2890" s="1" t="n">
        <v>44041</v>
      </c>
      <c r="C2890" s="1" t="n">
        <v>45657</v>
      </c>
      <c r="D2890" t="inlineStr">
        <is>
          <t>VÄSTERNORRLANDS LÄN</t>
        </is>
      </c>
      <c r="E2890" t="inlineStr">
        <is>
          <t>SOLLEFTEÅ</t>
        </is>
      </c>
      <c r="F2890" t="inlineStr">
        <is>
          <t>SCA</t>
        </is>
      </c>
      <c r="G2890" t="n">
        <v>12.3</v>
      </c>
      <c r="H2890" t="n">
        <v>0</v>
      </c>
      <c r="I2890" t="n">
        <v>0</v>
      </c>
      <c r="J2890" t="n">
        <v>0</v>
      </c>
      <c r="K2890" t="n">
        <v>0</v>
      </c>
      <c r="L2890" t="n">
        <v>0</v>
      </c>
      <c r="M2890" t="n">
        <v>0</v>
      </c>
      <c r="N2890" t="n">
        <v>0</v>
      </c>
      <c r="O2890" t="n">
        <v>0</v>
      </c>
      <c r="P2890" t="n">
        <v>0</v>
      </c>
      <c r="Q2890" t="n">
        <v>0</v>
      </c>
      <c r="R2890" s="2" t="inlineStr"/>
    </row>
    <row r="2891" ht="15" customHeight="1">
      <c r="A2891" t="inlineStr">
        <is>
          <t>A 35361-2020</t>
        </is>
      </c>
      <c r="B2891" s="1" t="n">
        <v>44041</v>
      </c>
      <c r="C2891" s="1" t="n">
        <v>45657</v>
      </c>
      <c r="D2891" t="inlineStr">
        <is>
          <t>VÄSTERNORRLANDS LÄN</t>
        </is>
      </c>
      <c r="E2891" t="inlineStr">
        <is>
          <t>SOLLEFTEÅ</t>
        </is>
      </c>
      <c r="F2891" t="inlineStr">
        <is>
          <t>SCA</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35419-2020</t>
        </is>
      </c>
      <c r="B2892" s="1" t="n">
        <v>44042</v>
      </c>
      <c r="C2892" s="1" t="n">
        <v>45657</v>
      </c>
      <c r="D2892" t="inlineStr">
        <is>
          <t>VÄSTERNORRLANDS LÄN</t>
        </is>
      </c>
      <c r="E2892" t="inlineStr">
        <is>
          <t>ÅNGE</t>
        </is>
      </c>
      <c r="F2892" t="inlineStr">
        <is>
          <t>Holmen skog AB</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35527-2020</t>
        </is>
      </c>
      <c r="B2893" s="1" t="n">
        <v>44043</v>
      </c>
      <c r="C2893" s="1" t="n">
        <v>45657</v>
      </c>
      <c r="D2893" t="inlineStr">
        <is>
          <t>VÄSTERNORRLANDS LÄN</t>
        </is>
      </c>
      <c r="E2893" t="inlineStr">
        <is>
          <t>KRAMFORS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35596-2020</t>
        </is>
      </c>
      <c r="B2894" s="1" t="n">
        <v>44043</v>
      </c>
      <c r="C2894" s="1" t="n">
        <v>45657</v>
      </c>
      <c r="D2894" t="inlineStr">
        <is>
          <t>VÄSTERNORRLANDS LÄN</t>
        </is>
      </c>
      <c r="E2894" t="inlineStr">
        <is>
          <t>SUNDSVALL</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35526-2020</t>
        </is>
      </c>
      <c r="B2895" s="1" t="n">
        <v>44043</v>
      </c>
      <c r="C2895" s="1" t="n">
        <v>45657</v>
      </c>
      <c r="D2895" t="inlineStr">
        <is>
          <t>VÄSTERNORRLANDS LÄN</t>
        </is>
      </c>
      <c r="E2895" t="inlineStr">
        <is>
          <t>KRAMFORS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35531-2020</t>
        </is>
      </c>
      <c r="B2896" s="1" t="n">
        <v>44043</v>
      </c>
      <c r="C2896" s="1" t="n">
        <v>45657</v>
      </c>
      <c r="D2896" t="inlineStr">
        <is>
          <t>VÄSTERNORRLANDS LÄN</t>
        </is>
      </c>
      <c r="E2896" t="inlineStr">
        <is>
          <t>TIMRÅ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35644-2020</t>
        </is>
      </c>
      <c r="B2897" s="1" t="n">
        <v>44046</v>
      </c>
      <c r="C2897" s="1" t="n">
        <v>45657</v>
      </c>
      <c r="D2897" t="inlineStr">
        <is>
          <t>VÄSTERNORRLANDS LÄN</t>
        </is>
      </c>
      <c r="E2897" t="inlineStr">
        <is>
          <t>ÖRNSKÖLDSVIK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35720-2020</t>
        </is>
      </c>
      <c r="B2898" s="1" t="n">
        <v>44046</v>
      </c>
      <c r="C2898" s="1" t="n">
        <v>45657</v>
      </c>
      <c r="D2898" t="inlineStr">
        <is>
          <t>VÄSTERNORRLANDS LÄN</t>
        </is>
      </c>
      <c r="E2898" t="inlineStr">
        <is>
          <t>KRAMFORS</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35971-2020</t>
        </is>
      </c>
      <c r="B2899" s="1" t="n">
        <v>44047</v>
      </c>
      <c r="C2899" s="1" t="n">
        <v>45657</v>
      </c>
      <c r="D2899" t="inlineStr">
        <is>
          <t>VÄSTERNORRLANDS LÄN</t>
        </is>
      </c>
      <c r="E2899" t="inlineStr">
        <is>
          <t>ÖRNSKÖLDSVIK</t>
        </is>
      </c>
      <c r="F2899" t="inlineStr">
        <is>
          <t>Holmen skog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36020-2020</t>
        </is>
      </c>
      <c r="B2900" s="1" t="n">
        <v>44047</v>
      </c>
      <c r="C2900" s="1" t="n">
        <v>45657</v>
      </c>
      <c r="D2900" t="inlineStr">
        <is>
          <t>VÄSTERNORRLANDS LÄN</t>
        </is>
      </c>
      <c r="E2900" t="inlineStr">
        <is>
          <t>SUNDSVALL</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35843-2020</t>
        </is>
      </c>
      <c r="B2901" s="1" t="n">
        <v>44047</v>
      </c>
      <c r="C2901" s="1" t="n">
        <v>45657</v>
      </c>
      <c r="D2901" t="inlineStr">
        <is>
          <t>VÄSTERNORRLANDS LÄN</t>
        </is>
      </c>
      <c r="E2901" t="inlineStr">
        <is>
          <t>ÖRNSKÖLDSVIK</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36009-2020</t>
        </is>
      </c>
      <c r="B2902" s="1" t="n">
        <v>44047</v>
      </c>
      <c r="C2902" s="1" t="n">
        <v>45657</v>
      </c>
      <c r="D2902" t="inlineStr">
        <is>
          <t>VÄSTERNORRLANDS LÄN</t>
        </is>
      </c>
      <c r="E2902" t="inlineStr">
        <is>
          <t>ÖRNSKÖLDSVIK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36013-2020</t>
        </is>
      </c>
      <c r="B2903" s="1" t="n">
        <v>44047</v>
      </c>
      <c r="C2903" s="1" t="n">
        <v>45657</v>
      </c>
      <c r="D2903" t="inlineStr">
        <is>
          <t>VÄSTERNORRLANDS LÄN</t>
        </is>
      </c>
      <c r="E2903" t="inlineStr">
        <is>
          <t>KRAMFORS</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36183-2020</t>
        </is>
      </c>
      <c r="B2904" s="1" t="n">
        <v>44048</v>
      </c>
      <c r="C2904" s="1" t="n">
        <v>45657</v>
      </c>
      <c r="D2904" t="inlineStr">
        <is>
          <t>VÄSTERNORRLANDS LÄN</t>
        </is>
      </c>
      <c r="E2904" t="inlineStr">
        <is>
          <t>ÖRNSKÖLDSVIK</t>
        </is>
      </c>
      <c r="F2904" t="inlineStr">
        <is>
          <t>Holmen skog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36789-2020</t>
        </is>
      </c>
      <c r="B2905" s="1" t="n">
        <v>44048</v>
      </c>
      <c r="C2905" s="1" t="n">
        <v>45657</v>
      </c>
      <c r="D2905" t="inlineStr">
        <is>
          <t>VÄSTERNORRLANDS LÄN</t>
        </is>
      </c>
      <c r="E2905" t="inlineStr">
        <is>
          <t>SOLLEFTEÅ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36257-2020</t>
        </is>
      </c>
      <c r="B2906" s="1" t="n">
        <v>44049</v>
      </c>
      <c r="C2906" s="1" t="n">
        <v>45657</v>
      </c>
      <c r="D2906" t="inlineStr">
        <is>
          <t>VÄSTERNORRLANDS LÄN</t>
        </is>
      </c>
      <c r="E2906" t="inlineStr">
        <is>
          <t>ÖRNSKÖLDSVIK</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36448-2020</t>
        </is>
      </c>
      <c r="B2907" s="1" t="n">
        <v>44049</v>
      </c>
      <c r="C2907" s="1" t="n">
        <v>45657</v>
      </c>
      <c r="D2907" t="inlineStr">
        <is>
          <t>VÄSTERNORRLANDS LÄN</t>
        </is>
      </c>
      <c r="E2907" t="inlineStr">
        <is>
          <t>SUNDSVALL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36645-2020</t>
        </is>
      </c>
      <c r="B2908" s="1" t="n">
        <v>44050</v>
      </c>
      <c r="C2908" s="1" t="n">
        <v>45657</v>
      </c>
      <c r="D2908" t="inlineStr">
        <is>
          <t>VÄSTERNORRLANDS LÄN</t>
        </is>
      </c>
      <c r="E2908" t="inlineStr">
        <is>
          <t>SUNDSVALL</t>
        </is>
      </c>
      <c r="F2908" t="inlineStr">
        <is>
          <t>SCA</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36660-2020</t>
        </is>
      </c>
      <c r="B2909" s="1" t="n">
        <v>44050</v>
      </c>
      <c r="C2909" s="1" t="n">
        <v>45657</v>
      </c>
      <c r="D2909" t="inlineStr">
        <is>
          <t>VÄSTERNORRLANDS LÄN</t>
        </is>
      </c>
      <c r="E2909" t="inlineStr">
        <is>
          <t>SOLLEFTEÅ</t>
        </is>
      </c>
      <c r="G2909" t="n">
        <v>18.2</v>
      </c>
      <c r="H2909" t="n">
        <v>0</v>
      </c>
      <c r="I2909" t="n">
        <v>0</v>
      </c>
      <c r="J2909" t="n">
        <v>0</v>
      </c>
      <c r="K2909" t="n">
        <v>0</v>
      </c>
      <c r="L2909" t="n">
        <v>0</v>
      </c>
      <c r="M2909" t="n">
        <v>0</v>
      </c>
      <c r="N2909" t="n">
        <v>0</v>
      </c>
      <c r="O2909" t="n">
        <v>0</v>
      </c>
      <c r="P2909" t="n">
        <v>0</v>
      </c>
      <c r="Q2909" t="n">
        <v>0</v>
      </c>
      <c r="R2909" s="2" t="inlineStr"/>
    </row>
    <row r="2910" ht="15" customHeight="1">
      <c r="A2910" t="inlineStr">
        <is>
          <t>A 36673-2020</t>
        </is>
      </c>
      <c r="B2910" s="1" t="n">
        <v>44050</v>
      </c>
      <c r="C2910" s="1" t="n">
        <v>45657</v>
      </c>
      <c r="D2910" t="inlineStr">
        <is>
          <t>VÄSTERNORRLANDS LÄN</t>
        </is>
      </c>
      <c r="E2910" t="inlineStr">
        <is>
          <t>SUNDSVALL</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36811-2020</t>
        </is>
      </c>
      <c r="B2911" s="1" t="n">
        <v>44053</v>
      </c>
      <c r="C2911" s="1" t="n">
        <v>45657</v>
      </c>
      <c r="D2911" t="inlineStr">
        <is>
          <t>VÄSTERNORRLANDS LÄN</t>
        </is>
      </c>
      <c r="E2911" t="inlineStr">
        <is>
          <t>SOLLEFTEÅ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36876-2020</t>
        </is>
      </c>
      <c r="B2912" s="1" t="n">
        <v>44053</v>
      </c>
      <c r="C2912" s="1" t="n">
        <v>45657</v>
      </c>
      <c r="D2912" t="inlineStr">
        <is>
          <t>VÄSTERNORRLANDS LÄN</t>
        </is>
      </c>
      <c r="E2912" t="inlineStr">
        <is>
          <t>ÖRNSKÖLDSVIK</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37188-2020</t>
        </is>
      </c>
      <c r="B2913" s="1" t="n">
        <v>44054</v>
      </c>
      <c r="C2913" s="1" t="n">
        <v>45657</v>
      </c>
      <c r="D2913" t="inlineStr">
        <is>
          <t>VÄSTERNORRLANDS LÄN</t>
        </is>
      </c>
      <c r="E2913" t="inlineStr">
        <is>
          <t>KRAMFORS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37228-2020</t>
        </is>
      </c>
      <c r="B2914" s="1" t="n">
        <v>44054</v>
      </c>
      <c r="C2914" s="1" t="n">
        <v>45657</v>
      </c>
      <c r="D2914" t="inlineStr">
        <is>
          <t>VÄSTERNORRLANDS LÄN</t>
        </is>
      </c>
      <c r="E2914" t="inlineStr">
        <is>
          <t>KRAMFORS</t>
        </is>
      </c>
      <c r="F2914" t="inlineStr">
        <is>
          <t>SCA</t>
        </is>
      </c>
      <c r="G2914" t="n">
        <v>26.3</v>
      </c>
      <c r="H2914" t="n">
        <v>0</v>
      </c>
      <c r="I2914" t="n">
        <v>0</v>
      </c>
      <c r="J2914" t="n">
        <v>0</v>
      </c>
      <c r="K2914" t="n">
        <v>0</v>
      </c>
      <c r="L2914" t="n">
        <v>0</v>
      </c>
      <c r="M2914" t="n">
        <v>0</v>
      </c>
      <c r="N2914" t="n">
        <v>0</v>
      </c>
      <c r="O2914" t="n">
        <v>0</v>
      </c>
      <c r="P2914" t="n">
        <v>0</v>
      </c>
      <c r="Q2914" t="n">
        <v>0</v>
      </c>
      <c r="R2914" s="2" t="inlineStr"/>
    </row>
    <row r="2915" ht="15" customHeight="1">
      <c r="A2915" t="inlineStr">
        <is>
          <t>A 37233-2020</t>
        </is>
      </c>
      <c r="B2915" s="1" t="n">
        <v>44054</v>
      </c>
      <c r="C2915" s="1" t="n">
        <v>45657</v>
      </c>
      <c r="D2915" t="inlineStr">
        <is>
          <t>VÄSTERNORRLANDS LÄN</t>
        </is>
      </c>
      <c r="E2915" t="inlineStr">
        <is>
          <t>SUNDSVALL</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37427-2020</t>
        </is>
      </c>
      <c r="B2916" s="1" t="n">
        <v>44055</v>
      </c>
      <c r="C2916" s="1" t="n">
        <v>45657</v>
      </c>
      <c r="D2916" t="inlineStr">
        <is>
          <t>VÄSTERNORRLANDS LÄN</t>
        </is>
      </c>
      <c r="E2916" t="inlineStr">
        <is>
          <t>ÖRNSKÖLDSVIK</t>
        </is>
      </c>
      <c r="F2916" t="inlineStr">
        <is>
          <t>Holmen skog AB</t>
        </is>
      </c>
      <c r="G2916" t="n">
        <v>19.7</v>
      </c>
      <c r="H2916" t="n">
        <v>0</v>
      </c>
      <c r="I2916" t="n">
        <v>0</v>
      </c>
      <c r="J2916" t="n">
        <v>0</v>
      </c>
      <c r="K2916" t="n">
        <v>0</v>
      </c>
      <c r="L2916" t="n">
        <v>0</v>
      </c>
      <c r="M2916" t="n">
        <v>0</v>
      </c>
      <c r="N2916" t="n">
        <v>0</v>
      </c>
      <c r="O2916" t="n">
        <v>0</v>
      </c>
      <c r="P2916" t="n">
        <v>0</v>
      </c>
      <c r="Q2916" t="n">
        <v>0</v>
      </c>
      <c r="R2916" s="2" t="inlineStr"/>
    </row>
    <row r="2917" ht="15" customHeight="1">
      <c r="A2917" t="inlineStr">
        <is>
          <t>A 37642-2020</t>
        </is>
      </c>
      <c r="B2917" s="1" t="n">
        <v>44056</v>
      </c>
      <c r="C2917" s="1" t="n">
        <v>45657</v>
      </c>
      <c r="D2917" t="inlineStr">
        <is>
          <t>VÄSTERNORRLANDS LÄN</t>
        </is>
      </c>
      <c r="E2917" t="inlineStr">
        <is>
          <t>ÖRNSKÖLDSVIK</t>
        </is>
      </c>
      <c r="F2917" t="inlineStr">
        <is>
          <t>Holmen skog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37710-2020</t>
        </is>
      </c>
      <c r="B2918" s="1" t="n">
        <v>44056</v>
      </c>
      <c r="C2918" s="1" t="n">
        <v>45657</v>
      </c>
      <c r="D2918" t="inlineStr">
        <is>
          <t>VÄSTERNORRLANDS LÄN</t>
        </is>
      </c>
      <c r="E2918" t="inlineStr">
        <is>
          <t>SOLLEFTEÅ</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37903-2020</t>
        </is>
      </c>
      <c r="B2919" s="1" t="n">
        <v>44057</v>
      </c>
      <c r="C2919" s="1" t="n">
        <v>45657</v>
      </c>
      <c r="D2919" t="inlineStr">
        <is>
          <t>VÄSTERNORRLANDS LÄN</t>
        </is>
      </c>
      <c r="E2919" t="inlineStr">
        <is>
          <t>KRAMFORS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37904-2020</t>
        </is>
      </c>
      <c r="B2920" s="1" t="n">
        <v>44057</v>
      </c>
      <c r="C2920" s="1" t="n">
        <v>45657</v>
      </c>
      <c r="D2920" t="inlineStr">
        <is>
          <t>VÄSTERNORRLANDS LÄN</t>
        </is>
      </c>
      <c r="E2920" t="inlineStr">
        <is>
          <t>KRAMFORS</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37905-2020</t>
        </is>
      </c>
      <c r="B2921" s="1" t="n">
        <v>44057</v>
      </c>
      <c r="C2921" s="1" t="n">
        <v>45657</v>
      </c>
      <c r="D2921" t="inlineStr">
        <is>
          <t>VÄSTERNORRLANDS LÄN</t>
        </is>
      </c>
      <c r="E2921" t="inlineStr">
        <is>
          <t>KRAMFORS</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38021-2020</t>
        </is>
      </c>
      <c r="B2922" s="1" t="n">
        <v>44057</v>
      </c>
      <c r="C2922" s="1" t="n">
        <v>45657</v>
      </c>
      <c r="D2922" t="inlineStr">
        <is>
          <t>VÄSTERNORRLANDS LÄN</t>
        </is>
      </c>
      <c r="E2922" t="inlineStr">
        <is>
          <t>ÖRNSKÖLDSVIK</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38096-2020</t>
        </is>
      </c>
      <c r="B2923" s="1" t="n">
        <v>44057</v>
      </c>
      <c r="C2923" s="1" t="n">
        <v>45657</v>
      </c>
      <c r="D2923" t="inlineStr">
        <is>
          <t>VÄSTERNORRLANDS LÄN</t>
        </is>
      </c>
      <c r="E2923" t="inlineStr">
        <is>
          <t>SUNDSVALL</t>
        </is>
      </c>
      <c r="F2923" t="inlineStr">
        <is>
          <t>Naturvårdsverket</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38042-2020</t>
        </is>
      </c>
      <c r="B2924" s="1" t="n">
        <v>44057</v>
      </c>
      <c r="C2924" s="1" t="n">
        <v>45657</v>
      </c>
      <c r="D2924" t="inlineStr">
        <is>
          <t>VÄSTERNORRLANDS LÄN</t>
        </is>
      </c>
      <c r="E2924" t="inlineStr">
        <is>
          <t>ÖRNSKÖLDSVIK</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38095-2020</t>
        </is>
      </c>
      <c r="B2925" s="1" t="n">
        <v>44057</v>
      </c>
      <c r="C2925" s="1" t="n">
        <v>45657</v>
      </c>
      <c r="D2925" t="inlineStr">
        <is>
          <t>VÄSTERNORRLANDS LÄN</t>
        </is>
      </c>
      <c r="E2925" t="inlineStr">
        <is>
          <t>ÖRNSKÖLDSVIK</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38091-2020</t>
        </is>
      </c>
      <c r="B2926" s="1" t="n">
        <v>44057</v>
      </c>
      <c r="C2926" s="1" t="n">
        <v>45657</v>
      </c>
      <c r="D2926" t="inlineStr">
        <is>
          <t>VÄSTERNORRLANDS LÄN</t>
        </is>
      </c>
      <c r="E2926" t="inlineStr">
        <is>
          <t>SUNDSVALL</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38166-2020</t>
        </is>
      </c>
      <c r="B2927" s="1" t="n">
        <v>44060</v>
      </c>
      <c r="C2927" s="1" t="n">
        <v>45657</v>
      </c>
      <c r="D2927" t="inlineStr">
        <is>
          <t>VÄSTERNORRLANDS LÄN</t>
        </is>
      </c>
      <c r="E2927" t="inlineStr">
        <is>
          <t>ÖRNSKÖLDSVIK</t>
        </is>
      </c>
      <c r="F2927" t="inlineStr">
        <is>
          <t>Holmen skog AB</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38482-2020</t>
        </is>
      </c>
      <c r="B2928" s="1" t="n">
        <v>44060</v>
      </c>
      <c r="C2928" s="1" t="n">
        <v>45657</v>
      </c>
      <c r="D2928" t="inlineStr">
        <is>
          <t>VÄSTERNORRLANDS LÄN</t>
        </is>
      </c>
      <c r="E2928" t="inlineStr">
        <is>
          <t>SOLLEFTEÅ</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38517-2020</t>
        </is>
      </c>
      <c r="B2929" s="1" t="n">
        <v>44060</v>
      </c>
      <c r="C2929" s="1" t="n">
        <v>45657</v>
      </c>
      <c r="D2929" t="inlineStr">
        <is>
          <t>VÄSTERNORRLANDS LÄN</t>
        </is>
      </c>
      <c r="E2929" t="inlineStr">
        <is>
          <t>SOLLEFTEÅ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38469-2020</t>
        </is>
      </c>
      <c r="B2930" s="1" t="n">
        <v>44060</v>
      </c>
      <c r="C2930" s="1" t="n">
        <v>45657</v>
      </c>
      <c r="D2930" t="inlineStr">
        <is>
          <t>VÄSTERNORRLANDS LÄN</t>
        </is>
      </c>
      <c r="E2930" t="inlineStr">
        <is>
          <t>KRAMFORS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38751-2020</t>
        </is>
      </c>
      <c r="B2931" s="1" t="n">
        <v>44061</v>
      </c>
      <c r="C2931" s="1" t="n">
        <v>45657</v>
      </c>
      <c r="D2931" t="inlineStr">
        <is>
          <t>VÄSTERNORRLANDS LÄN</t>
        </is>
      </c>
      <c r="E2931" t="inlineStr">
        <is>
          <t>ÖRNSKÖLDSVIK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38754-2020</t>
        </is>
      </c>
      <c r="B2932" s="1" t="n">
        <v>44061</v>
      </c>
      <c r="C2932" s="1" t="n">
        <v>45657</v>
      </c>
      <c r="D2932" t="inlineStr">
        <is>
          <t>VÄSTERNORRLANDS LÄN</t>
        </is>
      </c>
      <c r="E2932" t="inlineStr">
        <is>
          <t>SUNDSVALL</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38852-2020</t>
        </is>
      </c>
      <c r="B2933" s="1" t="n">
        <v>44062</v>
      </c>
      <c r="C2933" s="1" t="n">
        <v>45657</v>
      </c>
      <c r="D2933" t="inlineStr">
        <is>
          <t>VÄSTERNORRLANDS LÄN</t>
        </is>
      </c>
      <c r="E2933" t="inlineStr">
        <is>
          <t>SUNDSVALL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38871-2020</t>
        </is>
      </c>
      <c r="B2934" s="1" t="n">
        <v>44062</v>
      </c>
      <c r="C2934" s="1" t="n">
        <v>45657</v>
      </c>
      <c r="D2934" t="inlineStr">
        <is>
          <t>VÄSTERNORRLANDS LÄN</t>
        </is>
      </c>
      <c r="E2934" t="inlineStr">
        <is>
          <t>ÅNGE</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39007-2020</t>
        </is>
      </c>
      <c r="B2935" s="1" t="n">
        <v>44062</v>
      </c>
      <c r="C2935" s="1" t="n">
        <v>45657</v>
      </c>
      <c r="D2935" t="inlineStr">
        <is>
          <t>VÄSTERNORRLANDS LÄN</t>
        </is>
      </c>
      <c r="E2935" t="inlineStr">
        <is>
          <t>SOLLEFTEÅ</t>
        </is>
      </c>
      <c r="F2935" t="inlineStr">
        <is>
          <t>Kyrkan</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38858-2020</t>
        </is>
      </c>
      <c r="B2936" s="1" t="n">
        <v>44062</v>
      </c>
      <c r="C2936" s="1" t="n">
        <v>45657</v>
      </c>
      <c r="D2936" t="inlineStr">
        <is>
          <t>VÄSTERNORRLANDS LÄN</t>
        </is>
      </c>
      <c r="E2936" t="inlineStr">
        <is>
          <t>SUNDSVALL</t>
        </is>
      </c>
      <c r="G2936" t="n">
        <v>9.300000000000001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38863-2020</t>
        </is>
      </c>
      <c r="B2937" s="1" t="n">
        <v>44062</v>
      </c>
      <c r="C2937" s="1" t="n">
        <v>45657</v>
      </c>
      <c r="D2937" t="inlineStr">
        <is>
          <t>VÄSTERNORRLANDS LÄN</t>
        </is>
      </c>
      <c r="E2937" t="inlineStr">
        <is>
          <t>SUNDSVALL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38894-2020</t>
        </is>
      </c>
      <c r="B2938" s="1" t="n">
        <v>44062</v>
      </c>
      <c r="C2938" s="1" t="n">
        <v>45657</v>
      </c>
      <c r="D2938" t="inlineStr">
        <is>
          <t>VÄSTERNORRLANDS LÄN</t>
        </is>
      </c>
      <c r="E2938" t="inlineStr">
        <is>
          <t>ÅNGE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39077-2020</t>
        </is>
      </c>
      <c r="B2939" s="1" t="n">
        <v>44062</v>
      </c>
      <c r="C2939" s="1" t="n">
        <v>45657</v>
      </c>
      <c r="D2939" t="inlineStr">
        <is>
          <t>VÄSTERNORRLANDS LÄN</t>
        </is>
      </c>
      <c r="E2939" t="inlineStr">
        <is>
          <t>SOLLEFTEÅ</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39016-2020</t>
        </is>
      </c>
      <c r="B2940" s="1" t="n">
        <v>44062</v>
      </c>
      <c r="C2940" s="1" t="n">
        <v>45657</v>
      </c>
      <c r="D2940" t="inlineStr">
        <is>
          <t>VÄSTERNORRLANDS LÄN</t>
        </is>
      </c>
      <c r="E2940" t="inlineStr">
        <is>
          <t>SOLLEFTEÅ</t>
        </is>
      </c>
      <c r="F2940" t="inlineStr">
        <is>
          <t>Kyrkan</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39148-2020</t>
        </is>
      </c>
      <c r="B2941" s="1" t="n">
        <v>44063</v>
      </c>
      <c r="C2941" s="1" t="n">
        <v>45657</v>
      </c>
      <c r="D2941" t="inlineStr">
        <is>
          <t>VÄSTERNORRLANDS LÄN</t>
        </is>
      </c>
      <c r="E2941" t="inlineStr">
        <is>
          <t>SOLLEFTEÅ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39590-2020</t>
        </is>
      </c>
      <c r="B2942" s="1" t="n">
        <v>44063</v>
      </c>
      <c r="C2942" s="1" t="n">
        <v>45657</v>
      </c>
      <c r="D2942" t="inlineStr">
        <is>
          <t>VÄSTERNORRLANDS LÄN</t>
        </is>
      </c>
      <c r="E2942" t="inlineStr">
        <is>
          <t>ÖRNSKÖLDSVIK</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39919-2020</t>
        </is>
      </c>
      <c r="B2943" s="1" t="n">
        <v>44063</v>
      </c>
      <c r="C2943" s="1" t="n">
        <v>45657</v>
      </c>
      <c r="D2943" t="inlineStr">
        <is>
          <t>VÄSTERNORRLANDS LÄN</t>
        </is>
      </c>
      <c r="E2943" t="inlineStr">
        <is>
          <t>ÅNGE</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39409-2020</t>
        </is>
      </c>
      <c r="B2944" s="1" t="n">
        <v>44064</v>
      </c>
      <c r="C2944" s="1" t="n">
        <v>45657</v>
      </c>
      <c r="D2944" t="inlineStr">
        <is>
          <t>VÄSTERNORRLANDS LÄN</t>
        </is>
      </c>
      <c r="E2944" t="inlineStr">
        <is>
          <t>SOLLEFTEÅ</t>
        </is>
      </c>
      <c r="F2944" t="inlineStr">
        <is>
          <t>Holmen skog AB</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39561-2020</t>
        </is>
      </c>
      <c r="B2945" s="1" t="n">
        <v>44064</v>
      </c>
      <c r="C2945" s="1" t="n">
        <v>45657</v>
      </c>
      <c r="D2945" t="inlineStr">
        <is>
          <t>VÄSTERNORRLANDS LÄN</t>
        </is>
      </c>
      <c r="E2945" t="inlineStr">
        <is>
          <t>ÅNGE</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39479-2020</t>
        </is>
      </c>
      <c r="B2946" s="1" t="n">
        <v>44064</v>
      </c>
      <c r="C2946" s="1" t="n">
        <v>45657</v>
      </c>
      <c r="D2946" t="inlineStr">
        <is>
          <t>VÄSTERNORRLANDS LÄN</t>
        </is>
      </c>
      <c r="E2946" t="inlineStr">
        <is>
          <t>SOLLEFTEÅ</t>
        </is>
      </c>
      <c r="G2946" t="n">
        <v>17.8</v>
      </c>
      <c r="H2946" t="n">
        <v>0</v>
      </c>
      <c r="I2946" t="n">
        <v>0</v>
      </c>
      <c r="J2946" t="n">
        <v>0</v>
      </c>
      <c r="K2946" t="n">
        <v>0</v>
      </c>
      <c r="L2946" t="n">
        <v>0</v>
      </c>
      <c r="M2946" t="n">
        <v>0</v>
      </c>
      <c r="N2946" t="n">
        <v>0</v>
      </c>
      <c r="O2946" t="n">
        <v>0</v>
      </c>
      <c r="P2946" t="n">
        <v>0</v>
      </c>
      <c r="Q2946" t="n">
        <v>0</v>
      </c>
      <c r="R2946" s="2" t="inlineStr"/>
    </row>
    <row r="2947" ht="15" customHeight="1">
      <c r="A2947" t="inlineStr">
        <is>
          <t>A 39666-2020</t>
        </is>
      </c>
      <c r="B2947" s="1" t="n">
        <v>44064</v>
      </c>
      <c r="C2947" s="1" t="n">
        <v>45657</v>
      </c>
      <c r="D2947" t="inlineStr">
        <is>
          <t>VÄSTERNORRLANDS LÄN</t>
        </is>
      </c>
      <c r="E2947" t="inlineStr">
        <is>
          <t>HÄRNÖSAND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39665-2020</t>
        </is>
      </c>
      <c r="B2948" s="1" t="n">
        <v>44064</v>
      </c>
      <c r="C2948" s="1" t="n">
        <v>45657</v>
      </c>
      <c r="D2948" t="inlineStr">
        <is>
          <t>VÄSTERNORRLANDS LÄN</t>
        </is>
      </c>
      <c r="E2948" t="inlineStr">
        <is>
          <t>HÄRNÖSAND</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39667-2020</t>
        </is>
      </c>
      <c r="B2949" s="1" t="n">
        <v>44065</v>
      </c>
      <c r="C2949" s="1" t="n">
        <v>45657</v>
      </c>
      <c r="D2949" t="inlineStr">
        <is>
          <t>VÄSTERNORRLANDS LÄN</t>
        </is>
      </c>
      <c r="E2949" t="inlineStr">
        <is>
          <t>HÄRNÖSAND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40180-2020</t>
        </is>
      </c>
      <c r="B2950" s="1" t="n">
        <v>44064</v>
      </c>
      <c r="C2950" s="1" t="n">
        <v>45657</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39668-2020</t>
        </is>
      </c>
      <c r="B2951" s="1" t="n">
        <v>44064</v>
      </c>
      <c r="C2951" s="1" t="n">
        <v>45657</v>
      </c>
      <c r="D2951" t="inlineStr">
        <is>
          <t>VÄSTERNORRLANDS LÄN</t>
        </is>
      </c>
      <c r="E2951" t="inlineStr">
        <is>
          <t>HÄRNÖSAND</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39681-2020</t>
        </is>
      </c>
      <c r="B2952" s="1" t="n">
        <v>44065</v>
      </c>
      <c r="C2952" s="1" t="n">
        <v>45657</v>
      </c>
      <c r="D2952" t="inlineStr">
        <is>
          <t>VÄSTERNORRLANDS LÄN</t>
        </is>
      </c>
      <c r="E2952" t="inlineStr">
        <is>
          <t>SOLLEFTEÅ</t>
        </is>
      </c>
      <c r="F2952" t="inlineStr">
        <is>
          <t>SCA</t>
        </is>
      </c>
      <c r="G2952" t="n">
        <v>19.7</v>
      </c>
      <c r="H2952" t="n">
        <v>0</v>
      </c>
      <c r="I2952" t="n">
        <v>0</v>
      </c>
      <c r="J2952" t="n">
        <v>0</v>
      </c>
      <c r="K2952" t="n">
        <v>0</v>
      </c>
      <c r="L2952" t="n">
        <v>0</v>
      </c>
      <c r="M2952" t="n">
        <v>0</v>
      </c>
      <c r="N2952" t="n">
        <v>0</v>
      </c>
      <c r="O2952" t="n">
        <v>0</v>
      </c>
      <c r="P2952" t="n">
        <v>0</v>
      </c>
      <c r="Q2952" t="n">
        <v>0</v>
      </c>
      <c r="R2952" s="2" t="inlineStr"/>
    </row>
    <row r="2953" ht="15" customHeight="1">
      <c r="A2953" t="inlineStr">
        <is>
          <t>A 39756-2020</t>
        </is>
      </c>
      <c r="B2953" s="1" t="n">
        <v>44067</v>
      </c>
      <c r="C2953" s="1" t="n">
        <v>45657</v>
      </c>
      <c r="D2953" t="inlineStr">
        <is>
          <t>VÄSTERNORRLANDS LÄN</t>
        </is>
      </c>
      <c r="E2953" t="inlineStr">
        <is>
          <t>SUNDSVALL</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40476-2020</t>
        </is>
      </c>
      <c r="B2954" s="1" t="n">
        <v>44067</v>
      </c>
      <c r="C2954" s="1" t="n">
        <v>45657</v>
      </c>
      <c r="D2954" t="inlineStr">
        <is>
          <t>VÄSTERNORRLANDS LÄN</t>
        </is>
      </c>
      <c r="E2954" t="inlineStr">
        <is>
          <t>SOLLEFTEÅ</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40697-2020</t>
        </is>
      </c>
      <c r="B2955" s="1" t="n">
        <v>44067</v>
      </c>
      <c r="C2955" s="1" t="n">
        <v>45657</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40682-2020</t>
        </is>
      </c>
      <c r="B2956" s="1" t="n">
        <v>44067</v>
      </c>
      <c r="C2956" s="1" t="n">
        <v>45657</v>
      </c>
      <c r="D2956" t="inlineStr">
        <is>
          <t>VÄSTERNORRLANDS LÄN</t>
        </is>
      </c>
      <c r="E2956" t="inlineStr">
        <is>
          <t>SOLLEFTEÅ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40413-2020</t>
        </is>
      </c>
      <c r="B2957" s="1" t="n">
        <v>44068</v>
      </c>
      <c r="C2957" s="1" t="n">
        <v>45657</v>
      </c>
      <c r="D2957" t="inlineStr">
        <is>
          <t>VÄSTERNORRLANDS LÄN</t>
        </is>
      </c>
      <c r="E2957" t="inlineStr">
        <is>
          <t>TIMRÅ</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40410-2020</t>
        </is>
      </c>
      <c r="B2958" s="1" t="n">
        <v>44068</v>
      </c>
      <c r="C2958" s="1" t="n">
        <v>45657</v>
      </c>
      <c r="D2958" t="inlineStr">
        <is>
          <t>VÄSTERNORRLANDS LÄN</t>
        </is>
      </c>
      <c r="E2958" t="inlineStr">
        <is>
          <t>TIMRÅ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40962-2020</t>
        </is>
      </c>
      <c r="B2959" s="1" t="n">
        <v>44068</v>
      </c>
      <c r="C2959" s="1" t="n">
        <v>45657</v>
      </c>
      <c r="D2959" t="inlineStr">
        <is>
          <t>VÄSTERNORRLANDS LÄN</t>
        </is>
      </c>
      <c r="E2959" t="inlineStr">
        <is>
          <t>ÖRNSKÖLDSVIK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40409-2020</t>
        </is>
      </c>
      <c r="B2960" s="1" t="n">
        <v>44068</v>
      </c>
      <c r="C2960" s="1" t="n">
        <v>45657</v>
      </c>
      <c r="D2960" t="inlineStr">
        <is>
          <t>VÄSTERNORRLANDS LÄN</t>
        </is>
      </c>
      <c r="E2960" t="inlineStr">
        <is>
          <t>HÄRNÖSAND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40554-2020</t>
        </is>
      </c>
      <c r="B2961" s="1" t="n">
        <v>44069</v>
      </c>
      <c r="C2961" s="1" t="n">
        <v>45657</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40735-2020</t>
        </is>
      </c>
      <c r="B2962" s="1" t="n">
        <v>44069</v>
      </c>
      <c r="C2962" s="1" t="n">
        <v>45657</v>
      </c>
      <c r="D2962" t="inlineStr">
        <is>
          <t>VÄSTERNORRLANDS LÄN</t>
        </is>
      </c>
      <c r="E2962" t="inlineStr">
        <is>
          <t>SOLLEFTEÅ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40737-2020</t>
        </is>
      </c>
      <c r="B2963" s="1" t="n">
        <v>44069</v>
      </c>
      <c r="C2963" s="1" t="n">
        <v>45657</v>
      </c>
      <c r="D2963" t="inlineStr">
        <is>
          <t>VÄSTERNORRLANDS LÄN</t>
        </is>
      </c>
      <c r="E2963" t="inlineStr">
        <is>
          <t>TIMRÅ</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40748-2020</t>
        </is>
      </c>
      <c r="B2964" s="1" t="n">
        <v>44070</v>
      </c>
      <c r="C2964" s="1" t="n">
        <v>45657</v>
      </c>
      <c r="D2964" t="inlineStr">
        <is>
          <t>VÄSTERNORRLANDS LÄN</t>
        </is>
      </c>
      <c r="E2964" t="inlineStr">
        <is>
          <t>HÄRNÖSAND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40681-2020</t>
        </is>
      </c>
      <c r="B2965" s="1" t="n">
        <v>44069</v>
      </c>
      <c r="C2965" s="1" t="n">
        <v>45657</v>
      </c>
      <c r="D2965" t="inlineStr">
        <is>
          <t>VÄSTERNORRLANDS LÄN</t>
        </is>
      </c>
      <c r="E2965" t="inlineStr">
        <is>
          <t>ÖRNSKÖLDSVIK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40749-2020</t>
        </is>
      </c>
      <c r="B2966" s="1" t="n">
        <v>44069</v>
      </c>
      <c r="C2966" s="1" t="n">
        <v>45657</v>
      </c>
      <c r="D2966" t="inlineStr">
        <is>
          <t>VÄSTERNORRLANDS LÄN</t>
        </is>
      </c>
      <c r="E2966" t="inlineStr">
        <is>
          <t>HÄRNÖSAND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40747-2020</t>
        </is>
      </c>
      <c r="B2967" s="1" t="n">
        <v>44069</v>
      </c>
      <c r="C2967" s="1" t="n">
        <v>45657</v>
      </c>
      <c r="D2967" t="inlineStr">
        <is>
          <t>VÄSTERNORRLANDS LÄN</t>
        </is>
      </c>
      <c r="E2967" t="inlineStr">
        <is>
          <t>SOLLEFTEÅ</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40746-2020</t>
        </is>
      </c>
      <c r="B2968" s="1" t="n">
        <v>44069</v>
      </c>
      <c r="C2968" s="1" t="n">
        <v>45657</v>
      </c>
      <c r="D2968" t="inlineStr">
        <is>
          <t>VÄSTERNORRLANDS LÄN</t>
        </is>
      </c>
      <c r="E2968" t="inlineStr">
        <is>
          <t>HÄRNÖSAND</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41030-2020</t>
        </is>
      </c>
      <c r="B2969" s="1" t="n">
        <v>44070</v>
      </c>
      <c r="C2969" s="1" t="n">
        <v>45657</v>
      </c>
      <c r="D2969" t="inlineStr">
        <is>
          <t>VÄSTERNORRLANDS LÄN</t>
        </is>
      </c>
      <c r="E2969" t="inlineStr">
        <is>
          <t>SUNDSVALL</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41716-2020</t>
        </is>
      </c>
      <c r="B2970" s="1" t="n">
        <v>44070</v>
      </c>
      <c r="C2970" s="1" t="n">
        <v>45657</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41725-2020</t>
        </is>
      </c>
      <c r="B2971" s="1" t="n">
        <v>44070</v>
      </c>
      <c r="C2971" s="1" t="n">
        <v>45657</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41066-2020</t>
        </is>
      </c>
      <c r="B2972" s="1" t="n">
        <v>44071</v>
      </c>
      <c r="C2972" s="1" t="n">
        <v>45657</v>
      </c>
      <c r="D2972" t="inlineStr">
        <is>
          <t>VÄSTERNORRLANDS LÄN</t>
        </is>
      </c>
      <c r="E2972" t="inlineStr">
        <is>
          <t>KRAMFORS</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41335-2020</t>
        </is>
      </c>
      <c r="B2973" s="1" t="n">
        <v>44071</v>
      </c>
      <c r="C2973" s="1" t="n">
        <v>45657</v>
      </c>
      <c r="D2973" t="inlineStr">
        <is>
          <t>VÄSTERNORRLANDS LÄN</t>
        </is>
      </c>
      <c r="E2973" t="inlineStr">
        <is>
          <t>SUNDSVALL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41366-2020</t>
        </is>
      </c>
      <c r="B2974" s="1" t="n">
        <v>44071</v>
      </c>
      <c r="C2974" s="1" t="n">
        <v>45657</v>
      </c>
      <c r="D2974" t="inlineStr">
        <is>
          <t>VÄSTERNORRLANDS LÄN</t>
        </is>
      </c>
      <c r="E2974" t="inlineStr">
        <is>
          <t>ÅNGE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41044-2020</t>
        </is>
      </c>
      <c r="B2975" s="1" t="n">
        <v>44071</v>
      </c>
      <c r="C2975" s="1" t="n">
        <v>45657</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41351-2020</t>
        </is>
      </c>
      <c r="B2976" s="1" t="n">
        <v>44071</v>
      </c>
      <c r="C2976" s="1" t="n">
        <v>45657</v>
      </c>
      <c r="D2976" t="inlineStr">
        <is>
          <t>VÄSTERNORRLANDS LÄN</t>
        </is>
      </c>
      <c r="E2976" t="inlineStr">
        <is>
          <t>SUNDSVALL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41437-2020</t>
        </is>
      </c>
      <c r="B2977" s="1" t="n">
        <v>44073</v>
      </c>
      <c r="C2977" s="1" t="n">
        <v>45657</v>
      </c>
      <c r="D2977" t="inlineStr">
        <is>
          <t>VÄSTERNORRLANDS LÄN</t>
        </is>
      </c>
      <c r="E2977" t="inlineStr">
        <is>
          <t>ÖRNSKÖLDSVIK</t>
        </is>
      </c>
      <c r="F2977" t="inlineStr">
        <is>
          <t>Holmen skog AB</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42033-2020</t>
        </is>
      </c>
      <c r="B2978" s="1" t="n">
        <v>44074</v>
      </c>
      <c r="C2978" s="1" t="n">
        <v>45657</v>
      </c>
      <c r="D2978" t="inlineStr">
        <is>
          <t>VÄSTERNORRLANDS LÄN</t>
        </is>
      </c>
      <c r="E2978" t="inlineStr">
        <is>
          <t>ÖRNSKÖLDSVIK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42099-2020</t>
        </is>
      </c>
      <c r="B2979" s="1" t="n">
        <v>44074</v>
      </c>
      <c r="C2979" s="1" t="n">
        <v>45657</v>
      </c>
      <c r="D2979" t="inlineStr">
        <is>
          <t>VÄSTERNORRLANDS LÄN</t>
        </is>
      </c>
      <c r="E2979" t="inlineStr">
        <is>
          <t>SUNDSVALL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41846-2020</t>
        </is>
      </c>
      <c r="B2980" s="1" t="n">
        <v>44074</v>
      </c>
      <c r="C2980" s="1" t="n">
        <v>45657</v>
      </c>
      <c r="D2980" t="inlineStr">
        <is>
          <t>VÄSTERNORRLANDS LÄN</t>
        </is>
      </c>
      <c r="E2980" t="inlineStr">
        <is>
          <t>ÖRNSKÖLDSVIK</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42155-2020</t>
        </is>
      </c>
      <c r="B2981" s="1" t="n">
        <v>44074</v>
      </c>
      <c r="C2981" s="1" t="n">
        <v>45657</v>
      </c>
      <c r="D2981" t="inlineStr">
        <is>
          <t>VÄSTERNORRLANDS LÄN</t>
        </is>
      </c>
      <c r="E2981" t="inlineStr">
        <is>
          <t>SUNDSVALL</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42443-2020</t>
        </is>
      </c>
      <c r="B2982" s="1" t="n">
        <v>44074</v>
      </c>
      <c r="C2982" s="1" t="n">
        <v>45657</v>
      </c>
      <c r="D2982" t="inlineStr">
        <is>
          <t>VÄSTERNORRLANDS LÄN</t>
        </is>
      </c>
      <c r="E2982" t="inlineStr">
        <is>
          <t>TIMRÅ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42005-2020</t>
        </is>
      </c>
      <c r="B2983" s="1" t="n">
        <v>44075</v>
      </c>
      <c r="C2983" s="1" t="n">
        <v>45657</v>
      </c>
      <c r="D2983" t="inlineStr">
        <is>
          <t>VÄSTERNORRLANDS LÄN</t>
        </is>
      </c>
      <c r="E2983" t="inlineStr">
        <is>
          <t>ÖRNSKÖLDSVIK</t>
        </is>
      </c>
      <c r="F2983" t="inlineStr">
        <is>
          <t>Holmen skog AB</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42011-2020</t>
        </is>
      </c>
      <c r="B2984" s="1" t="n">
        <v>44075</v>
      </c>
      <c r="C2984" s="1" t="n">
        <v>45657</v>
      </c>
      <c r="D2984" t="inlineStr">
        <is>
          <t>VÄSTERNORRLANDS LÄN</t>
        </is>
      </c>
      <c r="E2984" t="inlineStr">
        <is>
          <t>ÖRNSKÖLDSVIK</t>
        </is>
      </c>
      <c r="F2984" t="inlineStr">
        <is>
          <t>Holmen skog AB</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42657-2020</t>
        </is>
      </c>
      <c r="B2985" s="1" t="n">
        <v>44075</v>
      </c>
      <c r="C2985" s="1" t="n">
        <v>45657</v>
      </c>
      <c r="D2985" t="inlineStr">
        <is>
          <t>VÄSTERNORRLANDS LÄN</t>
        </is>
      </c>
      <c r="E2985" t="inlineStr">
        <is>
          <t>HÄRNÖSAND</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42196-2020</t>
        </is>
      </c>
      <c r="B2986" s="1" t="n">
        <v>44076</v>
      </c>
      <c r="C2986" s="1" t="n">
        <v>45657</v>
      </c>
      <c r="D2986" t="inlineStr">
        <is>
          <t>VÄSTERNORRLANDS LÄN</t>
        </is>
      </c>
      <c r="E2986" t="inlineStr">
        <is>
          <t>SOLLEFTEÅ</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42296-2020</t>
        </is>
      </c>
      <c r="B2987" s="1" t="n">
        <v>44076</v>
      </c>
      <c r="C2987" s="1" t="n">
        <v>45657</v>
      </c>
      <c r="D2987" t="inlineStr">
        <is>
          <t>VÄSTERNORRLANDS LÄN</t>
        </is>
      </c>
      <c r="E2987" t="inlineStr">
        <is>
          <t>ÅNGE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42395-2020</t>
        </is>
      </c>
      <c r="B2988" s="1" t="n">
        <v>44076</v>
      </c>
      <c r="C2988" s="1" t="n">
        <v>45657</v>
      </c>
      <c r="D2988" t="inlineStr">
        <is>
          <t>VÄSTERNORRLANDS LÄN</t>
        </is>
      </c>
      <c r="E2988" t="inlineStr">
        <is>
          <t>ÖRNSKÖLDSVIK</t>
        </is>
      </c>
      <c r="F2988" t="inlineStr">
        <is>
          <t>Holmen skog AB</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42289-2020</t>
        </is>
      </c>
      <c r="B2989" s="1" t="n">
        <v>44076</v>
      </c>
      <c r="C2989" s="1" t="n">
        <v>45657</v>
      </c>
      <c r="D2989" t="inlineStr">
        <is>
          <t>VÄSTERNORRLANDS LÄN</t>
        </is>
      </c>
      <c r="E2989" t="inlineStr">
        <is>
          <t>ÅNGE</t>
        </is>
      </c>
      <c r="G2989" t="n">
        <v>16.7</v>
      </c>
      <c r="H2989" t="n">
        <v>0</v>
      </c>
      <c r="I2989" t="n">
        <v>0</v>
      </c>
      <c r="J2989" t="n">
        <v>0</v>
      </c>
      <c r="K2989" t="n">
        <v>0</v>
      </c>
      <c r="L2989" t="n">
        <v>0</v>
      </c>
      <c r="M2989" t="n">
        <v>0</v>
      </c>
      <c r="N2989" t="n">
        <v>0</v>
      </c>
      <c r="O2989" t="n">
        <v>0</v>
      </c>
      <c r="P2989" t="n">
        <v>0</v>
      </c>
      <c r="Q2989" t="n">
        <v>0</v>
      </c>
      <c r="R2989" s="2" t="inlineStr"/>
    </row>
    <row r="2990" ht="15" customHeight="1">
      <c r="A2990" t="inlineStr">
        <is>
          <t>A 42299-2020</t>
        </is>
      </c>
      <c r="B2990" s="1" t="n">
        <v>44076</v>
      </c>
      <c r="C2990" s="1" t="n">
        <v>45657</v>
      </c>
      <c r="D2990" t="inlineStr">
        <is>
          <t>VÄSTERNORRLANDS LÄN</t>
        </is>
      </c>
      <c r="E2990" t="inlineStr">
        <is>
          <t>ÅNGE</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42458-2020</t>
        </is>
      </c>
      <c r="B2991" s="1" t="n">
        <v>44076</v>
      </c>
      <c r="C2991" s="1" t="n">
        <v>45657</v>
      </c>
      <c r="D2991" t="inlineStr">
        <is>
          <t>VÄSTERNORRLANDS LÄN</t>
        </is>
      </c>
      <c r="E2991" t="inlineStr">
        <is>
          <t>ÖRNSKÖLDSVIK</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43300-2020</t>
        </is>
      </c>
      <c r="B2992" s="1" t="n">
        <v>44076</v>
      </c>
      <c r="C2992" s="1" t="n">
        <v>45657</v>
      </c>
      <c r="D2992" t="inlineStr">
        <is>
          <t>VÄSTERNORRLANDS LÄN</t>
        </is>
      </c>
      <c r="E2992" t="inlineStr">
        <is>
          <t>SOLLEFTEÅ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43160-2020</t>
        </is>
      </c>
      <c r="B2993" s="1" t="n">
        <v>44076</v>
      </c>
      <c r="C2993" s="1" t="n">
        <v>45657</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43241-2020</t>
        </is>
      </c>
      <c r="B2994" s="1" t="n">
        <v>44076</v>
      </c>
      <c r="C2994" s="1" t="n">
        <v>45657</v>
      </c>
      <c r="D2994" t="inlineStr">
        <is>
          <t>VÄSTERNORRLANDS LÄN</t>
        </is>
      </c>
      <c r="E2994" t="inlineStr">
        <is>
          <t>ÖRNSKÖLDSVIK</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42692-2020</t>
        </is>
      </c>
      <c r="B2995" s="1" t="n">
        <v>44077</v>
      </c>
      <c r="C2995" s="1" t="n">
        <v>45657</v>
      </c>
      <c r="D2995" t="inlineStr">
        <is>
          <t>VÄSTERNORRLANDS LÄN</t>
        </is>
      </c>
      <c r="E2995" t="inlineStr">
        <is>
          <t>ÖRNSKÖLDSVIK</t>
        </is>
      </c>
      <c r="F2995" t="inlineStr">
        <is>
          <t>Holmen skog AB</t>
        </is>
      </c>
      <c r="G2995" t="n">
        <v>9.199999999999999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43372-2020</t>
        </is>
      </c>
      <c r="B2996" s="1" t="n">
        <v>44077</v>
      </c>
      <c r="C2996" s="1" t="n">
        <v>45657</v>
      </c>
      <c r="D2996" t="inlineStr">
        <is>
          <t>VÄSTERNORRLANDS LÄN</t>
        </is>
      </c>
      <c r="E2996" t="inlineStr">
        <is>
          <t>ÖRNSKÖLDSVIK</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42751-2020</t>
        </is>
      </c>
      <c r="B2997" s="1" t="n">
        <v>44077</v>
      </c>
      <c r="C2997" s="1" t="n">
        <v>45657</v>
      </c>
      <c r="D2997" t="inlineStr">
        <is>
          <t>VÄSTERNORRLANDS LÄN</t>
        </is>
      </c>
      <c r="E2997" t="inlineStr">
        <is>
          <t>ÅNGE</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42846-2020</t>
        </is>
      </c>
      <c r="B2998" s="1" t="n">
        <v>44078</v>
      </c>
      <c r="C2998" s="1" t="n">
        <v>45657</v>
      </c>
      <c r="D2998" t="inlineStr">
        <is>
          <t>VÄSTERNORRLANDS LÄN</t>
        </is>
      </c>
      <c r="E2998" t="inlineStr">
        <is>
          <t>SOLLEFTEÅ</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43093-2020</t>
        </is>
      </c>
      <c r="B2999" s="1" t="n">
        <v>44078</v>
      </c>
      <c r="C2999" s="1" t="n">
        <v>45657</v>
      </c>
      <c r="D2999" t="inlineStr">
        <is>
          <t>VÄSTERNORRLANDS LÄN</t>
        </is>
      </c>
      <c r="E2999" t="inlineStr">
        <is>
          <t>ÅNGE</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42783-2020</t>
        </is>
      </c>
      <c r="B3000" s="1" t="n">
        <v>44078</v>
      </c>
      <c r="C3000" s="1" t="n">
        <v>45657</v>
      </c>
      <c r="D3000" t="inlineStr">
        <is>
          <t>VÄSTERNORRLANDS LÄN</t>
        </is>
      </c>
      <c r="E3000" t="inlineStr">
        <is>
          <t>ÖRNSKÖLDSVIK</t>
        </is>
      </c>
      <c r="F3000" t="inlineStr">
        <is>
          <t>Holmen skog AB</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43035-2020</t>
        </is>
      </c>
      <c r="B3001" s="1" t="n">
        <v>44078</v>
      </c>
      <c r="C3001" s="1" t="n">
        <v>45657</v>
      </c>
      <c r="D3001" t="inlineStr">
        <is>
          <t>VÄSTERNORRLANDS LÄN</t>
        </is>
      </c>
      <c r="E3001" t="inlineStr">
        <is>
          <t>ÖRNSKÖLDSVIK</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43107-2020</t>
        </is>
      </c>
      <c r="B3002" s="1" t="n">
        <v>44078</v>
      </c>
      <c r="C3002" s="1" t="n">
        <v>45657</v>
      </c>
      <c r="D3002" t="inlineStr">
        <is>
          <t>VÄSTERNORRLANDS LÄN</t>
        </is>
      </c>
      <c r="E3002" t="inlineStr">
        <is>
          <t>SOLLEFTEÅ</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43722-2020</t>
        </is>
      </c>
      <c r="B3003" s="1" t="n">
        <v>44078</v>
      </c>
      <c r="C3003" s="1" t="n">
        <v>45657</v>
      </c>
      <c r="D3003" t="inlineStr">
        <is>
          <t>VÄSTERNORRLANDS LÄN</t>
        </is>
      </c>
      <c r="E3003" t="inlineStr">
        <is>
          <t>ÖRNSKÖLDSVIK</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43438-2020</t>
        </is>
      </c>
      <c r="B3004" s="1" t="n">
        <v>44081</v>
      </c>
      <c r="C3004" s="1" t="n">
        <v>45657</v>
      </c>
      <c r="D3004" t="inlineStr">
        <is>
          <t>VÄSTERNORRLANDS LÄN</t>
        </is>
      </c>
      <c r="E3004" t="inlineStr">
        <is>
          <t>SOLLEFTEÅ</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43299-2020</t>
        </is>
      </c>
      <c r="B3005" s="1" t="n">
        <v>44081</v>
      </c>
      <c r="C3005" s="1" t="n">
        <v>45657</v>
      </c>
      <c r="D3005" t="inlineStr">
        <is>
          <t>VÄSTERNORRLANDS LÄN</t>
        </is>
      </c>
      <c r="E3005" t="inlineStr">
        <is>
          <t>SUNDSVALL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43820-2020</t>
        </is>
      </c>
      <c r="B3006" s="1" t="n">
        <v>44082</v>
      </c>
      <c r="C3006" s="1" t="n">
        <v>45657</v>
      </c>
      <c r="D3006" t="inlineStr">
        <is>
          <t>VÄSTERNORRLANDS LÄN</t>
        </is>
      </c>
      <c r="E3006" t="inlineStr">
        <is>
          <t>SOLLEFTEÅ</t>
        </is>
      </c>
      <c r="F3006" t="inlineStr">
        <is>
          <t>SCA</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44611-2020</t>
        </is>
      </c>
      <c r="B3007" s="1" t="n">
        <v>44082</v>
      </c>
      <c r="C3007" s="1" t="n">
        <v>45657</v>
      </c>
      <c r="D3007" t="inlineStr">
        <is>
          <t>VÄSTERNORRLANDS LÄN</t>
        </is>
      </c>
      <c r="E3007" t="inlineStr">
        <is>
          <t>ÖRNSKÖLDSVIK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43874-2020</t>
        </is>
      </c>
      <c r="B3008" s="1" t="n">
        <v>44083</v>
      </c>
      <c r="C3008" s="1" t="n">
        <v>45657</v>
      </c>
      <c r="D3008" t="inlineStr">
        <is>
          <t>VÄSTERNORRLANDS LÄN</t>
        </is>
      </c>
      <c r="E3008" t="inlineStr">
        <is>
          <t>ÖRNSKÖLDSVIK</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43970-2020</t>
        </is>
      </c>
      <c r="B3009" s="1" t="n">
        <v>44083</v>
      </c>
      <c r="C3009" s="1" t="n">
        <v>45657</v>
      </c>
      <c r="D3009" t="inlineStr">
        <is>
          <t>VÄSTERNORRLANDS LÄN</t>
        </is>
      </c>
      <c r="E3009" t="inlineStr">
        <is>
          <t>ÖRNSKÖLDSVIK</t>
        </is>
      </c>
      <c r="F3009" t="inlineStr">
        <is>
          <t>Holmen skog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43944-2020</t>
        </is>
      </c>
      <c r="B3010" s="1" t="n">
        <v>44083</v>
      </c>
      <c r="C3010" s="1" t="n">
        <v>45657</v>
      </c>
      <c r="D3010" t="inlineStr">
        <is>
          <t>VÄSTERNORRLANDS LÄN</t>
        </is>
      </c>
      <c r="E3010" t="inlineStr">
        <is>
          <t>ÖRNSKÖLDSVIK</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44210-2020</t>
        </is>
      </c>
      <c r="B3011" s="1" t="n">
        <v>44083</v>
      </c>
      <c r="C3011" s="1" t="n">
        <v>45657</v>
      </c>
      <c r="D3011" t="inlineStr">
        <is>
          <t>VÄSTERNORRLANDS LÄN</t>
        </is>
      </c>
      <c r="E3011" t="inlineStr">
        <is>
          <t>SUNDSVALL</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44271-2020</t>
        </is>
      </c>
      <c r="B3012" s="1" t="n">
        <v>44084</v>
      </c>
      <c r="C3012" s="1" t="n">
        <v>45657</v>
      </c>
      <c r="D3012" t="inlineStr">
        <is>
          <t>VÄSTERNORRLANDS LÄN</t>
        </is>
      </c>
      <c r="E3012" t="inlineStr">
        <is>
          <t>ÖRNSKÖLDSVIK</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44328-2020</t>
        </is>
      </c>
      <c r="B3013" s="1" t="n">
        <v>44084</v>
      </c>
      <c r="C3013" s="1" t="n">
        <v>45657</v>
      </c>
      <c r="D3013" t="inlineStr">
        <is>
          <t>VÄSTERNORRLANDS LÄN</t>
        </is>
      </c>
      <c r="E3013" t="inlineStr">
        <is>
          <t>ÖRNSKÖLDSVIK</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45053-2020</t>
        </is>
      </c>
      <c r="B3014" s="1" t="n">
        <v>44084</v>
      </c>
      <c r="C3014" s="1" t="n">
        <v>45657</v>
      </c>
      <c r="D3014" t="inlineStr">
        <is>
          <t>VÄSTERNORRLANDS LÄN</t>
        </is>
      </c>
      <c r="E3014" t="inlineStr">
        <is>
          <t>SUNDSVALL</t>
        </is>
      </c>
      <c r="G3014" t="n">
        <v>16.6</v>
      </c>
      <c r="H3014" t="n">
        <v>0</v>
      </c>
      <c r="I3014" t="n">
        <v>0</v>
      </c>
      <c r="J3014" t="n">
        <v>0</v>
      </c>
      <c r="K3014" t="n">
        <v>0</v>
      </c>
      <c r="L3014" t="n">
        <v>0</v>
      </c>
      <c r="M3014" t="n">
        <v>0</v>
      </c>
      <c r="N3014" t="n">
        <v>0</v>
      </c>
      <c r="O3014" t="n">
        <v>0</v>
      </c>
      <c r="P3014" t="n">
        <v>0</v>
      </c>
      <c r="Q3014" t="n">
        <v>0</v>
      </c>
      <c r="R3014" s="2" t="inlineStr"/>
    </row>
    <row r="3015" ht="15" customHeight="1">
      <c r="A3015" t="inlineStr">
        <is>
          <t>A 45147-2020</t>
        </is>
      </c>
      <c r="B3015" s="1" t="n">
        <v>44084</v>
      </c>
      <c r="C3015" s="1" t="n">
        <v>45657</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45139-2020</t>
        </is>
      </c>
      <c r="B3016" s="1" t="n">
        <v>44084</v>
      </c>
      <c r="C3016" s="1" t="n">
        <v>45657</v>
      </c>
      <c r="D3016" t="inlineStr">
        <is>
          <t>VÄSTERNORRLANDS LÄN</t>
        </is>
      </c>
      <c r="E3016" t="inlineStr">
        <is>
          <t>ÖRNSKÖLDSVIK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45164-2020</t>
        </is>
      </c>
      <c r="B3017" s="1" t="n">
        <v>44084</v>
      </c>
      <c r="C3017" s="1" t="n">
        <v>45657</v>
      </c>
      <c r="D3017" t="inlineStr">
        <is>
          <t>VÄSTERNORRLANDS LÄN</t>
        </is>
      </c>
      <c r="E3017" t="inlineStr">
        <is>
          <t>ÖRNSKÖLDSVIK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44503-2020</t>
        </is>
      </c>
      <c r="B3018" s="1" t="n">
        <v>44084</v>
      </c>
      <c r="C3018" s="1" t="n">
        <v>45657</v>
      </c>
      <c r="D3018" t="inlineStr">
        <is>
          <t>VÄSTERNORRLANDS LÄN</t>
        </is>
      </c>
      <c r="E3018" t="inlineStr">
        <is>
          <t>TIMRÅ</t>
        </is>
      </c>
      <c r="F3018" t="inlineStr">
        <is>
          <t>SCA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44599-2020</t>
        </is>
      </c>
      <c r="B3019" s="1" t="n">
        <v>44085</v>
      </c>
      <c r="C3019" s="1" t="n">
        <v>45657</v>
      </c>
      <c r="D3019" t="inlineStr">
        <is>
          <t>VÄSTERNORRLANDS LÄN</t>
        </is>
      </c>
      <c r="E3019" t="inlineStr">
        <is>
          <t>SUNDSVALL</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44693-2020</t>
        </is>
      </c>
      <c r="B3020" s="1" t="n">
        <v>44085</v>
      </c>
      <c r="C3020" s="1" t="n">
        <v>45657</v>
      </c>
      <c r="D3020" t="inlineStr">
        <is>
          <t>VÄSTERNORRLANDS LÄN</t>
        </is>
      </c>
      <c r="E3020" t="inlineStr">
        <is>
          <t>ÖRNSKÖLDSVIK</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44681-2020</t>
        </is>
      </c>
      <c r="B3021" s="1" t="n">
        <v>44085</v>
      </c>
      <c r="C3021" s="1" t="n">
        <v>45657</v>
      </c>
      <c r="D3021" t="inlineStr">
        <is>
          <t>VÄSTERNORRLANDS LÄN</t>
        </is>
      </c>
      <c r="E3021" t="inlineStr">
        <is>
          <t>SOLLEFTEÅ</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45337-2020</t>
        </is>
      </c>
      <c r="B3022" s="1" t="n">
        <v>44085</v>
      </c>
      <c r="C3022" s="1" t="n">
        <v>45657</v>
      </c>
      <c r="D3022" t="inlineStr">
        <is>
          <t>VÄSTERNORRLANDS LÄN</t>
        </is>
      </c>
      <c r="E3022" t="inlineStr">
        <is>
          <t>SUNDSVALL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44802-2020</t>
        </is>
      </c>
      <c r="B3023" s="1" t="n">
        <v>44085</v>
      </c>
      <c r="C3023" s="1" t="n">
        <v>45657</v>
      </c>
      <c r="D3023" t="inlineStr">
        <is>
          <t>VÄSTERNORRLANDS LÄN</t>
        </is>
      </c>
      <c r="E3023" t="inlineStr">
        <is>
          <t>HÄRNÖSAND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45025-2020</t>
        </is>
      </c>
      <c r="B3024" s="1" t="n">
        <v>44088</v>
      </c>
      <c r="C3024" s="1" t="n">
        <v>45657</v>
      </c>
      <c r="D3024" t="inlineStr">
        <is>
          <t>VÄSTERNORRLANDS LÄN</t>
        </is>
      </c>
      <c r="E3024" t="inlineStr">
        <is>
          <t>KRAMFORS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45099-2020</t>
        </is>
      </c>
      <c r="B3025" s="1" t="n">
        <v>44088</v>
      </c>
      <c r="C3025" s="1" t="n">
        <v>45657</v>
      </c>
      <c r="D3025" t="inlineStr">
        <is>
          <t>VÄSTERNORRLANDS LÄN</t>
        </is>
      </c>
      <c r="E3025" t="inlineStr">
        <is>
          <t>SUNDSVALL</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45005-2020</t>
        </is>
      </c>
      <c r="B3026" s="1" t="n">
        <v>44088</v>
      </c>
      <c r="C3026" s="1" t="n">
        <v>45657</v>
      </c>
      <c r="D3026" t="inlineStr">
        <is>
          <t>VÄSTERNORRLANDS LÄN</t>
        </is>
      </c>
      <c r="E3026" t="inlineStr">
        <is>
          <t>SUNDSVALL</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45233-2020</t>
        </is>
      </c>
      <c r="B3027" s="1" t="n">
        <v>44088</v>
      </c>
      <c r="C3027" s="1" t="n">
        <v>45657</v>
      </c>
      <c r="D3027" t="inlineStr">
        <is>
          <t>VÄSTERNORRLANDS LÄN</t>
        </is>
      </c>
      <c r="E3027" t="inlineStr">
        <is>
          <t>SUNDSVALL</t>
        </is>
      </c>
      <c r="F3027" t="inlineStr">
        <is>
          <t>Naturvårdsverket</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45250-2020</t>
        </is>
      </c>
      <c r="B3028" s="1" t="n">
        <v>44088</v>
      </c>
      <c r="C3028" s="1" t="n">
        <v>45657</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45251-2020</t>
        </is>
      </c>
      <c r="B3029" s="1" t="n">
        <v>44088</v>
      </c>
      <c r="C3029" s="1" t="n">
        <v>45657</v>
      </c>
      <c r="D3029" t="inlineStr">
        <is>
          <t>VÄSTERNORRLANDS LÄN</t>
        </is>
      </c>
      <c r="E3029" t="inlineStr">
        <is>
          <t>SOLLEFTEÅ</t>
        </is>
      </c>
      <c r="F3029" t="inlineStr">
        <is>
          <t>SCA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46102-2020</t>
        </is>
      </c>
      <c r="B3030" s="1" t="n">
        <v>44088</v>
      </c>
      <c r="C3030" s="1" t="n">
        <v>45657</v>
      </c>
      <c r="D3030" t="inlineStr">
        <is>
          <t>VÄSTERNORRLANDS LÄN</t>
        </is>
      </c>
      <c r="E3030" t="inlineStr">
        <is>
          <t>ÖRNSKÖLDSVIK</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45549-2020</t>
        </is>
      </c>
      <c r="B3031" s="1" t="n">
        <v>44090</v>
      </c>
      <c r="C3031" s="1" t="n">
        <v>45657</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45545-2020</t>
        </is>
      </c>
      <c r="B3032" s="1" t="n">
        <v>44089</v>
      </c>
      <c r="C3032" s="1" t="n">
        <v>45657</v>
      </c>
      <c r="D3032" t="inlineStr">
        <is>
          <t>VÄSTERNORRLANDS LÄN</t>
        </is>
      </c>
      <c r="E3032" t="inlineStr">
        <is>
          <t>KRAMFORS</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45544-2020</t>
        </is>
      </c>
      <c r="B3033" s="1" t="n">
        <v>44090</v>
      </c>
      <c r="C3033" s="1" t="n">
        <v>45657</v>
      </c>
      <c r="D3033" t="inlineStr">
        <is>
          <t>VÄSTERNORRLANDS LÄN</t>
        </is>
      </c>
      <c r="E3033" t="inlineStr">
        <is>
          <t>KRAMFORS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45542-2020</t>
        </is>
      </c>
      <c r="B3034" s="1" t="n">
        <v>44089</v>
      </c>
      <c r="C3034" s="1" t="n">
        <v>45657</v>
      </c>
      <c r="D3034" t="inlineStr">
        <is>
          <t>VÄSTERNORRLANDS LÄN</t>
        </is>
      </c>
      <c r="E3034" t="inlineStr">
        <is>
          <t>SOLLEFTEÅ</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45551-2020</t>
        </is>
      </c>
      <c r="B3035" s="1" t="n">
        <v>44089</v>
      </c>
      <c r="C3035" s="1" t="n">
        <v>45657</v>
      </c>
      <c r="D3035" t="inlineStr">
        <is>
          <t>VÄSTERNORRLANDS LÄN</t>
        </is>
      </c>
      <c r="E3035" t="inlineStr">
        <is>
          <t>SOLLEFTEÅ</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46672-2020</t>
        </is>
      </c>
      <c r="B3036" s="1" t="n">
        <v>44089</v>
      </c>
      <c r="C3036" s="1" t="n">
        <v>45657</v>
      </c>
      <c r="D3036" t="inlineStr">
        <is>
          <t>VÄSTERNORRLANDS LÄN</t>
        </is>
      </c>
      <c r="E3036" t="inlineStr">
        <is>
          <t>KRAMFORS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45596-2020</t>
        </is>
      </c>
      <c r="B3037" s="1" t="n">
        <v>44090</v>
      </c>
      <c r="C3037" s="1" t="n">
        <v>45657</v>
      </c>
      <c r="D3037" t="inlineStr">
        <is>
          <t>VÄSTERNORRLANDS LÄN</t>
        </is>
      </c>
      <c r="E3037" t="inlineStr">
        <is>
          <t>SUNDSVALL</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45649-2020</t>
        </is>
      </c>
      <c r="B3038" s="1" t="n">
        <v>44090</v>
      </c>
      <c r="C3038" s="1" t="n">
        <v>45657</v>
      </c>
      <c r="D3038" t="inlineStr">
        <is>
          <t>VÄSTERNORRLANDS LÄN</t>
        </is>
      </c>
      <c r="E3038" t="inlineStr">
        <is>
          <t>KRAMFORS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45619-2020</t>
        </is>
      </c>
      <c r="B3039" s="1" t="n">
        <v>44090</v>
      </c>
      <c r="C3039" s="1" t="n">
        <v>45657</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45640-2020</t>
        </is>
      </c>
      <c r="B3040" s="1" t="n">
        <v>44090</v>
      </c>
      <c r="C3040" s="1" t="n">
        <v>45657</v>
      </c>
      <c r="D3040" t="inlineStr">
        <is>
          <t>VÄSTERNORRLANDS LÄN</t>
        </is>
      </c>
      <c r="E3040" t="inlineStr">
        <is>
          <t>ÖRNSKÖLDSVIK</t>
        </is>
      </c>
      <c r="F3040" t="inlineStr">
        <is>
          <t>Holmen skog AB</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45808-2020</t>
        </is>
      </c>
      <c r="B3041" s="1" t="n">
        <v>44090</v>
      </c>
      <c r="C3041" s="1" t="n">
        <v>45657</v>
      </c>
      <c r="D3041" t="inlineStr">
        <is>
          <t>VÄSTERNORRLANDS LÄN</t>
        </is>
      </c>
      <c r="E3041" t="inlineStr">
        <is>
          <t>ÅNGE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45813-2020</t>
        </is>
      </c>
      <c r="B3042" s="1" t="n">
        <v>44090</v>
      </c>
      <c r="C3042" s="1" t="n">
        <v>45657</v>
      </c>
      <c r="D3042" t="inlineStr">
        <is>
          <t>VÄSTERNORRLANDS LÄN</t>
        </is>
      </c>
      <c r="E3042" t="inlineStr">
        <is>
          <t>ÅNGE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45829-2020</t>
        </is>
      </c>
      <c r="B3043" s="1" t="n">
        <v>44090</v>
      </c>
      <c r="C3043" s="1" t="n">
        <v>45657</v>
      </c>
      <c r="D3043" t="inlineStr">
        <is>
          <t>VÄSTERNORRLANDS LÄN</t>
        </is>
      </c>
      <c r="E3043" t="inlineStr">
        <is>
          <t>SUNDSVALL</t>
        </is>
      </c>
      <c r="F3043" t="inlineStr">
        <is>
          <t>Naturvårdsverket</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45812-2020</t>
        </is>
      </c>
      <c r="B3044" s="1" t="n">
        <v>44090</v>
      </c>
      <c r="C3044" s="1" t="n">
        <v>45657</v>
      </c>
      <c r="D3044" t="inlineStr">
        <is>
          <t>VÄSTERNORRLANDS LÄN</t>
        </is>
      </c>
      <c r="E3044" t="inlineStr">
        <is>
          <t>ÅNGE</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45852-2020</t>
        </is>
      </c>
      <c r="B3045" s="1" t="n">
        <v>44090</v>
      </c>
      <c r="C3045" s="1" t="n">
        <v>45657</v>
      </c>
      <c r="D3045" t="inlineStr">
        <is>
          <t>VÄSTERNORRLANDS LÄN</t>
        </is>
      </c>
      <c r="E3045" t="inlineStr">
        <is>
          <t>SUNDSVALL</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45836-2020</t>
        </is>
      </c>
      <c r="B3046" s="1" t="n">
        <v>44090</v>
      </c>
      <c r="C3046" s="1" t="n">
        <v>45657</v>
      </c>
      <c r="D3046" t="inlineStr">
        <is>
          <t>VÄSTERNORRLANDS LÄN</t>
        </is>
      </c>
      <c r="E3046" t="inlineStr">
        <is>
          <t>HÄRNÖSAND</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46792-2020</t>
        </is>
      </c>
      <c r="B3047" s="1" t="n">
        <v>44090</v>
      </c>
      <c r="C3047" s="1" t="n">
        <v>45657</v>
      </c>
      <c r="D3047" t="inlineStr">
        <is>
          <t>VÄSTERNORRLANDS LÄN</t>
        </is>
      </c>
      <c r="E3047" t="inlineStr">
        <is>
          <t>ÖRNSKÖLDSVIK</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46922-2020</t>
        </is>
      </c>
      <c r="B3048" s="1" t="n">
        <v>44090</v>
      </c>
      <c r="C3048" s="1" t="n">
        <v>45657</v>
      </c>
      <c r="D3048" t="inlineStr">
        <is>
          <t>VÄSTERNORRLANDS LÄN</t>
        </is>
      </c>
      <c r="E3048" t="inlineStr">
        <is>
          <t>ÖRNSKÖLDSVIK</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46788-2020</t>
        </is>
      </c>
      <c r="B3049" s="1" t="n">
        <v>44090</v>
      </c>
      <c r="C3049" s="1" t="n">
        <v>45657</v>
      </c>
      <c r="D3049" t="inlineStr">
        <is>
          <t>VÄSTERNORRLANDS LÄN</t>
        </is>
      </c>
      <c r="E3049" t="inlineStr">
        <is>
          <t>ÖRNSKÖLDSVIK</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45810-2020</t>
        </is>
      </c>
      <c r="B3050" s="1" t="n">
        <v>44090</v>
      </c>
      <c r="C3050" s="1" t="n">
        <v>45657</v>
      </c>
      <c r="D3050" t="inlineStr">
        <is>
          <t>VÄSTERNORRLANDS LÄN</t>
        </is>
      </c>
      <c r="E3050" t="inlineStr">
        <is>
          <t>ÅNGE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46114-2020</t>
        </is>
      </c>
      <c r="B3051" s="1" t="n">
        <v>44091</v>
      </c>
      <c r="C3051" s="1" t="n">
        <v>45657</v>
      </c>
      <c r="D3051" t="inlineStr">
        <is>
          <t>VÄSTERNORRLANDS LÄN</t>
        </is>
      </c>
      <c r="E3051" t="inlineStr">
        <is>
          <t>ÖRNSKÖLDSVIK</t>
        </is>
      </c>
      <c r="F3051" t="inlineStr">
        <is>
          <t>Holmen skog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46048-2020</t>
        </is>
      </c>
      <c r="B3052" s="1" t="n">
        <v>44091</v>
      </c>
      <c r="C3052" s="1" t="n">
        <v>45657</v>
      </c>
      <c r="D3052" t="inlineStr">
        <is>
          <t>VÄSTERNORRLANDS LÄN</t>
        </is>
      </c>
      <c r="E3052" t="inlineStr">
        <is>
          <t>KRAMFORS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47173-2020</t>
        </is>
      </c>
      <c r="B3053" s="1" t="n">
        <v>44091</v>
      </c>
      <c r="C3053" s="1" t="n">
        <v>45657</v>
      </c>
      <c r="D3053" t="inlineStr">
        <is>
          <t>VÄSTERNORRLANDS LÄN</t>
        </is>
      </c>
      <c r="E3053" t="inlineStr">
        <is>
          <t>ÖRNSKÖLDSVIK</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47041-2020</t>
        </is>
      </c>
      <c r="B3054" s="1" t="n">
        <v>44091</v>
      </c>
      <c r="C3054" s="1" t="n">
        <v>45657</v>
      </c>
      <c r="D3054" t="inlineStr">
        <is>
          <t>VÄSTERNORRLANDS LÄN</t>
        </is>
      </c>
      <c r="E3054" t="inlineStr">
        <is>
          <t>ÅNGE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46321-2020</t>
        </is>
      </c>
      <c r="B3055" s="1" t="n">
        <v>44092</v>
      </c>
      <c r="C3055" s="1" t="n">
        <v>45657</v>
      </c>
      <c r="D3055" t="inlineStr">
        <is>
          <t>VÄSTERNORRLANDS LÄN</t>
        </is>
      </c>
      <c r="E3055" t="inlineStr">
        <is>
          <t>ÖRNSKÖLDSVIK</t>
        </is>
      </c>
      <c r="F3055" t="inlineStr">
        <is>
          <t>Holmen skog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46518-2020</t>
        </is>
      </c>
      <c r="B3056" s="1" t="n">
        <v>44095</v>
      </c>
      <c r="C3056" s="1" t="n">
        <v>45657</v>
      </c>
      <c r="D3056" t="inlineStr">
        <is>
          <t>VÄSTERNORRLANDS LÄN</t>
        </is>
      </c>
      <c r="E3056" t="inlineStr">
        <is>
          <t>ÅNGE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46507-2020</t>
        </is>
      </c>
      <c r="B3057" s="1" t="n">
        <v>44095</v>
      </c>
      <c r="C3057" s="1" t="n">
        <v>45657</v>
      </c>
      <c r="D3057" t="inlineStr">
        <is>
          <t>VÄSTERNORRLANDS LÄN</t>
        </is>
      </c>
      <c r="E3057" t="inlineStr">
        <is>
          <t>ÖRNSKÖLDSVIK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46715-2020</t>
        </is>
      </c>
      <c r="B3058" s="1" t="n">
        <v>44095</v>
      </c>
      <c r="C3058" s="1" t="n">
        <v>45657</v>
      </c>
      <c r="D3058" t="inlineStr">
        <is>
          <t>VÄSTERNORRLANDS LÄN</t>
        </is>
      </c>
      <c r="E3058" t="inlineStr">
        <is>
          <t>SOLLEFTEÅ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47411-2020</t>
        </is>
      </c>
      <c r="B3059" s="1" t="n">
        <v>44095</v>
      </c>
      <c r="C3059" s="1" t="n">
        <v>45657</v>
      </c>
      <c r="D3059" t="inlineStr">
        <is>
          <t>VÄSTERNORRLANDS LÄN</t>
        </is>
      </c>
      <c r="E3059" t="inlineStr">
        <is>
          <t>ÅNGE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47585-2020</t>
        </is>
      </c>
      <c r="B3060" s="1" t="n">
        <v>44095</v>
      </c>
      <c r="C3060" s="1" t="n">
        <v>45657</v>
      </c>
      <c r="D3060" t="inlineStr">
        <is>
          <t>VÄSTERNORRLANDS LÄN</t>
        </is>
      </c>
      <c r="E3060" t="inlineStr">
        <is>
          <t>ÖRNSKÖLDSVIK</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47351-2020</t>
        </is>
      </c>
      <c r="B3061" s="1" t="n">
        <v>44095</v>
      </c>
      <c r="C3061" s="1" t="n">
        <v>45657</v>
      </c>
      <c r="D3061" t="inlineStr">
        <is>
          <t>VÄSTERNORRLANDS LÄN</t>
        </is>
      </c>
      <c r="E3061" t="inlineStr">
        <is>
          <t>KRAMFORS</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47875-2020</t>
        </is>
      </c>
      <c r="B3062" s="1" t="n">
        <v>44096</v>
      </c>
      <c r="C3062" s="1" t="n">
        <v>45657</v>
      </c>
      <c r="D3062" t="inlineStr">
        <is>
          <t>VÄSTERNORRLANDS LÄN</t>
        </is>
      </c>
      <c r="E3062" t="inlineStr">
        <is>
          <t>KRAMFORS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47874-2020</t>
        </is>
      </c>
      <c r="B3063" s="1" t="n">
        <v>44096</v>
      </c>
      <c r="C3063" s="1" t="n">
        <v>45657</v>
      </c>
      <c r="D3063" t="inlineStr">
        <is>
          <t>VÄSTERNORRLANDS LÄN</t>
        </is>
      </c>
      <c r="E3063" t="inlineStr">
        <is>
          <t>KRAMFORS</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47127-2020</t>
        </is>
      </c>
      <c r="B3064" s="1" t="n">
        <v>44096</v>
      </c>
      <c r="C3064" s="1" t="n">
        <v>45657</v>
      </c>
      <c r="D3064" t="inlineStr">
        <is>
          <t>VÄSTERNORRLANDS LÄN</t>
        </is>
      </c>
      <c r="E3064" t="inlineStr">
        <is>
          <t>ÅNGE</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47765-2020</t>
        </is>
      </c>
      <c r="B3065" s="1" t="n">
        <v>44096</v>
      </c>
      <c r="C3065" s="1" t="n">
        <v>45657</v>
      </c>
      <c r="D3065" t="inlineStr">
        <is>
          <t>VÄSTERNORRLANDS LÄN</t>
        </is>
      </c>
      <c r="E3065" t="inlineStr">
        <is>
          <t>HÄRNÖSAND</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48371-2020</t>
        </is>
      </c>
      <c r="B3066" s="1" t="n">
        <v>44097</v>
      </c>
      <c r="C3066" s="1" t="n">
        <v>45657</v>
      </c>
      <c r="D3066" t="inlineStr">
        <is>
          <t>VÄSTERNORRLANDS LÄN</t>
        </is>
      </c>
      <c r="E3066" t="inlineStr">
        <is>
          <t>ÖRNSKÖLDSVIK</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47463-2020</t>
        </is>
      </c>
      <c r="B3067" s="1" t="n">
        <v>44097</v>
      </c>
      <c r="C3067" s="1" t="n">
        <v>45657</v>
      </c>
      <c r="D3067" t="inlineStr">
        <is>
          <t>VÄSTERNORRLANDS LÄN</t>
        </is>
      </c>
      <c r="E3067" t="inlineStr">
        <is>
          <t>HÄRNÖSAND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48238-2020</t>
        </is>
      </c>
      <c r="B3068" s="1" t="n">
        <v>44097</v>
      </c>
      <c r="C3068" s="1" t="n">
        <v>45657</v>
      </c>
      <c r="D3068" t="inlineStr">
        <is>
          <t>VÄSTERNORRLANDS LÄN</t>
        </is>
      </c>
      <c r="E3068" t="inlineStr">
        <is>
          <t>ÅNGE</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48389-2020</t>
        </is>
      </c>
      <c r="B3069" s="1" t="n">
        <v>44097</v>
      </c>
      <c r="C3069" s="1" t="n">
        <v>45657</v>
      </c>
      <c r="D3069" t="inlineStr">
        <is>
          <t>VÄSTERNORRLANDS LÄN</t>
        </is>
      </c>
      <c r="E3069" t="inlineStr">
        <is>
          <t>ÖRNSKÖLDSVIK</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47607-2020</t>
        </is>
      </c>
      <c r="B3070" s="1" t="n">
        <v>44098</v>
      </c>
      <c r="C3070" s="1" t="n">
        <v>45657</v>
      </c>
      <c r="D3070" t="inlineStr">
        <is>
          <t>VÄSTERNORRLANDS LÄN</t>
        </is>
      </c>
      <c r="E3070" t="inlineStr">
        <is>
          <t>ÖRNSKÖLDSVIK</t>
        </is>
      </c>
      <c r="F3070" t="inlineStr">
        <is>
          <t>Holmen skog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47705-2020</t>
        </is>
      </c>
      <c r="B3071" s="1" t="n">
        <v>44098</v>
      </c>
      <c r="C3071" s="1" t="n">
        <v>45657</v>
      </c>
      <c r="D3071" t="inlineStr">
        <is>
          <t>VÄSTERNORRLANDS LÄN</t>
        </is>
      </c>
      <c r="E3071" t="inlineStr">
        <is>
          <t>ÖRNSKÖLDSVIK</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47827-2020</t>
        </is>
      </c>
      <c r="B3072" s="1" t="n">
        <v>44098</v>
      </c>
      <c r="C3072" s="1" t="n">
        <v>45657</v>
      </c>
      <c r="D3072" t="inlineStr">
        <is>
          <t>VÄSTERNORRLANDS LÄN</t>
        </is>
      </c>
      <c r="E3072" t="inlineStr">
        <is>
          <t>SOLLEFTEÅ</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47859-2020</t>
        </is>
      </c>
      <c r="B3073" s="1" t="n">
        <v>44099</v>
      </c>
      <c r="C3073" s="1" t="n">
        <v>45657</v>
      </c>
      <c r="D3073" t="inlineStr">
        <is>
          <t>VÄSTERNORRLANDS LÄN</t>
        </is>
      </c>
      <c r="E3073" t="inlineStr">
        <is>
          <t>SOLLEFTEÅ</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48052-2020</t>
        </is>
      </c>
      <c r="B3074" s="1" t="n">
        <v>44100</v>
      </c>
      <c r="C3074" s="1" t="n">
        <v>45657</v>
      </c>
      <c r="D3074" t="inlineStr">
        <is>
          <t>VÄSTERNORRLANDS LÄN</t>
        </is>
      </c>
      <c r="E3074" t="inlineStr">
        <is>
          <t>SOLLEFTEÅ</t>
        </is>
      </c>
      <c r="F3074" t="inlineStr">
        <is>
          <t>SCA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47991-2020</t>
        </is>
      </c>
      <c r="B3075" s="1" t="n">
        <v>44099</v>
      </c>
      <c r="C3075" s="1" t="n">
        <v>45657</v>
      </c>
      <c r="D3075" t="inlineStr">
        <is>
          <t>VÄSTERNORRLANDS LÄN</t>
        </is>
      </c>
      <c r="E3075" t="inlineStr">
        <is>
          <t>HÄRNÖSAND</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48334-2020</t>
        </is>
      </c>
      <c r="B3076" s="1" t="n">
        <v>44102</v>
      </c>
      <c r="C3076" s="1" t="n">
        <v>45657</v>
      </c>
      <c r="D3076" t="inlineStr">
        <is>
          <t>VÄSTERNORRLANDS LÄN</t>
        </is>
      </c>
      <c r="E3076" t="inlineStr">
        <is>
          <t>ÖRNSKÖLDSVIK</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48240-2020</t>
        </is>
      </c>
      <c r="B3077" s="1" t="n">
        <v>44102</v>
      </c>
      <c r="C3077" s="1" t="n">
        <v>45657</v>
      </c>
      <c r="D3077" t="inlineStr">
        <is>
          <t>VÄSTERNORRLANDS LÄN</t>
        </is>
      </c>
      <c r="E3077" t="inlineStr">
        <is>
          <t>SOLLEFTEÅ</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48477-2020</t>
        </is>
      </c>
      <c r="B3078" s="1" t="n">
        <v>44102</v>
      </c>
      <c r="C3078" s="1" t="n">
        <v>45657</v>
      </c>
      <c r="D3078" t="inlineStr">
        <is>
          <t>VÄSTERNORRLANDS LÄN</t>
        </is>
      </c>
      <c r="E3078" t="inlineStr">
        <is>
          <t>SOLLEFTEÅ</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48468-2020</t>
        </is>
      </c>
      <c r="B3079" s="1" t="n">
        <v>44102</v>
      </c>
      <c r="C3079" s="1" t="n">
        <v>45657</v>
      </c>
      <c r="D3079" t="inlineStr">
        <is>
          <t>VÄSTERNORRLANDS LÄN</t>
        </is>
      </c>
      <c r="E3079" t="inlineStr">
        <is>
          <t>SOLLEFTEÅ</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48470-2020</t>
        </is>
      </c>
      <c r="B3080" s="1" t="n">
        <v>44102</v>
      </c>
      <c r="C3080" s="1" t="n">
        <v>45657</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48475-2020</t>
        </is>
      </c>
      <c r="B3081" s="1" t="n">
        <v>44103</v>
      </c>
      <c r="C3081" s="1" t="n">
        <v>45657</v>
      </c>
      <c r="D3081" t="inlineStr">
        <is>
          <t>VÄSTERNORRLANDS LÄN</t>
        </is>
      </c>
      <c r="E3081" t="inlineStr">
        <is>
          <t>SOLLEFTEÅ</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48574-2020</t>
        </is>
      </c>
      <c r="B3082" s="1" t="n">
        <v>44103</v>
      </c>
      <c r="C3082" s="1" t="n">
        <v>45657</v>
      </c>
      <c r="D3082" t="inlineStr">
        <is>
          <t>VÄSTERNORRLANDS LÄN</t>
        </is>
      </c>
      <c r="E3082" t="inlineStr">
        <is>
          <t>TIMRÅ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48802-2020</t>
        </is>
      </c>
      <c r="B3083" s="1" t="n">
        <v>44103</v>
      </c>
      <c r="C3083" s="1" t="n">
        <v>45657</v>
      </c>
      <c r="D3083" t="inlineStr">
        <is>
          <t>VÄSTERNORRLANDS LÄN</t>
        </is>
      </c>
      <c r="E3083" t="inlineStr">
        <is>
          <t>SOLLEFTEÅ</t>
        </is>
      </c>
      <c r="F3083" t="inlineStr">
        <is>
          <t>SCA</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48810-2020</t>
        </is>
      </c>
      <c r="B3084" s="1" t="n">
        <v>44103</v>
      </c>
      <c r="C3084" s="1" t="n">
        <v>45657</v>
      </c>
      <c r="D3084" t="inlineStr">
        <is>
          <t>VÄSTERNORRLANDS LÄN</t>
        </is>
      </c>
      <c r="E3084" t="inlineStr">
        <is>
          <t>ÅNGE</t>
        </is>
      </c>
      <c r="F3084" t="inlineStr">
        <is>
          <t>SCA</t>
        </is>
      </c>
      <c r="G3084" t="n">
        <v>1.8</v>
      </c>
      <c r="H3084" t="n">
        <v>0</v>
      </c>
      <c r="I3084" t="n">
        <v>0</v>
      </c>
      <c r="J3084" t="n">
        <v>0</v>
      </c>
      <c r="K3084" t="n">
        <v>0</v>
      </c>
      <c r="L3084" t="n">
        <v>0</v>
      </c>
      <c r="M3084" t="n">
        <v>0</v>
      </c>
      <c r="N3084" t="n">
        <v>0</v>
      </c>
      <c r="O3084" t="n">
        <v>0</v>
      </c>
      <c r="P3084" t="n">
        <v>0</v>
      </c>
      <c r="Q3084" t="n">
        <v>0</v>
      </c>
      <c r="R3084" s="2" t="inlineStr"/>
      <c r="U3084">
        <f>HYPERLINK("https://klasma.github.io/Logging_2260/knärot/A 48810-2020 karta knärot.png", "A 48810-2020")</f>
        <v/>
      </c>
      <c r="V3084">
        <f>HYPERLINK("https://klasma.github.io/Logging_2260/klagomål/A 48810-2020 FSC-klagomål.docx", "A 48810-2020")</f>
        <v/>
      </c>
      <c r="W3084">
        <f>HYPERLINK("https://klasma.github.io/Logging_2260/klagomålsmail/A 48810-2020 FSC-klagomål mail.docx", "A 48810-2020")</f>
        <v/>
      </c>
      <c r="X3084">
        <f>HYPERLINK("https://klasma.github.io/Logging_2260/tillsyn/A 48810-2020 tillsynsbegäran.docx", "A 48810-2020")</f>
        <v/>
      </c>
      <c r="Y3084">
        <f>HYPERLINK("https://klasma.github.io/Logging_2260/tillsynsmail/A 48810-2020 tillsynsbegäran mail.docx", "A 48810-2020")</f>
        <v/>
      </c>
    </row>
    <row r="3085" ht="15" customHeight="1">
      <c r="A3085" t="inlineStr">
        <is>
          <t>A 49629-2020</t>
        </is>
      </c>
      <c r="B3085" s="1" t="n">
        <v>44103</v>
      </c>
      <c r="C3085" s="1" t="n">
        <v>45657</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49068-2020</t>
        </is>
      </c>
      <c r="B3086" s="1" t="n">
        <v>44104</v>
      </c>
      <c r="C3086" s="1" t="n">
        <v>45657</v>
      </c>
      <c r="D3086" t="inlineStr">
        <is>
          <t>VÄSTERNORRLANDS LÄN</t>
        </is>
      </c>
      <c r="E3086" t="inlineStr">
        <is>
          <t>ÖRNSKÖLDSVIK</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49050-2020</t>
        </is>
      </c>
      <c r="B3087" s="1" t="n">
        <v>44104</v>
      </c>
      <c r="C3087" s="1" t="n">
        <v>45657</v>
      </c>
      <c r="D3087" t="inlineStr">
        <is>
          <t>VÄSTERNORRLANDS LÄN</t>
        </is>
      </c>
      <c r="E3087" t="inlineStr">
        <is>
          <t>ÖRNSKÖLDSVIK</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49165-2020</t>
        </is>
      </c>
      <c r="B3088" s="1" t="n">
        <v>44105</v>
      </c>
      <c r="C3088" s="1" t="n">
        <v>45657</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50162-2020</t>
        </is>
      </c>
      <c r="B3089" s="1" t="n">
        <v>44104</v>
      </c>
      <c r="C3089" s="1" t="n">
        <v>45657</v>
      </c>
      <c r="D3089" t="inlineStr">
        <is>
          <t>VÄSTERNORRLANDS LÄN</t>
        </is>
      </c>
      <c r="E3089" t="inlineStr">
        <is>
          <t>TIMRÅ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49273-2020</t>
        </is>
      </c>
      <c r="B3090" s="1" t="n">
        <v>44105</v>
      </c>
      <c r="C3090" s="1" t="n">
        <v>45657</v>
      </c>
      <c r="D3090" t="inlineStr">
        <is>
          <t>VÄSTERNORRLANDS LÄN</t>
        </is>
      </c>
      <c r="E3090" t="inlineStr">
        <is>
          <t>SUNDSVALL</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49343-2020</t>
        </is>
      </c>
      <c r="B3091" s="1" t="n">
        <v>44105</v>
      </c>
      <c r="C3091" s="1" t="n">
        <v>45657</v>
      </c>
      <c r="D3091" t="inlineStr">
        <is>
          <t>VÄSTERNORRLANDS LÄN</t>
        </is>
      </c>
      <c r="E3091" t="inlineStr">
        <is>
          <t>ÅNGE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49346-2020</t>
        </is>
      </c>
      <c r="B3092" s="1" t="n">
        <v>44105</v>
      </c>
      <c r="C3092" s="1" t="n">
        <v>45657</v>
      </c>
      <c r="D3092" t="inlineStr">
        <is>
          <t>VÄSTERNORRLANDS LÄN</t>
        </is>
      </c>
      <c r="E3092" t="inlineStr">
        <is>
          <t>ÅNGE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49497-2020</t>
        </is>
      </c>
      <c r="B3093" s="1" t="n">
        <v>44105</v>
      </c>
      <c r="C3093" s="1" t="n">
        <v>45657</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49504-2020</t>
        </is>
      </c>
      <c r="B3094" s="1" t="n">
        <v>44105</v>
      </c>
      <c r="C3094" s="1" t="n">
        <v>45657</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49496-2020</t>
        </is>
      </c>
      <c r="B3095" s="1" t="n">
        <v>44105</v>
      </c>
      <c r="C3095" s="1" t="n">
        <v>45657</v>
      </c>
      <c r="D3095" t="inlineStr">
        <is>
          <t>VÄSTERNORRLANDS LÄN</t>
        </is>
      </c>
      <c r="E3095" t="inlineStr">
        <is>
          <t>SUNDSVALL</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49503-2020</t>
        </is>
      </c>
      <c r="B3096" s="1" t="n">
        <v>44105</v>
      </c>
      <c r="C3096" s="1" t="n">
        <v>45657</v>
      </c>
      <c r="D3096" t="inlineStr">
        <is>
          <t>VÄSTERNORRLANDS LÄN</t>
        </is>
      </c>
      <c r="E3096" t="inlineStr">
        <is>
          <t>SUNDSVALL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49499-2020</t>
        </is>
      </c>
      <c r="B3097" s="1" t="n">
        <v>44105</v>
      </c>
      <c r="C3097" s="1" t="n">
        <v>45657</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49507-2020</t>
        </is>
      </c>
      <c r="B3098" s="1" t="n">
        <v>44105</v>
      </c>
      <c r="C3098" s="1" t="n">
        <v>45657</v>
      </c>
      <c r="D3098" t="inlineStr">
        <is>
          <t>VÄSTERNORRLANDS LÄN</t>
        </is>
      </c>
      <c r="E3098" t="inlineStr">
        <is>
          <t>SOLLEFTEÅ</t>
        </is>
      </c>
      <c r="F3098" t="inlineStr">
        <is>
          <t>SCA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49489-2020</t>
        </is>
      </c>
      <c r="B3099" s="1" t="n">
        <v>44105</v>
      </c>
      <c r="C3099" s="1" t="n">
        <v>45657</v>
      </c>
      <c r="D3099" t="inlineStr">
        <is>
          <t>VÄSTERNORRLANDS LÄN</t>
        </is>
      </c>
      <c r="E3099" t="inlineStr">
        <is>
          <t>SUNDSVALL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49501-2020</t>
        </is>
      </c>
      <c r="B3100" s="1" t="n">
        <v>44106</v>
      </c>
      <c r="C3100" s="1" t="n">
        <v>45657</v>
      </c>
      <c r="D3100" t="inlineStr">
        <is>
          <t>VÄSTERNORRLANDS LÄN</t>
        </is>
      </c>
      <c r="E3100" t="inlineStr">
        <is>
          <t>SUNDSVALL</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49508-2020</t>
        </is>
      </c>
      <c r="B3101" s="1" t="n">
        <v>44105</v>
      </c>
      <c r="C3101" s="1" t="n">
        <v>45657</v>
      </c>
      <c r="D3101" t="inlineStr">
        <is>
          <t>VÄSTERNORRLANDS LÄN</t>
        </is>
      </c>
      <c r="E3101" t="inlineStr">
        <is>
          <t>SOLLEFTEÅ</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49656-2020</t>
        </is>
      </c>
      <c r="B3102" s="1" t="n">
        <v>44106</v>
      </c>
      <c r="C3102" s="1" t="n">
        <v>45657</v>
      </c>
      <c r="D3102" t="inlineStr">
        <is>
          <t>VÄSTERNORRLANDS LÄN</t>
        </is>
      </c>
      <c r="E3102" t="inlineStr">
        <is>
          <t>ÅNGE</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49838-2020</t>
        </is>
      </c>
      <c r="B3103" s="1" t="n">
        <v>44106</v>
      </c>
      <c r="C3103" s="1" t="n">
        <v>45657</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49837-2020</t>
        </is>
      </c>
      <c r="B3104" s="1" t="n">
        <v>44106</v>
      </c>
      <c r="C3104" s="1" t="n">
        <v>45657</v>
      </c>
      <c r="D3104" t="inlineStr">
        <is>
          <t>VÄSTERNORRLANDS LÄN</t>
        </is>
      </c>
      <c r="E3104" t="inlineStr">
        <is>
          <t>SOLLEFTEÅ</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49842-2020</t>
        </is>
      </c>
      <c r="B3105" s="1" t="n">
        <v>44106</v>
      </c>
      <c r="C3105" s="1" t="n">
        <v>45657</v>
      </c>
      <c r="D3105" t="inlineStr">
        <is>
          <t>VÄSTERNORRLANDS LÄN</t>
        </is>
      </c>
      <c r="E3105" t="inlineStr">
        <is>
          <t>ÖRNSKÖLDSVIK</t>
        </is>
      </c>
      <c r="F3105" t="inlineStr">
        <is>
          <t>SCA</t>
        </is>
      </c>
      <c r="G3105" t="n">
        <v>13.7</v>
      </c>
      <c r="H3105" t="n">
        <v>0</v>
      </c>
      <c r="I3105" t="n">
        <v>0</v>
      </c>
      <c r="J3105" t="n">
        <v>0</v>
      </c>
      <c r="K3105" t="n">
        <v>0</v>
      </c>
      <c r="L3105" t="n">
        <v>0</v>
      </c>
      <c r="M3105" t="n">
        <v>0</v>
      </c>
      <c r="N3105" t="n">
        <v>0</v>
      </c>
      <c r="O3105" t="n">
        <v>0</v>
      </c>
      <c r="P3105" t="n">
        <v>0</v>
      </c>
      <c r="Q3105" t="n">
        <v>0</v>
      </c>
      <c r="R3105" s="2" t="inlineStr"/>
    </row>
    <row r="3106" ht="15" customHeight="1">
      <c r="A3106" t="inlineStr">
        <is>
          <t>A 50151-2020</t>
        </is>
      </c>
      <c r="B3106" s="1" t="n">
        <v>44109</v>
      </c>
      <c r="C3106" s="1" t="n">
        <v>45657</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50169-2020</t>
        </is>
      </c>
      <c r="B3107" s="1" t="n">
        <v>44109</v>
      </c>
      <c r="C3107" s="1" t="n">
        <v>45657</v>
      </c>
      <c r="D3107" t="inlineStr">
        <is>
          <t>VÄSTERNORRLANDS LÄN</t>
        </is>
      </c>
      <c r="E3107" t="inlineStr">
        <is>
          <t>SUNDSVALL</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50265-2020</t>
        </is>
      </c>
      <c r="B3108" s="1" t="n">
        <v>44109</v>
      </c>
      <c r="C3108" s="1" t="n">
        <v>45657</v>
      </c>
      <c r="D3108" t="inlineStr">
        <is>
          <t>VÄSTERNORRLANDS LÄN</t>
        </is>
      </c>
      <c r="E3108" t="inlineStr">
        <is>
          <t>ÅNGE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50281-2020</t>
        </is>
      </c>
      <c r="B3109" s="1" t="n">
        <v>44109</v>
      </c>
      <c r="C3109" s="1" t="n">
        <v>45657</v>
      </c>
      <c r="D3109" t="inlineStr">
        <is>
          <t>VÄSTERNORRLANDS LÄN</t>
        </is>
      </c>
      <c r="E3109" t="inlineStr">
        <is>
          <t>KRAMFORS</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50259-2020</t>
        </is>
      </c>
      <c r="B3110" s="1" t="n">
        <v>44109</v>
      </c>
      <c r="C3110" s="1" t="n">
        <v>45657</v>
      </c>
      <c r="D3110" t="inlineStr">
        <is>
          <t>VÄSTERNORRLANDS LÄN</t>
        </is>
      </c>
      <c r="E3110" t="inlineStr">
        <is>
          <t>ÅNGE</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50248-2020</t>
        </is>
      </c>
      <c r="B3111" s="1" t="n">
        <v>44109</v>
      </c>
      <c r="C3111" s="1" t="n">
        <v>45657</v>
      </c>
      <c r="D3111" t="inlineStr">
        <is>
          <t>VÄSTERNORRLANDS LÄN</t>
        </is>
      </c>
      <c r="E3111" t="inlineStr">
        <is>
          <t>KRAMFORS</t>
        </is>
      </c>
      <c r="F3111" t="inlineStr">
        <is>
          <t>Kommuner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50260-2020</t>
        </is>
      </c>
      <c r="B3112" s="1" t="n">
        <v>44109</v>
      </c>
      <c r="C3112" s="1" t="n">
        <v>45657</v>
      </c>
      <c r="D3112" t="inlineStr">
        <is>
          <t>VÄSTERNORRLANDS LÄN</t>
        </is>
      </c>
      <c r="E3112" t="inlineStr">
        <is>
          <t>ÅNGE</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50280-2020</t>
        </is>
      </c>
      <c r="B3113" s="1" t="n">
        <v>44109</v>
      </c>
      <c r="C3113" s="1" t="n">
        <v>45657</v>
      </c>
      <c r="D3113" t="inlineStr">
        <is>
          <t>VÄSTERNORRLANDS LÄN</t>
        </is>
      </c>
      <c r="E3113" t="inlineStr">
        <is>
          <t>KRAMFORS</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50258-2020</t>
        </is>
      </c>
      <c r="B3114" s="1" t="n">
        <v>44109</v>
      </c>
      <c r="C3114" s="1" t="n">
        <v>45657</v>
      </c>
      <c r="D3114" t="inlineStr">
        <is>
          <t>VÄSTERNORRLANDS LÄN</t>
        </is>
      </c>
      <c r="E3114" t="inlineStr">
        <is>
          <t>ÅNGE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50268-2020</t>
        </is>
      </c>
      <c r="B3115" s="1" t="n">
        <v>44109</v>
      </c>
      <c r="C3115" s="1" t="n">
        <v>45657</v>
      </c>
      <c r="D3115" t="inlineStr">
        <is>
          <t>VÄSTERNORRLANDS LÄN</t>
        </is>
      </c>
      <c r="E3115" t="inlineStr">
        <is>
          <t>ÅNGE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51947-2020</t>
        </is>
      </c>
      <c r="B3116" s="1" t="n">
        <v>44109</v>
      </c>
      <c r="C3116" s="1" t="n">
        <v>45657</v>
      </c>
      <c r="D3116" t="inlineStr">
        <is>
          <t>VÄSTERNORRLANDS LÄN</t>
        </is>
      </c>
      <c r="E3116" t="inlineStr">
        <is>
          <t>KRAMFORS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51926-2020</t>
        </is>
      </c>
      <c r="B3117" s="1" t="n">
        <v>44109</v>
      </c>
      <c r="C3117" s="1" t="n">
        <v>45657</v>
      </c>
      <c r="D3117" t="inlineStr">
        <is>
          <t>VÄSTERNORRLANDS LÄN</t>
        </is>
      </c>
      <c r="E3117" t="inlineStr">
        <is>
          <t>KRAMFORS</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50485-2020</t>
        </is>
      </c>
      <c r="B3118" s="1" t="n">
        <v>44110</v>
      </c>
      <c r="C3118" s="1" t="n">
        <v>45657</v>
      </c>
      <c r="D3118" t="inlineStr">
        <is>
          <t>VÄSTERNORRLANDS LÄN</t>
        </is>
      </c>
      <c r="E3118" t="inlineStr">
        <is>
          <t>SUNDSVALL</t>
        </is>
      </c>
      <c r="F3118" t="inlineStr">
        <is>
          <t>Kommuner</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50500-2020</t>
        </is>
      </c>
      <c r="B3119" s="1" t="n">
        <v>44110</v>
      </c>
      <c r="C3119" s="1" t="n">
        <v>45657</v>
      </c>
      <c r="D3119" t="inlineStr">
        <is>
          <t>VÄSTERNORRLANDS LÄN</t>
        </is>
      </c>
      <c r="E3119" t="inlineStr">
        <is>
          <t>SUNDSVALL</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50647-2020</t>
        </is>
      </c>
      <c r="B3120" s="1" t="n">
        <v>44111</v>
      </c>
      <c r="C3120" s="1" t="n">
        <v>45657</v>
      </c>
      <c r="D3120" t="inlineStr">
        <is>
          <t>VÄSTERNORRLANDS LÄN</t>
        </is>
      </c>
      <c r="E3120" t="inlineStr">
        <is>
          <t>SOLLEFTEÅ</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51018-2020</t>
        </is>
      </c>
      <c r="B3121" s="1" t="n">
        <v>44111</v>
      </c>
      <c r="C3121" s="1" t="n">
        <v>45657</v>
      </c>
      <c r="D3121" t="inlineStr">
        <is>
          <t>VÄSTERNORRLANDS LÄN</t>
        </is>
      </c>
      <c r="E3121" t="inlineStr">
        <is>
          <t>SOLLEFTEÅ</t>
        </is>
      </c>
      <c r="F3121" t="inlineStr">
        <is>
          <t>SCA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52232-2020</t>
        </is>
      </c>
      <c r="B3122" s="1" t="n">
        <v>44111</v>
      </c>
      <c r="C3122" s="1" t="n">
        <v>45657</v>
      </c>
      <c r="D3122" t="inlineStr">
        <is>
          <t>VÄSTERNORRLANDS LÄN</t>
        </is>
      </c>
      <c r="E3122" t="inlineStr">
        <is>
          <t>ÅNGE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51011-2020</t>
        </is>
      </c>
      <c r="B3123" s="1" t="n">
        <v>44111</v>
      </c>
      <c r="C3123" s="1" t="n">
        <v>45657</v>
      </c>
      <c r="D3123" t="inlineStr">
        <is>
          <t>VÄSTERNORRLANDS LÄN</t>
        </is>
      </c>
      <c r="E3123" t="inlineStr">
        <is>
          <t>SOLLEFTEÅ</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51096-2020</t>
        </is>
      </c>
      <c r="B3124" s="1" t="n">
        <v>44112</v>
      </c>
      <c r="C3124" s="1" t="n">
        <v>45657</v>
      </c>
      <c r="D3124" t="inlineStr">
        <is>
          <t>VÄSTERNORRLANDS LÄN</t>
        </is>
      </c>
      <c r="E3124" t="inlineStr">
        <is>
          <t>ÖRNSKÖLDSVIK</t>
        </is>
      </c>
      <c r="F3124" t="inlineStr">
        <is>
          <t>Holmen skog AB</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51323-2020</t>
        </is>
      </c>
      <c r="B3125" s="1" t="n">
        <v>44112</v>
      </c>
      <c r="C3125" s="1" t="n">
        <v>45657</v>
      </c>
      <c r="D3125" t="inlineStr">
        <is>
          <t>VÄSTERNORRLANDS LÄN</t>
        </is>
      </c>
      <c r="E3125" t="inlineStr">
        <is>
          <t>ÖRNSKÖLDSVIK</t>
        </is>
      </c>
      <c r="F3125" t="inlineStr">
        <is>
          <t>Kyrkan</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51330-2020</t>
        </is>
      </c>
      <c r="B3126" s="1" t="n">
        <v>44112</v>
      </c>
      <c r="C3126" s="1" t="n">
        <v>45657</v>
      </c>
      <c r="D3126" t="inlineStr">
        <is>
          <t>VÄSTERNORRLANDS LÄN</t>
        </is>
      </c>
      <c r="E3126" t="inlineStr">
        <is>
          <t>TIMRÅ</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51293-2020</t>
        </is>
      </c>
      <c r="B3127" s="1" t="n">
        <v>44112</v>
      </c>
      <c r="C3127" s="1" t="n">
        <v>45657</v>
      </c>
      <c r="D3127" t="inlineStr">
        <is>
          <t>VÄSTERNORRLANDS LÄN</t>
        </is>
      </c>
      <c r="E3127" t="inlineStr">
        <is>
          <t>ÖRNSKÖLDSVIK</t>
        </is>
      </c>
      <c r="F3127" t="inlineStr">
        <is>
          <t>Holmen skog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51368-2020</t>
        </is>
      </c>
      <c r="B3128" s="1" t="n">
        <v>44112</v>
      </c>
      <c r="C3128" s="1" t="n">
        <v>45657</v>
      </c>
      <c r="D3128" t="inlineStr">
        <is>
          <t>VÄSTERNORRLANDS LÄN</t>
        </is>
      </c>
      <c r="E3128" t="inlineStr">
        <is>
          <t>SUNDSVALL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51534-2020</t>
        </is>
      </c>
      <c r="B3129" s="1" t="n">
        <v>44113</v>
      </c>
      <c r="C3129" s="1" t="n">
        <v>45657</v>
      </c>
      <c r="D3129" t="inlineStr">
        <is>
          <t>VÄSTERNORRLANDS LÄN</t>
        </is>
      </c>
      <c r="E3129" t="inlineStr">
        <is>
          <t>SOLLEFTEÅ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51657-2020</t>
        </is>
      </c>
      <c r="B3130" s="1" t="n">
        <v>44113</v>
      </c>
      <c r="C3130" s="1" t="n">
        <v>45657</v>
      </c>
      <c r="D3130" t="inlineStr">
        <is>
          <t>VÄSTERNORRLANDS LÄN</t>
        </is>
      </c>
      <c r="E3130" t="inlineStr">
        <is>
          <t>ÖRNSKÖLDSVIK</t>
        </is>
      </c>
      <c r="F3130" t="inlineStr">
        <is>
          <t>Holmen skog AB</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51610-2020</t>
        </is>
      </c>
      <c r="B3131" s="1" t="n">
        <v>44113</v>
      </c>
      <c r="C3131" s="1" t="n">
        <v>45657</v>
      </c>
      <c r="D3131" t="inlineStr">
        <is>
          <t>VÄSTERNORRLANDS LÄN</t>
        </is>
      </c>
      <c r="E3131" t="inlineStr">
        <is>
          <t>ÅNGE</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51712-2020</t>
        </is>
      </c>
      <c r="B3132" s="1" t="n">
        <v>44113</v>
      </c>
      <c r="C3132" s="1" t="n">
        <v>45657</v>
      </c>
      <c r="D3132" t="inlineStr">
        <is>
          <t>VÄSTERNORRLANDS LÄN</t>
        </is>
      </c>
      <c r="E3132" t="inlineStr">
        <is>
          <t>SUNDSVALL</t>
        </is>
      </c>
      <c r="F3132" t="inlineStr">
        <is>
          <t>SCA</t>
        </is>
      </c>
      <c r="G3132" t="n">
        <v>21.1</v>
      </c>
      <c r="H3132" t="n">
        <v>0</v>
      </c>
      <c r="I3132" t="n">
        <v>0</v>
      </c>
      <c r="J3132" t="n">
        <v>0</v>
      </c>
      <c r="K3132" t="n">
        <v>0</v>
      </c>
      <c r="L3132" t="n">
        <v>0</v>
      </c>
      <c r="M3132" t="n">
        <v>0</v>
      </c>
      <c r="N3132" t="n">
        <v>0</v>
      </c>
      <c r="O3132" t="n">
        <v>0</v>
      </c>
      <c r="P3132" t="n">
        <v>0</v>
      </c>
      <c r="Q3132" t="n">
        <v>0</v>
      </c>
      <c r="R3132" s="2" t="inlineStr"/>
    </row>
    <row r="3133" ht="15" customHeight="1">
      <c r="A3133" t="inlineStr">
        <is>
          <t>A 52412-2020</t>
        </is>
      </c>
      <c r="B3133" s="1" t="n">
        <v>44113</v>
      </c>
      <c r="C3133" s="1" t="n">
        <v>45657</v>
      </c>
      <c r="D3133" t="inlineStr">
        <is>
          <t>VÄSTERNORRLANDS LÄN</t>
        </is>
      </c>
      <c r="E3133" t="inlineStr">
        <is>
          <t>ÖRNSKÖLDSVIK</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52504-2020</t>
        </is>
      </c>
      <c r="B3134" s="1" t="n">
        <v>44113</v>
      </c>
      <c r="C3134" s="1" t="n">
        <v>45657</v>
      </c>
      <c r="D3134" t="inlineStr">
        <is>
          <t>VÄSTERNORRLANDS LÄN</t>
        </is>
      </c>
      <c r="E3134" t="inlineStr">
        <is>
          <t>ÅNGE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51755-2020</t>
        </is>
      </c>
      <c r="B3135" s="1" t="n">
        <v>44114</v>
      </c>
      <c r="C3135" s="1" t="n">
        <v>45657</v>
      </c>
      <c r="D3135" t="inlineStr">
        <is>
          <t>VÄSTERNORRLANDS LÄN</t>
        </is>
      </c>
      <c r="E3135" t="inlineStr">
        <is>
          <t>ÅNGE</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51754-2020</t>
        </is>
      </c>
      <c r="B3136" s="1" t="n">
        <v>44114</v>
      </c>
      <c r="C3136" s="1" t="n">
        <v>45657</v>
      </c>
      <c r="D3136" t="inlineStr">
        <is>
          <t>VÄSTERNORRLANDS LÄN</t>
        </is>
      </c>
      <c r="E3136" t="inlineStr">
        <is>
          <t>SUNDSVALL</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52035-2020</t>
        </is>
      </c>
      <c r="B3137" s="1" t="n">
        <v>44117</v>
      </c>
      <c r="C3137" s="1" t="n">
        <v>45657</v>
      </c>
      <c r="D3137" t="inlineStr">
        <is>
          <t>VÄSTERNORRLANDS LÄN</t>
        </is>
      </c>
      <c r="E3137" t="inlineStr">
        <is>
          <t>SOLLEFTEÅ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52536-2020</t>
        </is>
      </c>
      <c r="B3138" s="1" t="n">
        <v>44116</v>
      </c>
      <c r="C3138" s="1" t="n">
        <v>45657</v>
      </c>
      <c r="D3138" t="inlineStr">
        <is>
          <t>VÄSTERNORRLANDS LÄN</t>
        </is>
      </c>
      <c r="E3138" t="inlineStr">
        <is>
          <t>HÄRNÖSAND</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52036-2020</t>
        </is>
      </c>
      <c r="B3139" s="1" t="n">
        <v>44116</v>
      </c>
      <c r="C3139" s="1" t="n">
        <v>45657</v>
      </c>
      <c r="D3139" t="inlineStr">
        <is>
          <t>VÄSTERNORRLANDS LÄN</t>
        </is>
      </c>
      <c r="E3139" t="inlineStr">
        <is>
          <t>SUNDSVALL</t>
        </is>
      </c>
      <c r="F3139" t="inlineStr">
        <is>
          <t>SCA</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52541-2020</t>
        </is>
      </c>
      <c r="B3140" s="1" t="n">
        <v>44116</v>
      </c>
      <c r="C3140" s="1" t="n">
        <v>45657</v>
      </c>
      <c r="D3140" t="inlineStr">
        <is>
          <t>VÄSTERNORRLANDS LÄN</t>
        </is>
      </c>
      <c r="E3140" t="inlineStr">
        <is>
          <t>HÄRNÖSAND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52546-2020</t>
        </is>
      </c>
      <c r="B3141" s="1" t="n">
        <v>44116</v>
      </c>
      <c r="C3141" s="1" t="n">
        <v>45657</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52107-2020</t>
        </is>
      </c>
      <c r="B3142" s="1" t="n">
        <v>44117</v>
      </c>
      <c r="C3142" s="1" t="n">
        <v>45657</v>
      </c>
      <c r="D3142" t="inlineStr">
        <is>
          <t>VÄSTERNORRLANDS LÄN</t>
        </is>
      </c>
      <c r="E3142" t="inlineStr">
        <is>
          <t>ÖRNSKÖLDSVIK</t>
        </is>
      </c>
      <c r="F3142" t="inlineStr">
        <is>
          <t>Holmen skog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52189-2020</t>
        </is>
      </c>
      <c r="B3143" s="1" t="n">
        <v>44117</v>
      </c>
      <c r="C3143" s="1" t="n">
        <v>45657</v>
      </c>
      <c r="D3143" t="inlineStr">
        <is>
          <t>VÄSTERNORRLANDS LÄN</t>
        </is>
      </c>
      <c r="E3143" t="inlineStr">
        <is>
          <t>SOLLEFTEÅ</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52199-2020</t>
        </is>
      </c>
      <c r="B3144" s="1" t="n">
        <v>44117</v>
      </c>
      <c r="C3144" s="1" t="n">
        <v>45657</v>
      </c>
      <c r="D3144" t="inlineStr">
        <is>
          <t>VÄSTERNORRLANDS LÄN</t>
        </is>
      </c>
      <c r="E3144" t="inlineStr">
        <is>
          <t>SOLLEFTEÅ</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52490-2020</t>
        </is>
      </c>
      <c r="B3145" s="1" t="n">
        <v>44118</v>
      </c>
      <c r="C3145" s="1" t="n">
        <v>45657</v>
      </c>
      <c r="D3145" t="inlineStr">
        <is>
          <t>VÄSTERNORRLANDS LÄN</t>
        </is>
      </c>
      <c r="E3145" t="inlineStr">
        <is>
          <t>ÖRNSKÖLDSVIK</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52637-2020</t>
        </is>
      </c>
      <c r="B3146" s="1" t="n">
        <v>44118</v>
      </c>
      <c r="C3146" s="1" t="n">
        <v>45657</v>
      </c>
      <c r="D3146" t="inlineStr">
        <is>
          <t>VÄSTERNORRLANDS LÄN</t>
        </is>
      </c>
      <c r="E3146" t="inlineStr">
        <is>
          <t>ÅNGE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52629-2020</t>
        </is>
      </c>
      <c r="B3147" s="1" t="n">
        <v>44118</v>
      </c>
      <c r="C3147" s="1" t="n">
        <v>45657</v>
      </c>
      <c r="D3147" t="inlineStr">
        <is>
          <t>VÄSTERNORRLANDS LÄN</t>
        </is>
      </c>
      <c r="E3147" t="inlineStr">
        <is>
          <t>ÅNGE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52406-2020</t>
        </is>
      </c>
      <c r="B3148" s="1" t="n">
        <v>44118</v>
      </c>
      <c r="C3148" s="1" t="n">
        <v>45657</v>
      </c>
      <c r="D3148" t="inlineStr">
        <is>
          <t>VÄSTERNORRLANDS LÄN</t>
        </is>
      </c>
      <c r="E3148" t="inlineStr">
        <is>
          <t>SOLLEFTEÅ</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52633-2020</t>
        </is>
      </c>
      <c r="B3149" s="1" t="n">
        <v>44118</v>
      </c>
      <c r="C3149" s="1" t="n">
        <v>45657</v>
      </c>
      <c r="D3149" t="inlineStr">
        <is>
          <t>VÄSTERNORRLANDS LÄN</t>
        </is>
      </c>
      <c r="E3149" t="inlineStr">
        <is>
          <t>ÅNGE</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52627-2020</t>
        </is>
      </c>
      <c r="B3150" s="1" t="n">
        <v>44118</v>
      </c>
      <c r="C3150" s="1" t="n">
        <v>45657</v>
      </c>
      <c r="D3150" t="inlineStr">
        <is>
          <t>VÄSTERNORRLANDS LÄN</t>
        </is>
      </c>
      <c r="E3150" t="inlineStr">
        <is>
          <t>ÅNGE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52862-2020</t>
        </is>
      </c>
      <c r="B3151" s="1" t="n">
        <v>44119</v>
      </c>
      <c r="C3151" s="1" t="n">
        <v>45657</v>
      </c>
      <c r="D3151" t="inlineStr">
        <is>
          <t>VÄSTERNORRLANDS LÄN</t>
        </is>
      </c>
      <c r="E3151" t="inlineStr">
        <is>
          <t>ÖRNSKÖLDSVIK</t>
        </is>
      </c>
      <c r="F3151" t="inlineStr">
        <is>
          <t>Holmen skog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52829-2020</t>
        </is>
      </c>
      <c r="B3152" s="1" t="n">
        <v>44119</v>
      </c>
      <c r="C3152" s="1" t="n">
        <v>45657</v>
      </c>
      <c r="D3152" t="inlineStr">
        <is>
          <t>VÄSTERNORRLANDS LÄN</t>
        </is>
      </c>
      <c r="E3152" t="inlineStr">
        <is>
          <t>ÖRNSKÖLDSVIK</t>
        </is>
      </c>
      <c r="F3152" t="inlineStr">
        <is>
          <t>Holmen skog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52951-2020</t>
        </is>
      </c>
      <c r="B3153" s="1" t="n">
        <v>44119</v>
      </c>
      <c r="C3153" s="1" t="n">
        <v>45657</v>
      </c>
      <c r="D3153" t="inlineStr">
        <is>
          <t>VÄSTERNORRLANDS LÄN</t>
        </is>
      </c>
      <c r="E3153" t="inlineStr">
        <is>
          <t>KRAMFORS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52959-2020</t>
        </is>
      </c>
      <c r="B3154" s="1" t="n">
        <v>44119</v>
      </c>
      <c r="C3154" s="1" t="n">
        <v>45657</v>
      </c>
      <c r="D3154" t="inlineStr">
        <is>
          <t>VÄSTERNORRLANDS LÄN</t>
        </is>
      </c>
      <c r="E3154" t="inlineStr">
        <is>
          <t>KRAMFORS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52983-2020</t>
        </is>
      </c>
      <c r="B3155" s="1" t="n">
        <v>44119</v>
      </c>
      <c r="C3155" s="1" t="n">
        <v>45657</v>
      </c>
      <c r="D3155" t="inlineStr">
        <is>
          <t>VÄSTERNORRLANDS LÄN</t>
        </is>
      </c>
      <c r="E3155" t="inlineStr">
        <is>
          <t>SOLLEFTEÅ</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52992-2020</t>
        </is>
      </c>
      <c r="B3156" s="1" t="n">
        <v>44120</v>
      </c>
      <c r="C3156" s="1" t="n">
        <v>45657</v>
      </c>
      <c r="D3156" t="inlineStr">
        <is>
          <t>VÄSTERNORRLANDS LÄN</t>
        </is>
      </c>
      <c r="E3156" t="inlineStr">
        <is>
          <t>ÖRNSKÖLDSVIK</t>
        </is>
      </c>
      <c r="F3156" t="inlineStr">
        <is>
          <t>Holmen skog AB</t>
        </is>
      </c>
      <c r="G3156" t="n">
        <v>11.9</v>
      </c>
      <c r="H3156" t="n">
        <v>0</v>
      </c>
      <c r="I3156" t="n">
        <v>0</v>
      </c>
      <c r="J3156" t="n">
        <v>0</v>
      </c>
      <c r="K3156" t="n">
        <v>0</v>
      </c>
      <c r="L3156" t="n">
        <v>0</v>
      </c>
      <c r="M3156" t="n">
        <v>0</v>
      </c>
      <c r="N3156" t="n">
        <v>0</v>
      </c>
      <c r="O3156" t="n">
        <v>0</v>
      </c>
      <c r="P3156" t="n">
        <v>0</v>
      </c>
      <c r="Q3156" t="n">
        <v>0</v>
      </c>
      <c r="R3156" s="2" t="inlineStr"/>
    </row>
    <row r="3157" ht="15" customHeight="1">
      <c r="A3157" t="inlineStr">
        <is>
          <t>A 52942-2020</t>
        </is>
      </c>
      <c r="B3157" s="1" t="n">
        <v>44120</v>
      </c>
      <c r="C3157" s="1" t="n">
        <v>45657</v>
      </c>
      <c r="D3157" t="inlineStr">
        <is>
          <t>VÄSTERNORRLANDS LÄN</t>
        </is>
      </c>
      <c r="E3157" t="inlineStr">
        <is>
          <t>ÖRNSKÖLDSVIK</t>
        </is>
      </c>
      <c r="F3157" t="inlineStr">
        <is>
          <t>Holmen skog AB</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52936-2020</t>
        </is>
      </c>
      <c r="B3158" s="1" t="n">
        <v>44120</v>
      </c>
      <c r="C3158" s="1" t="n">
        <v>45657</v>
      </c>
      <c r="D3158" t="inlineStr">
        <is>
          <t>VÄSTERNORRLANDS LÄN</t>
        </is>
      </c>
      <c r="E3158" t="inlineStr">
        <is>
          <t>SOLLEFTEÅ</t>
        </is>
      </c>
      <c r="F3158" t="inlineStr">
        <is>
          <t>Holmen skog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53142-2020</t>
        </is>
      </c>
      <c r="B3159" s="1" t="n">
        <v>44120</v>
      </c>
      <c r="C3159" s="1" t="n">
        <v>45657</v>
      </c>
      <c r="D3159" t="inlineStr">
        <is>
          <t>VÄSTERNORRLANDS LÄN</t>
        </is>
      </c>
      <c r="E3159" t="inlineStr">
        <is>
          <t>SUNDSVALL</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53171-2020</t>
        </is>
      </c>
      <c r="B3160" s="1" t="n">
        <v>44120</v>
      </c>
      <c r="C3160" s="1" t="n">
        <v>45657</v>
      </c>
      <c r="D3160" t="inlineStr">
        <is>
          <t>VÄSTERNORRLANDS LÄN</t>
        </is>
      </c>
      <c r="E3160" t="inlineStr">
        <is>
          <t>ÅNGE</t>
        </is>
      </c>
      <c r="F3160" t="inlineStr">
        <is>
          <t>SCA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53173-2020</t>
        </is>
      </c>
      <c r="B3161" s="1" t="n">
        <v>44120</v>
      </c>
      <c r="C3161" s="1" t="n">
        <v>45657</v>
      </c>
      <c r="D3161" t="inlineStr">
        <is>
          <t>VÄSTERNORRLANDS LÄN</t>
        </is>
      </c>
      <c r="E3161" t="inlineStr">
        <is>
          <t>ÅNGE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53170-2020</t>
        </is>
      </c>
      <c r="B3162" s="1" t="n">
        <v>44120</v>
      </c>
      <c r="C3162" s="1" t="n">
        <v>45657</v>
      </c>
      <c r="D3162" t="inlineStr">
        <is>
          <t>VÄSTERNORRLANDS LÄN</t>
        </is>
      </c>
      <c r="E3162" t="inlineStr">
        <is>
          <t>ÅNGE</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53175-2020</t>
        </is>
      </c>
      <c r="B3163" s="1" t="n">
        <v>44120</v>
      </c>
      <c r="C3163" s="1" t="n">
        <v>45657</v>
      </c>
      <c r="D3163" t="inlineStr">
        <is>
          <t>VÄSTERNORRLANDS LÄN</t>
        </is>
      </c>
      <c r="E3163" t="inlineStr">
        <is>
          <t>ÅNGE</t>
        </is>
      </c>
      <c r="F3163" t="inlineStr">
        <is>
          <t>SCA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53174-2020</t>
        </is>
      </c>
      <c r="B3164" s="1" t="n">
        <v>44120</v>
      </c>
      <c r="C3164" s="1" t="n">
        <v>45657</v>
      </c>
      <c r="D3164" t="inlineStr">
        <is>
          <t>VÄSTERNORRLANDS LÄN</t>
        </is>
      </c>
      <c r="E3164" t="inlineStr">
        <is>
          <t>ÅNGE</t>
        </is>
      </c>
      <c r="F3164" t="inlineStr">
        <is>
          <t>SCA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53216-2020</t>
        </is>
      </c>
      <c r="B3165" s="1" t="n">
        <v>44123</v>
      </c>
      <c r="C3165" s="1" t="n">
        <v>45657</v>
      </c>
      <c r="D3165" t="inlineStr">
        <is>
          <t>VÄSTERNORRLANDS LÄN</t>
        </is>
      </c>
      <c r="E3165" t="inlineStr">
        <is>
          <t>HÄRNÖSAND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53307-2020</t>
        </is>
      </c>
      <c r="B3166" s="1" t="n">
        <v>44123</v>
      </c>
      <c r="C3166" s="1" t="n">
        <v>45657</v>
      </c>
      <c r="D3166" t="inlineStr">
        <is>
          <t>VÄSTERNORRLANDS LÄN</t>
        </is>
      </c>
      <c r="E3166" t="inlineStr">
        <is>
          <t>ÖRNSKÖLDSVIK</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53254-2020</t>
        </is>
      </c>
      <c r="B3167" s="1" t="n">
        <v>44123</v>
      </c>
      <c r="C3167" s="1" t="n">
        <v>45657</v>
      </c>
      <c r="D3167" t="inlineStr">
        <is>
          <t>VÄSTERNORRLANDS LÄN</t>
        </is>
      </c>
      <c r="E3167" t="inlineStr">
        <is>
          <t>TIMRÅ</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53250-2020</t>
        </is>
      </c>
      <c r="B3168" s="1" t="n">
        <v>44123</v>
      </c>
      <c r="C3168" s="1" t="n">
        <v>45657</v>
      </c>
      <c r="D3168" t="inlineStr">
        <is>
          <t>VÄSTERNORRLANDS LÄN</t>
        </is>
      </c>
      <c r="E3168" t="inlineStr">
        <is>
          <t>ÖRNSKÖLDSVIK</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53474-2020</t>
        </is>
      </c>
      <c r="B3169" s="1" t="n">
        <v>44123</v>
      </c>
      <c r="C3169" s="1" t="n">
        <v>45657</v>
      </c>
      <c r="D3169" t="inlineStr">
        <is>
          <t>VÄSTERNORRLANDS LÄN</t>
        </is>
      </c>
      <c r="E3169" t="inlineStr">
        <is>
          <t>ÅNGE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53505-2020</t>
        </is>
      </c>
      <c r="B3170" s="1" t="n">
        <v>44123</v>
      </c>
      <c r="C3170" s="1" t="n">
        <v>45657</v>
      </c>
      <c r="D3170" t="inlineStr">
        <is>
          <t>VÄSTERNORRLANDS LÄN</t>
        </is>
      </c>
      <c r="E3170" t="inlineStr">
        <is>
          <t>HÄRNÖSAND</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53503-2020</t>
        </is>
      </c>
      <c r="B3171" s="1" t="n">
        <v>44123</v>
      </c>
      <c r="C3171" s="1" t="n">
        <v>45657</v>
      </c>
      <c r="D3171" t="inlineStr">
        <is>
          <t>VÄSTERNORRLANDS LÄN</t>
        </is>
      </c>
      <c r="E3171" t="inlineStr">
        <is>
          <t>SUNDSVALL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54055-2020</t>
        </is>
      </c>
      <c r="B3172" s="1" t="n">
        <v>44123</v>
      </c>
      <c r="C3172" s="1" t="n">
        <v>45657</v>
      </c>
      <c r="D3172" t="inlineStr">
        <is>
          <t>VÄSTERNORRLANDS LÄN</t>
        </is>
      </c>
      <c r="E3172" t="inlineStr">
        <is>
          <t>HÄRNÖSAND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54976-2020</t>
        </is>
      </c>
      <c r="B3173" s="1" t="n">
        <v>44123</v>
      </c>
      <c r="C3173" s="1" t="n">
        <v>45657</v>
      </c>
      <c r="D3173" t="inlineStr">
        <is>
          <t>VÄSTERNORRLANDS LÄN</t>
        </is>
      </c>
      <c r="E3173" t="inlineStr">
        <is>
          <t>ÖRNSKÖLDSVIK</t>
        </is>
      </c>
      <c r="F3173" t="inlineStr">
        <is>
          <t>Holmen skog AB</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53660-2020</t>
        </is>
      </c>
      <c r="B3174" s="1" t="n">
        <v>44124</v>
      </c>
      <c r="C3174" s="1" t="n">
        <v>45657</v>
      </c>
      <c r="D3174" t="inlineStr">
        <is>
          <t>VÄSTERNORRLANDS LÄN</t>
        </is>
      </c>
      <c r="E3174" t="inlineStr">
        <is>
          <t>ÅNGE</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53521-2020</t>
        </is>
      </c>
      <c r="B3175" s="1" t="n">
        <v>44124</v>
      </c>
      <c r="C3175" s="1" t="n">
        <v>45657</v>
      </c>
      <c r="D3175" t="inlineStr">
        <is>
          <t>VÄSTERNORRLANDS LÄN</t>
        </is>
      </c>
      <c r="E3175" t="inlineStr">
        <is>
          <t>ÖRNSKÖLDSVIK</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53661-2020</t>
        </is>
      </c>
      <c r="B3176" s="1" t="n">
        <v>44124</v>
      </c>
      <c r="C3176" s="1" t="n">
        <v>45657</v>
      </c>
      <c r="D3176" t="inlineStr">
        <is>
          <t>VÄSTERNORRLANDS LÄN</t>
        </is>
      </c>
      <c r="E3176" t="inlineStr">
        <is>
          <t>ÅNGE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53828-2020</t>
        </is>
      </c>
      <c r="B3177" s="1" t="n">
        <v>44124</v>
      </c>
      <c r="C3177" s="1" t="n">
        <v>45657</v>
      </c>
      <c r="D3177" t="inlineStr">
        <is>
          <t>VÄSTERNORRLANDS LÄN</t>
        </is>
      </c>
      <c r="E3177" t="inlineStr">
        <is>
          <t>SOLLEFTEÅ</t>
        </is>
      </c>
      <c r="F3177" t="inlineStr">
        <is>
          <t>SCA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53962-2020</t>
        </is>
      </c>
      <c r="B3178" s="1" t="n">
        <v>44125</v>
      </c>
      <c r="C3178" s="1" t="n">
        <v>45657</v>
      </c>
      <c r="D3178" t="inlineStr">
        <is>
          <t>VÄSTERNORRLANDS LÄN</t>
        </is>
      </c>
      <c r="E3178" t="inlineStr">
        <is>
          <t>ÅNGE</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53986-2020</t>
        </is>
      </c>
      <c r="B3179" s="1" t="n">
        <v>44125</v>
      </c>
      <c r="C3179" s="1" t="n">
        <v>45657</v>
      </c>
      <c r="D3179" t="inlineStr">
        <is>
          <t>VÄSTERNORRLANDS LÄN</t>
        </is>
      </c>
      <c r="E3179" t="inlineStr">
        <is>
          <t>ÖRNSKÖLDSVIK</t>
        </is>
      </c>
      <c r="F3179" t="inlineStr">
        <is>
          <t>Holmen skog AB</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54188-2020</t>
        </is>
      </c>
      <c r="B3180" s="1" t="n">
        <v>44125</v>
      </c>
      <c r="C3180" s="1" t="n">
        <v>45657</v>
      </c>
      <c r="D3180" t="inlineStr">
        <is>
          <t>VÄSTERNORRLANDS LÄN</t>
        </is>
      </c>
      <c r="E3180" t="inlineStr">
        <is>
          <t>KRAMFORS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54202-2020</t>
        </is>
      </c>
      <c r="B3181" s="1" t="n">
        <v>44125</v>
      </c>
      <c r="C3181" s="1" t="n">
        <v>45657</v>
      </c>
      <c r="D3181" t="inlineStr">
        <is>
          <t>VÄSTERNORRLANDS LÄN</t>
        </is>
      </c>
      <c r="E3181" t="inlineStr">
        <is>
          <t>ÖRNSKÖLDSVIK</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54189-2020</t>
        </is>
      </c>
      <c r="B3182" s="1" t="n">
        <v>44125</v>
      </c>
      <c r="C3182" s="1" t="n">
        <v>45657</v>
      </c>
      <c r="D3182" t="inlineStr">
        <is>
          <t>VÄSTERNORRLANDS LÄN</t>
        </is>
      </c>
      <c r="E3182" t="inlineStr">
        <is>
          <t>KRAMFORS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54403-2020</t>
        </is>
      </c>
      <c r="B3183" s="1" t="n">
        <v>44125</v>
      </c>
      <c r="C3183" s="1" t="n">
        <v>45657</v>
      </c>
      <c r="D3183" t="inlineStr">
        <is>
          <t>VÄSTERNORRLANDS LÄN</t>
        </is>
      </c>
      <c r="E3183" t="inlineStr">
        <is>
          <t>ÖRNSKÖLDSVIK</t>
        </is>
      </c>
      <c r="G3183" t="n">
        <v>17.2</v>
      </c>
      <c r="H3183" t="n">
        <v>0</v>
      </c>
      <c r="I3183" t="n">
        <v>0</v>
      </c>
      <c r="J3183" t="n">
        <v>0</v>
      </c>
      <c r="K3183" t="n">
        <v>0</v>
      </c>
      <c r="L3183" t="n">
        <v>0</v>
      </c>
      <c r="M3183" t="n">
        <v>0</v>
      </c>
      <c r="N3183" t="n">
        <v>0</v>
      </c>
      <c r="O3183" t="n">
        <v>0</v>
      </c>
      <c r="P3183" t="n">
        <v>0</v>
      </c>
      <c r="Q3183" t="n">
        <v>0</v>
      </c>
      <c r="R3183" s="2" t="inlineStr"/>
    </row>
    <row r="3184" ht="15" customHeight="1">
      <c r="A3184" t="inlineStr">
        <is>
          <t>A 54463-2020</t>
        </is>
      </c>
      <c r="B3184" s="1" t="n">
        <v>44125</v>
      </c>
      <c r="C3184" s="1" t="n">
        <v>45657</v>
      </c>
      <c r="D3184" t="inlineStr">
        <is>
          <t>VÄSTERNORRLANDS LÄN</t>
        </is>
      </c>
      <c r="E3184" t="inlineStr">
        <is>
          <t>SOLLEFTEÅ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53866-2020</t>
        </is>
      </c>
      <c r="B3185" s="1" t="n">
        <v>44125</v>
      </c>
      <c r="C3185" s="1" t="n">
        <v>45657</v>
      </c>
      <c r="D3185" t="inlineStr">
        <is>
          <t>VÄSTERNORRLANDS LÄN</t>
        </is>
      </c>
      <c r="E3185" t="inlineStr">
        <is>
          <t>SOLLEFTEÅ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53893-2020</t>
        </is>
      </c>
      <c r="B3186" s="1" t="n">
        <v>44125</v>
      </c>
      <c r="C3186" s="1" t="n">
        <v>45657</v>
      </c>
      <c r="D3186" t="inlineStr">
        <is>
          <t>VÄSTERNORRLANDS LÄN</t>
        </is>
      </c>
      <c r="E3186" t="inlineStr">
        <is>
          <t>ÖRNSKÖLDSVIK</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54315-2020</t>
        </is>
      </c>
      <c r="B3187" s="1" t="n">
        <v>44126</v>
      </c>
      <c r="C3187" s="1" t="n">
        <v>45657</v>
      </c>
      <c r="D3187" t="inlineStr">
        <is>
          <t>VÄSTERNORRLANDS LÄN</t>
        </is>
      </c>
      <c r="E3187" t="inlineStr">
        <is>
          <t>ÖRNSKÖLDSVIK</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54471-2020</t>
        </is>
      </c>
      <c r="B3188" s="1" t="n">
        <v>44126</v>
      </c>
      <c r="C3188" s="1" t="n">
        <v>45657</v>
      </c>
      <c r="D3188" t="inlineStr">
        <is>
          <t>VÄSTERNORRLANDS LÄN</t>
        </is>
      </c>
      <c r="E3188" t="inlineStr">
        <is>
          <t>ÅNGE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54469-2020</t>
        </is>
      </c>
      <c r="B3189" s="1" t="n">
        <v>44126</v>
      </c>
      <c r="C3189" s="1" t="n">
        <v>45657</v>
      </c>
      <c r="D3189" t="inlineStr">
        <is>
          <t>VÄSTERNORRLANDS LÄN</t>
        </is>
      </c>
      <c r="E3189" t="inlineStr">
        <is>
          <t>ÅNGE</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54563-2020</t>
        </is>
      </c>
      <c r="B3190" s="1" t="n">
        <v>44126</v>
      </c>
      <c r="C3190" s="1" t="n">
        <v>45657</v>
      </c>
      <c r="D3190" t="inlineStr">
        <is>
          <t>VÄSTERNORRLANDS LÄN</t>
        </is>
      </c>
      <c r="E3190" t="inlineStr">
        <is>
          <t>HÄRNÖSAND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54567-2020</t>
        </is>
      </c>
      <c r="B3191" s="1" t="n">
        <v>44126</v>
      </c>
      <c r="C3191" s="1" t="n">
        <v>45657</v>
      </c>
      <c r="D3191" t="inlineStr">
        <is>
          <t>VÄSTERNORRLANDS LÄN</t>
        </is>
      </c>
      <c r="E3191" t="inlineStr">
        <is>
          <t>SOLLEFTEÅ</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54564-2020</t>
        </is>
      </c>
      <c r="B3192" s="1" t="n">
        <v>44126</v>
      </c>
      <c r="C3192" s="1" t="n">
        <v>45657</v>
      </c>
      <c r="D3192" t="inlineStr">
        <is>
          <t>VÄSTERNORRLANDS LÄN</t>
        </is>
      </c>
      <c r="E3192" t="inlineStr">
        <is>
          <t>HÄRNÖSAND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54568-2020</t>
        </is>
      </c>
      <c r="B3193" s="1" t="n">
        <v>44126</v>
      </c>
      <c r="C3193" s="1" t="n">
        <v>45657</v>
      </c>
      <c r="D3193" t="inlineStr">
        <is>
          <t>VÄSTERNORRLANDS LÄN</t>
        </is>
      </c>
      <c r="E3193" t="inlineStr">
        <is>
          <t>SOLLEFTEÅ</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54572-2020</t>
        </is>
      </c>
      <c r="B3194" s="1" t="n">
        <v>44126</v>
      </c>
      <c r="C3194" s="1" t="n">
        <v>45657</v>
      </c>
      <c r="D3194" t="inlineStr">
        <is>
          <t>VÄSTERNORRLANDS LÄN</t>
        </is>
      </c>
      <c r="E3194" t="inlineStr">
        <is>
          <t>SOLLEFTEÅ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54576-2020</t>
        </is>
      </c>
      <c r="B3195" s="1" t="n">
        <v>44126</v>
      </c>
      <c r="C3195" s="1" t="n">
        <v>45657</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54571-2020</t>
        </is>
      </c>
      <c r="B3196" s="1" t="n">
        <v>44126</v>
      </c>
      <c r="C3196" s="1" t="n">
        <v>45657</v>
      </c>
      <c r="D3196" t="inlineStr">
        <is>
          <t>VÄSTERNORRLANDS LÄN</t>
        </is>
      </c>
      <c r="E3196" t="inlineStr">
        <is>
          <t>SOLLEFTEÅ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54513-2020</t>
        </is>
      </c>
      <c r="B3197" s="1" t="n">
        <v>44126</v>
      </c>
      <c r="C3197" s="1" t="n">
        <v>45657</v>
      </c>
      <c r="D3197" t="inlineStr">
        <is>
          <t>VÄSTERNORRLANDS LÄN</t>
        </is>
      </c>
      <c r="E3197" t="inlineStr">
        <is>
          <t>ÖRNSKÖLDSVIK</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54565-2020</t>
        </is>
      </c>
      <c r="B3198" s="1" t="n">
        <v>44126</v>
      </c>
      <c r="C3198" s="1" t="n">
        <v>45657</v>
      </c>
      <c r="D3198" t="inlineStr">
        <is>
          <t>VÄSTERNORRLANDS LÄN</t>
        </is>
      </c>
      <c r="E3198" t="inlineStr">
        <is>
          <t>HÄRNÖSAND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54569-2020</t>
        </is>
      </c>
      <c r="B3199" s="1" t="n">
        <v>44126</v>
      </c>
      <c r="C3199" s="1" t="n">
        <v>45657</v>
      </c>
      <c r="D3199" t="inlineStr">
        <is>
          <t>VÄSTERNORRLANDS LÄN</t>
        </is>
      </c>
      <c r="E3199" t="inlineStr">
        <is>
          <t>SOLLEFTEÅ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54566-2020</t>
        </is>
      </c>
      <c r="B3200" s="1" t="n">
        <v>44126</v>
      </c>
      <c r="C3200" s="1" t="n">
        <v>45657</v>
      </c>
      <c r="D3200" t="inlineStr">
        <is>
          <t>VÄSTERNORRLANDS LÄN</t>
        </is>
      </c>
      <c r="E3200" t="inlineStr">
        <is>
          <t>SOLLEFTEÅ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54570-2020</t>
        </is>
      </c>
      <c r="B3201" s="1" t="n">
        <v>44126</v>
      </c>
      <c r="C3201" s="1" t="n">
        <v>45657</v>
      </c>
      <c r="D3201" t="inlineStr">
        <is>
          <t>VÄSTERNORRLANDS LÄN</t>
        </is>
      </c>
      <c r="E3201" t="inlineStr">
        <is>
          <t>SOLLEFTEÅ</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54574-2020</t>
        </is>
      </c>
      <c r="B3202" s="1" t="n">
        <v>44126</v>
      </c>
      <c r="C3202" s="1" t="n">
        <v>45657</v>
      </c>
      <c r="D3202" t="inlineStr">
        <is>
          <t>VÄSTERNORRLANDS LÄN</t>
        </is>
      </c>
      <c r="E3202" t="inlineStr">
        <is>
          <t>SUNDSVALL</t>
        </is>
      </c>
      <c r="F3202" t="inlineStr">
        <is>
          <t>Naturvårdsverket</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54573-2020</t>
        </is>
      </c>
      <c r="B3203" s="1" t="n">
        <v>44126</v>
      </c>
      <c r="C3203" s="1" t="n">
        <v>45657</v>
      </c>
      <c r="D3203" t="inlineStr">
        <is>
          <t>VÄSTERNORRLANDS LÄN</t>
        </is>
      </c>
      <c r="E3203" t="inlineStr">
        <is>
          <t>SOLLEFTEÅ</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54858-2020</t>
        </is>
      </c>
      <c r="B3204" s="1" t="n">
        <v>44126</v>
      </c>
      <c r="C3204" s="1" t="n">
        <v>45657</v>
      </c>
      <c r="D3204" t="inlineStr">
        <is>
          <t>VÄSTERNORRLANDS LÄN</t>
        </is>
      </c>
      <c r="E3204" t="inlineStr">
        <is>
          <t>HÄRNÖSAND</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54628-2020</t>
        </is>
      </c>
      <c r="B3205" s="1" t="n">
        <v>44127</v>
      </c>
      <c r="C3205" s="1" t="n">
        <v>45657</v>
      </c>
      <c r="D3205" t="inlineStr">
        <is>
          <t>VÄSTERNORRLANDS LÄN</t>
        </is>
      </c>
      <c r="E3205" t="inlineStr">
        <is>
          <t>ÖRNSKÖLDSVIK</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54807-2020</t>
        </is>
      </c>
      <c r="B3206" s="1" t="n">
        <v>44127</v>
      </c>
      <c r="C3206" s="1" t="n">
        <v>45657</v>
      </c>
      <c r="D3206" t="inlineStr">
        <is>
          <t>VÄSTERNORRLANDS LÄN</t>
        </is>
      </c>
      <c r="E3206" t="inlineStr">
        <is>
          <t>ÖRNSKÖLDSVIK</t>
        </is>
      </c>
      <c r="F3206" t="inlineStr">
        <is>
          <t>Holmen skog AB</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54946-2020</t>
        </is>
      </c>
      <c r="B3207" s="1" t="n">
        <v>44129</v>
      </c>
      <c r="C3207" s="1" t="n">
        <v>45657</v>
      </c>
      <c r="D3207" t="inlineStr">
        <is>
          <t>VÄSTERNORRLANDS LÄN</t>
        </is>
      </c>
      <c r="E3207" t="inlineStr">
        <is>
          <t>TIMRÅ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54961-2020</t>
        </is>
      </c>
      <c r="B3208" s="1" t="n">
        <v>44130</v>
      </c>
      <c r="C3208" s="1" t="n">
        <v>45657</v>
      </c>
      <c r="D3208" t="inlineStr">
        <is>
          <t>VÄSTERNORRLANDS LÄN</t>
        </is>
      </c>
      <c r="E3208" t="inlineStr">
        <is>
          <t>ÖRNSKÖLDSVIK</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55313-2020</t>
        </is>
      </c>
      <c r="B3209" s="1" t="n">
        <v>44130</v>
      </c>
      <c r="C3209" s="1" t="n">
        <v>45657</v>
      </c>
      <c r="D3209" t="inlineStr">
        <is>
          <t>VÄSTERNORRLANDS LÄN</t>
        </is>
      </c>
      <c r="E3209" t="inlineStr">
        <is>
          <t>SUNDSVALL</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55337-2020</t>
        </is>
      </c>
      <c r="B3210" s="1" t="n">
        <v>44130</v>
      </c>
      <c r="C3210" s="1" t="n">
        <v>45657</v>
      </c>
      <c r="D3210" t="inlineStr">
        <is>
          <t>VÄSTERNORRLANDS LÄN</t>
        </is>
      </c>
      <c r="E3210" t="inlineStr">
        <is>
          <t>SOLLEFTEÅ</t>
        </is>
      </c>
      <c r="G3210" t="n">
        <v>21.1</v>
      </c>
      <c r="H3210" t="n">
        <v>0</v>
      </c>
      <c r="I3210" t="n">
        <v>0</v>
      </c>
      <c r="J3210" t="n">
        <v>0</v>
      </c>
      <c r="K3210" t="n">
        <v>0</v>
      </c>
      <c r="L3210" t="n">
        <v>0</v>
      </c>
      <c r="M3210" t="n">
        <v>0</v>
      </c>
      <c r="N3210" t="n">
        <v>0</v>
      </c>
      <c r="O3210" t="n">
        <v>0</v>
      </c>
      <c r="P3210" t="n">
        <v>0</v>
      </c>
      <c r="Q3210" t="n">
        <v>0</v>
      </c>
      <c r="R3210" s="2" t="inlineStr"/>
    </row>
    <row r="3211" ht="15" customHeight="1">
      <c r="A3211" t="inlineStr">
        <is>
          <t>A 55317-2020</t>
        </is>
      </c>
      <c r="B3211" s="1" t="n">
        <v>44130</v>
      </c>
      <c r="C3211" s="1" t="n">
        <v>45657</v>
      </c>
      <c r="D3211" t="inlineStr">
        <is>
          <t>VÄSTERNORRLANDS LÄN</t>
        </is>
      </c>
      <c r="E3211" t="inlineStr">
        <is>
          <t>ÅNGE</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55489-2020</t>
        </is>
      </c>
      <c r="B3212" s="1" t="n">
        <v>44131</v>
      </c>
      <c r="C3212" s="1" t="n">
        <v>45657</v>
      </c>
      <c r="D3212" t="inlineStr">
        <is>
          <t>VÄSTERNORRLANDS LÄN</t>
        </is>
      </c>
      <c r="E3212" t="inlineStr">
        <is>
          <t>SOLLEFTEÅ</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55828-2020</t>
        </is>
      </c>
      <c r="B3213" s="1" t="n">
        <v>44132</v>
      </c>
      <c r="C3213" s="1" t="n">
        <v>45657</v>
      </c>
      <c r="D3213" t="inlineStr">
        <is>
          <t>VÄSTERNORRLANDS LÄN</t>
        </is>
      </c>
      <c r="E3213" t="inlineStr">
        <is>
          <t>KRAMFORS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55924-2020</t>
        </is>
      </c>
      <c r="B3214" s="1" t="n">
        <v>44132</v>
      </c>
      <c r="C3214" s="1" t="n">
        <v>45657</v>
      </c>
      <c r="D3214" t="inlineStr">
        <is>
          <t>VÄSTERNORRLANDS LÄN</t>
        </is>
      </c>
      <c r="E3214" t="inlineStr">
        <is>
          <t>ÖRNSKÖLDSVIK</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55832-2020</t>
        </is>
      </c>
      <c r="B3215" s="1" t="n">
        <v>44132</v>
      </c>
      <c r="C3215" s="1" t="n">
        <v>45657</v>
      </c>
      <c r="D3215" t="inlineStr">
        <is>
          <t>VÄSTERNORRLANDS LÄN</t>
        </is>
      </c>
      <c r="E3215" t="inlineStr">
        <is>
          <t>KRAMFORS</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55988-2020</t>
        </is>
      </c>
      <c r="B3216" s="1" t="n">
        <v>44132</v>
      </c>
      <c r="C3216" s="1" t="n">
        <v>45657</v>
      </c>
      <c r="D3216" t="inlineStr">
        <is>
          <t>VÄSTERNORRLANDS LÄN</t>
        </is>
      </c>
      <c r="E3216" t="inlineStr">
        <is>
          <t>SUNDSVALL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55983-2020</t>
        </is>
      </c>
      <c r="B3217" s="1" t="n">
        <v>44133</v>
      </c>
      <c r="C3217" s="1" t="n">
        <v>45657</v>
      </c>
      <c r="D3217" t="inlineStr">
        <is>
          <t>VÄSTERNORRLANDS LÄN</t>
        </is>
      </c>
      <c r="E3217" t="inlineStr">
        <is>
          <t>ÖRNSKÖLDSVIK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55989-2020</t>
        </is>
      </c>
      <c r="B3218" s="1" t="n">
        <v>44133</v>
      </c>
      <c r="C3218" s="1" t="n">
        <v>45657</v>
      </c>
      <c r="D3218" t="inlineStr">
        <is>
          <t>VÄSTERNORRLANDS LÄN</t>
        </is>
      </c>
      <c r="E3218" t="inlineStr">
        <is>
          <t>ÖRNSKÖLDSVIK</t>
        </is>
      </c>
      <c r="G3218" t="n">
        <v>22.1</v>
      </c>
      <c r="H3218" t="n">
        <v>0</v>
      </c>
      <c r="I3218" t="n">
        <v>0</v>
      </c>
      <c r="J3218" t="n">
        <v>0</v>
      </c>
      <c r="K3218" t="n">
        <v>0</v>
      </c>
      <c r="L3218" t="n">
        <v>0</v>
      </c>
      <c r="M3218" t="n">
        <v>0</v>
      </c>
      <c r="N3218" t="n">
        <v>0</v>
      </c>
      <c r="O3218" t="n">
        <v>0</v>
      </c>
      <c r="P3218" t="n">
        <v>0</v>
      </c>
      <c r="Q3218" t="n">
        <v>0</v>
      </c>
      <c r="R3218" s="2" t="inlineStr"/>
    </row>
    <row r="3219" ht="15" customHeight="1">
      <c r="A3219" t="inlineStr">
        <is>
          <t>A 56135-2020</t>
        </is>
      </c>
      <c r="B3219" s="1" t="n">
        <v>44133</v>
      </c>
      <c r="C3219" s="1" t="n">
        <v>45657</v>
      </c>
      <c r="D3219" t="inlineStr">
        <is>
          <t>VÄSTERNORRLANDS LÄN</t>
        </is>
      </c>
      <c r="E3219" t="inlineStr">
        <is>
          <t>ÖRNSKÖLDSVIK</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56043-2020</t>
        </is>
      </c>
      <c r="B3220" s="1" t="n">
        <v>44133</v>
      </c>
      <c r="C3220" s="1" t="n">
        <v>45657</v>
      </c>
      <c r="D3220" t="inlineStr">
        <is>
          <t>VÄSTERNORRLANDS LÄN</t>
        </is>
      </c>
      <c r="E3220" t="inlineStr">
        <is>
          <t>ÖRNSKÖLDSVIK</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56686-2020</t>
        </is>
      </c>
      <c r="B3221" s="1" t="n">
        <v>44133</v>
      </c>
      <c r="C3221" s="1" t="n">
        <v>45657</v>
      </c>
      <c r="D3221" t="inlineStr">
        <is>
          <t>VÄSTERNORRLANDS LÄN</t>
        </is>
      </c>
      <c r="E3221" t="inlineStr">
        <is>
          <t>ÖRNSKÖLDSVIK</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56558-2020</t>
        </is>
      </c>
      <c r="B3222" s="1" t="n">
        <v>44137</v>
      </c>
      <c r="C3222" s="1" t="n">
        <v>45657</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56463-2020</t>
        </is>
      </c>
      <c r="B3223" s="1" t="n">
        <v>44137</v>
      </c>
      <c r="C3223" s="1" t="n">
        <v>45657</v>
      </c>
      <c r="D3223" t="inlineStr">
        <is>
          <t>VÄSTERNORRLANDS LÄN</t>
        </is>
      </c>
      <c r="E3223" t="inlineStr">
        <is>
          <t>ÖRNSKÖLDSVIK</t>
        </is>
      </c>
      <c r="F3223" t="inlineStr">
        <is>
          <t>Holmen skog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56607-2020</t>
        </is>
      </c>
      <c r="B3224" s="1" t="n">
        <v>44137</v>
      </c>
      <c r="C3224" s="1" t="n">
        <v>45657</v>
      </c>
      <c r="D3224" t="inlineStr">
        <is>
          <t>VÄSTERNORRLANDS LÄN</t>
        </is>
      </c>
      <c r="E3224" t="inlineStr">
        <is>
          <t>ÖRNSKÖLDSVIK</t>
        </is>
      </c>
      <c r="F3224" t="inlineStr">
        <is>
          <t>Holmen skog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57007-2020</t>
        </is>
      </c>
      <c r="B3225" s="1" t="n">
        <v>44137</v>
      </c>
      <c r="C3225" s="1" t="n">
        <v>45657</v>
      </c>
      <c r="D3225" t="inlineStr">
        <is>
          <t>VÄSTERNORRLANDS LÄN</t>
        </is>
      </c>
      <c r="E3225" t="inlineStr">
        <is>
          <t>TIMRÅ</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57079-2020</t>
        </is>
      </c>
      <c r="B3226" s="1" t="n">
        <v>44138</v>
      </c>
      <c r="C3226" s="1" t="n">
        <v>45657</v>
      </c>
      <c r="D3226" t="inlineStr">
        <is>
          <t>VÄSTERNORRLANDS LÄN</t>
        </is>
      </c>
      <c r="E3226" t="inlineStr">
        <is>
          <t>HÄRNÖSAND</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57080-2020</t>
        </is>
      </c>
      <c r="B3227" s="1" t="n">
        <v>44138</v>
      </c>
      <c r="C3227" s="1" t="n">
        <v>45657</v>
      </c>
      <c r="D3227" t="inlineStr">
        <is>
          <t>VÄSTERNORRLANDS LÄN</t>
        </is>
      </c>
      <c r="E3227" t="inlineStr">
        <is>
          <t>HÄRNÖSAND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57111-2020</t>
        </is>
      </c>
      <c r="B3228" s="1" t="n">
        <v>44139</v>
      </c>
      <c r="C3228" s="1" t="n">
        <v>45657</v>
      </c>
      <c r="D3228" t="inlineStr">
        <is>
          <t>VÄSTERNORRLANDS LÄN</t>
        </is>
      </c>
      <c r="E3228" t="inlineStr">
        <is>
          <t>ÅNGE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57405-2020</t>
        </is>
      </c>
      <c r="B3229" s="1" t="n">
        <v>44139</v>
      </c>
      <c r="C3229" s="1" t="n">
        <v>45657</v>
      </c>
      <c r="D3229" t="inlineStr">
        <is>
          <t>VÄSTERNORRLANDS LÄN</t>
        </is>
      </c>
      <c r="E3229" t="inlineStr">
        <is>
          <t>SUNDSVALL</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57373-2020</t>
        </is>
      </c>
      <c r="B3230" s="1" t="n">
        <v>44139</v>
      </c>
      <c r="C3230" s="1" t="n">
        <v>45657</v>
      </c>
      <c r="D3230" t="inlineStr">
        <is>
          <t>VÄSTERNORRLANDS LÄN</t>
        </is>
      </c>
      <c r="E3230" t="inlineStr">
        <is>
          <t>HÄRNÖSAND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57900-2020</t>
        </is>
      </c>
      <c r="B3231" s="1" t="n">
        <v>44140</v>
      </c>
      <c r="C3231" s="1" t="n">
        <v>45657</v>
      </c>
      <c r="D3231" t="inlineStr">
        <is>
          <t>VÄSTERNORRLANDS LÄN</t>
        </is>
      </c>
      <c r="E3231" t="inlineStr">
        <is>
          <t>SUNDSVALL</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57890-2020</t>
        </is>
      </c>
      <c r="B3232" s="1" t="n">
        <v>44140</v>
      </c>
      <c r="C3232" s="1" t="n">
        <v>45657</v>
      </c>
      <c r="D3232" t="inlineStr">
        <is>
          <t>VÄSTERNORRLANDS LÄN</t>
        </is>
      </c>
      <c r="E3232" t="inlineStr">
        <is>
          <t>SUNDSVALL</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57735-2020</t>
        </is>
      </c>
      <c r="B3233" s="1" t="n">
        <v>44140</v>
      </c>
      <c r="C3233" s="1" t="n">
        <v>45657</v>
      </c>
      <c r="D3233" t="inlineStr">
        <is>
          <t>VÄSTERNORRLANDS LÄN</t>
        </is>
      </c>
      <c r="E3233" t="inlineStr">
        <is>
          <t>SUNDSVALL</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58380-2020</t>
        </is>
      </c>
      <c r="B3234" s="1" t="n">
        <v>44145</v>
      </c>
      <c r="C3234" s="1" t="n">
        <v>45657</v>
      </c>
      <c r="D3234" t="inlineStr">
        <is>
          <t>VÄSTERNORRLANDS LÄN</t>
        </is>
      </c>
      <c r="E3234" t="inlineStr">
        <is>
          <t>SOLLEFTEÅ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58506-2020</t>
        </is>
      </c>
      <c r="B3235" s="1" t="n">
        <v>44145</v>
      </c>
      <c r="C3235" s="1" t="n">
        <v>45657</v>
      </c>
      <c r="D3235" t="inlineStr">
        <is>
          <t>VÄSTERNORRLANDS LÄN</t>
        </is>
      </c>
      <c r="E3235" t="inlineStr">
        <is>
          <t>HÄRNÖSAND</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58335-2020</t>
        </is>
      </c>
      <c r="B3236" s="1" t="n">
        <v>44145</v>
      </c>
      <c r="C3236" s="1" t="n">
        <v>45657</v>
      </c>
      <c r="D3236" t="inlineStr">
        <is>
          <t>VÄSTERNORRLANDS LÄN</t>
        </is>
      </c>
      <c r="E3236" t="inlineStr">
        <is>
          <t>ÖRNSKÖLDSVIK</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58381-2020</t>
        </is>
      </c>
      <c r="B3237" s="1" t="n">
        <v>44145</v>
      </c>
      <c r="C3237" s="1" t="n">
        <v>45657</v>
      </c>
      <c r="D3237" t="inlineStr">
        <is>
          <t>VÄSTERNORRLANDS LÄN</t>
        </is>
      </c>
      <c r="E3237" t="inlineStr">
        <is>
          <t>SOLLEFTEÅ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59011-2020</t>
        </is>
      </c>
      <c r="B3238" s="1" t="n">
        <v>44146</v>
      </c>
      <c r="C3238" s="1" t="n">
        <v>45657</v>
      </c>
      <c r="D3238" t="inlineStr">
        <is>
          <t>VÄSTERNORRLANDS LÄN</t>
        </is>
      </c>
      <c r="E3238" t="inlineStr">
        <is>
          <t>HÄRNÖSAND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59013-2020</t>
        </is>
      </c>
      <c r="B3239" s="1" t="n">
        <v>44146</v>
      </c>
      <c r="C3239" s="1" t="n">
        <v>45657</v>
      </c>
      <c r="D3239" t="inlineStr">
        <is>
          <t>VÄSTERNORRLANDS LÄN</t>
        </is>
      </c>
      <c r="E3239" t="inlineStr">
        <is>
          <t>SUNDSVALL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59044-2020</t>
        </is>
      </c>
      <c r="B3240" s="1" t="n">
        <v>44147</v>
      </c>
      <c r="C3240" s="1" t="n">
        <v>45657</v>
      </c>
      <c r="D3240" t="inlineStr">
        <is>
          <t>VÄSTERNORRLANDS LÄN</t>
        </is>
      </c>
      <c r="E3240" t="inlineStr">
        <is>
          <t>KRAMFORS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59049-2020</t>
        </is>
      </c>
      <c r="B3241" s="1" t="n">
        <v>44147</v>
      </c>
      <c r="C3241" s="1" t="n">
        <v>45657</v>
      </c>
      <c r="D3241" t="inlineStr">
        <is>
          <t>VÄSTERNORRLANDS LÄN</t>
        </is>
      </c>
      <c r="E3241" t="inlineStr">
        <is>
          <t>ÖRNSKÖLDSVIK</t>
        </is>
      </c>
      <c r="F3241" t="inlineStr">
        <is>
          <t>Holmen skog AB</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59106-2020</t>
        </is>
      </c>
      <c r="B3242" s="1" t="n">
        <v>44147</v>
      </c>
      <c r="C3242" s="1" t="n">
        <v>45657</v>
      </c>
      <c r="D3242" t="inlineStr">
        <is>
          <t>VÄSTERNORRLANDS LÄN</t>
        </is>
      </c>
      <c r="E3242" t="inlineStr">
        <is>
          <t>SUNDSVALL</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59043-2020</t>
        </is>
      </c>
      <c r="B3243" s="1" t="n">
        <v>44147</v>
      </c>
      <c r="C3243" s="1" t="n">
        <v>45657</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59204-2020</t>
        </is>
      </c>
      <c r="B3244" s="1" t="n">
        <v>44147</v>
      </c>
      <c r="C3244" s="1" t="n">
        <v>45657</v>
      </c>
      <c r="D3244" t="inlineStr">
        <is>
          <t>VÄSTERNORRLANDS LÄN</t>
        </is>
      </c>
      <c r="E3244" t="inlineStr">
        <is>
          <t>ÖRNSKÖLDSVIK</t>
        </is>
      </c>
      <c r="F3244" t="inlineStr">
        <is>
          <t>Holmen skog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59222-2020</t>
        </is>
      </c>
      <c r="B3245" s="1" t="n">
        <v>44147</v>
      </c>
      <c r="C3245" s="1" t="n">
        <v>45657</v>
      </c>
      <c r="D3245" t="inlineStr">
        <is>
          <t>VÄSTERNORRLANDS LÄN</t>
        </is>
      </c>
      <c r="E3245" t="inlineStr">
        <is>
          <t>ÅNGE</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59356-2020</t>
        </is>
      </c>
      <c r="B3246" s="1" t="n">
        <v>44147</v>
      </c>
      <c r="C3246" s="1" t="n">
        <v>45657</v>
      </c>
      <c r="D3246" t="inlineStr">
        <is>
          <t>VÄSTERNORRLANDS LÄN</t>
        </is>
      </c>
      <c r="E3246" t="inlineStr">
        <is>
          <t>HÄRNÖSAND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59334-2020</t>
        </is>
      </c>
      <c r="B3247" s="1" t="n">
        <v>44147</v>
      </c>
      <c r="C3247" s="1" t="n">
        <v>45657</v>
      </c>
      <c r="D3247" t="inlineStr">
        <is>
          <t>VÄSTERNORRLANDS LÄN</t>
        </is>
      </c>
      <c r="E3247" t="inlineStr">
        <is>
          <t>SOLLEFTEÅ</t>
        </is>
      </c>
      <c r="F3247" t="inlineStr">
        <is>
          <t>SCA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59423-2020</t>
        </is>
      </c>
      <c r="B3248" s="1" t="n">
        <v>44148</v>
      </c>
      <c r="C3248" s="1" t="n">
        <v>45657</v>
      </c>
      <c r="D3248" t="inlineStr">
        <is>
          <t>VÄSTERNORRLANDS LÄN</t>
        </is>
      </c>
      <c r="E3248" t="inlineStr">
        <is>
          <t>ÖRNSKÖLDSVIK</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59438-2020</t>
        </is>
      </c>
      <c r="B3249" s="1" t="n">
        <v>44148</v>
      </c>
      <c r="C3249" s="1" t="n">
        <v>45657</v>
      </c>
      <c r="D3249" t="inlineStr">
        <is>
          <t>VÄSTERNORRLANDS LÄN</t>
        </is>
      </c>
      <c r="E3249" t="inlineStr">
        <is>
          <t>ÖRNSKÖLDSVIK</t>
        </is>
      </c>
      <c r="F3249" t="inlineStr">
        <is>
          <t>Holmen skog AB</t>
        </is>
      </c>
      <c r="G3249" t="n">
        <v>16.3</v>
      </c>
      <c r="H3249" t="n">
        <v>0</v>
      </c>
      <c r="I3249" t="n">
        <v>0</v>
      </c>
      <c r="J3249" t="n">
        <v>0</v>
      </c>
      <c r="K3249" t="n">
        <v>0</v>
      </c>
      <c r="L3249" t="n">
        <v>0</v>
      </c>
      <c r="M3249" t="n">
        <v>0</v>
      </c>
      <c r="N3249" t="n">
        <v>0</v>
      </c>
      <c r="O3249" t="n">
        <v>0</v>
      </c>
      <c r="P3249" t="n">
        <v>0</v>
      </c>
      <c r="Q3249" t="n">
        <v>0</v>
      </c>
      <c r="R3249" s="2" t="inlineStr"/>
    </row>
    <row r="3250" ht="15" customHeight="1">
      <c r="A3250" t="inlineStr">
        <is>
          <t>A 59443-2020</t>
        </is>
      </c>
      <c r="B3250" s="1" t="n">
        <v>44148</v>
      </c>
      <c r="C3250" s="1" t="n">
        <v>45657</v>
      </c>
      <c r="D3250" t="inlineStr">
        <is>
          <t>VÄSTERNORRLANDS LÄN</t>
        </is>
      </c>
      <c r="E3250" t="inlineStr">
        <is>
          <t>HÄRNÖSAND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59456-2020</t>
        </is>
      </c>
      <c r="B3251" s="1" t="n">
        <v>44148</v>
      </c>
      <c r="C3251" s="1" t="n">
        <v>45657</v>
      </c>
      <c r="D3251" t="inlineStr">
        <is>
          <t>VÄSTERNORRLANDS LÄN</t>
        </is>
      </c>
      <c r="E3251" t="inlineStr">
        <is>
          <t>ÖRNSKÖLDSVIK</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59950-2020</t>
        </is>
      </c>
      <c r="B3252" s="1" t="n">
        <v>44151</v>
      </c>
      <c r="C3252" s="1" t="n">
        <v>45657</v>
      </c>
      <c r="D3252" t="inlineStr">
        <is>
          <t>VÄSTERNORRLANDS LÄN</t>
        </is>
      </c>
      <c r="E3252" t="inlineStr">
        <is>
          <t>SOLLEFTEÅ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59965-2020</t>
        </is>
      </c>
      <c r="B3253" s="1" t="n">
        <v>44151</v>
      </c>
      <c r="C3253" s="1" t="n">
        <v>45657</v>
      </c>
      <c r="D3253" t="inlineStr">
        <is>
          <t>VÄSTERNORRLANDS LÄN</t>
        </is>
      </c>
      <c r="E3253" t="inlineStr">
        <is>
          <t>HÄRNÖSAND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60064-2020</t>
        </is>
      </c>
      <c r="B3254" s="1" t="n">
        <v>44151</v>
      </c>
      <c r="C3254" s="1" t="n">
        <v>45657</v>
      </c>
      <c r="D3254" t="inlineStr">
        <is>
          <t>VÄSTERNORRLANDS LÄN</t>
        </is>
      </c>
      <c r="E3254" t="inlineStr">
        <is>
          <t>ÅNGE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59953-2020</t>
        </is>
      </c>
      <c r="B3255" s="1" t="n">
        <v>44151</v>
      </c>
      <c r="C3255" s="1" t="n">
        <v>45657</v>
      </c>
      <c r="D3255" t="inlineStr">
        <is>
          <t>VÄSTERNORRLANDS LÄN</t>
        </is>
      </c>
      <c r="E3255" t="inlineStr">
        <is>
          <t>SOLLEFTEÅ</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60091-2020</t>
        </is>
      </c>
      <c r="B3256" s="1" t="n">
        <v>44151</v>
      </c>
      <c r="C3256" s="1" t="n">
        <v>45657</v>
      </c>
      <c r="D3256" t="inlineStr">
        <is>
          <t>VÄSTERNORRLANDS LÄN</t>
        </is>
      </c>
      <c r="E3256" t="inlineStr">
        <is>
          <t>SOLLEFTEÅ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60178-2020</t>
        </is>
      </c>
      <c r="B3257" s="1" t="n">
        <v>44152</v>
      </c>
      <c r="C3257" s="1" t="n">
        <v>45657</v>
      </c>
      <c r="D3257" t="inlineStr">
        <is>
          <t>VÄSTERNORRLANDS LÄN</t>
        </is>
      </c>
      <c r="E3257" t="inlineStr">
        <is>
          <t>SUNDSVALL</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60391-2020</t>
        </is>
      </c>
      <c r="B3258" s="1" t="n">
        <v>44152</v>
      </c>
      <c r="C3258" s="1" t="n">
        <v>45657</v>
      </c>
      <c r="D3258" t="inlineStr">
        <is>
          <t>VÄSTERNORRLANDS LÄN</t>
        </is>
      </c>
      <c r="E3258" t="inlineStr">
        <is>
          <t>SUNDSVALL</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60401-2020</t>
        </is>
      </c>
      <c r="B3259" s="1" t="n">
        <v>44152</v>
      </c>
      <c r="C3259" s="1" t="n">
        <v>45657</v>
      </c>
      <c r="D3259" t="inlineStr">
        <is>
          <t>VÄSTERNORRLANDS LÄN</t>
        </is>
      </c>
      <c r="E3259" t="inlineStr">
        <is>
          <t>ÅNGE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60551-2020</t>
        </is>
      </c>
      <c r="B3260" s="1" t="n">
        <v>44153</v>
      </c>
      <c r="C3260" s="1" t="n">
        <v>45657</v>
      </c>
      <c r="D3260" t="inlineStr">
        <is>
          <t>VÄSTERNORRLANDS LÄN</t>
        </is>
      </c>
      <c r="E3260" t="inlineStr">
        <is>
          <t>ÖRNSKÖLDSVIK</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61165-2020</t>
        </is>
      </c>
      <c r="B3261" s="1" t="n">
        <v>44153</v>
      </c>
      <c r="C3261" s="1" t="n">
        <v>45657</v>
      </c>
      <c r="D3261" t="inlineStr">
        <is>
          <t>VÄSTERNORRLANDS LÄN</t>
        </is>
      </c>
      <c r="E3261" t="inlineStr">
        <is>
          <t>ÖRNSKÖLDSVIK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61089-2020</t>
        </is>
      </c>
      <c r="B3262" s="1" t="n">
        <v>44153</v>
      </c>
      <c r="C3262" s="1" t="n">
        <v>45657</v>
      </c>
      <c r="D3262" t="inlineStr">
        <is>
          <t>VÄSTERNORRLANDS LÄN</t>
        </is>
      </c>
      <c r="E3262" t="inlineStr">
        <is>
          <t>ÖRNSKÖLDSVIK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60786-2020</t>
        </is>
      </c>
      <c r="B3263" s="1" t="n">
        <v>44154</v>
      </c>
      <c r="C3263" s="1" t="n">
        <v>45657</v>
      </c>
      <c r="D3263" t="inlineStr">
        <is>
          <t>VÄSTERNORRLANDS LÄN</t>
        </is>
      </c>
      <c r="E3263" t="inlineStr">
        <is>
          <t>ÖRNSKÖLDSVIK</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60911-2020</t>
        </is>
      </c>
      <c r="B3264" s="1" t="n">
        <v>44154</v>
      </c>
      <c r="C3264" s="1" t="n">
        <v>45657</v>
      </c>
      <c r="D3264" t="inlineStr">
        <is>
          <t>VÄSTERNORRLANDS LÄN</t>
        </is>
      </c>
      <c r="E3264" t="inlineStr">
        <is>
          <t>ÖRNSKÖLDSVIK</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61044-2020</t>
        </is>
      </c>
      <c r="B3265" s="1" t="n">
        <v>44154</v>
      </c>
      <c r="C3265" s="1" t="n">
        <v>45657</v>
      </c>
      <c r="D3265" t="inlineStr">
        <is>
          <t>VÄSTERNORRLANDS LÄN</t>
        </is>
      </c>
      <c r="E3265" t="inlineStr">
        <is>
          <t>KRAMFORS</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60876-2020</t>
        </is>
      </c>
      <c r="B3266" s="1" t="n">
        <v>44154</v>
      </c>
      <c r="C3266" s="1" t="n">
        <v>45657</v>
      </c>
      <c r="D3266" t="inlineStr">
        <is>
          <t>VÄSTERNORRLANDS LÄN</t>
        </is>
      </c>
      <c r="E3266" t="inlineStr">
        <is>
          <t>ÖRNSKÖLDSVIK</t>
        </is>
      </c>
      <c r="F3266" t="inlineStr">
        <is>
          <t>Holmen skog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61051-2020</t>
        </is>
      </c>
      <c r="B3267" s="1" t="n">
        <v>44154</v>
      </c>
      <c r="C3267" s="1" t="n">
        <v>45657</v>
      </c>
      <c r="D3267" t="inlineStr">
        <is>
          <t>VÄSTERNORRLANDS LÄN</t>
        </is>
      </c>
      <c r="E3267" t="inlineStr">
        <is>
          <t>KRAMFORS</t>
        </is>
      </c>
      <c r="G3267" t="n">
        <v>15.4</v>
      </c>
      <c r="H3267" t="n">
        <v>0</v>
      </c>
      <c r="I3267" t="n">
        <v>0</v>
      </c>
      <c r="J3267" t="n">
        <v>0</v>
      </c>
      <c r="K3267" t="n">
        <v>0</v>
      </c>
      <c r="L3267" t="n">
        <v>0</v>
      </c>
      <c r="M3267" t="n">
        <v>0</v>
      </c>
      <c r="N3267" t="n">
        <v>0</v>
      </c>
      <c r="O3267" t="n">
        <v>0</v>
      </c>
      <c r="P3267" t="n">
        <v>0</v>
      </c>
      <c r="Q3267" t="n">
        <v>0</v>
      </c>
      <c r="R3267" s="2" t="inlineStr"/>
    </row>
    <row r="3268" ht="15" customHeight="1">
      <c r="A3268" t="inlineStr">
        <is>
          <t>A 61127-2020</t>
        </is>
      </c>
      <c r="B3268" s="1" t="n">
        <v>44154</v>
      </c>
      <c r="C3268" s="1" t="n">
        <v>45657</v>
      </c>
      <c r="D3268" t="inlineStr">
        <is>
          <t>VÄSTERNORRLANDS LÄN</t>
        </is>
      </c>
      <c r="E3268" t="inlineStr">
        <is>
          <t>SOLLEFTEÅ</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61299-2020</t>
        </is>
      </c>
      <c r="B3269" s="1" t="n">
        <v>44154</v>
      </c>
      <c r="C3269" s="1" t="n">
        <v>45657</v>
      </c>
      <c r="D3269" t="inlineStr">
        <is>
          <t>VÄSTERNORRLANDS LÄN</t>
        </is>
      </c>
      <c r="E3269" t="inlineStr">
        <is>
          <t>ÖRNSKÖLDSVIK</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61568-2020</t>
        </is>
      </c>
      <c r="B3270" s="1" t="n">
        <v>44154</v>
      </c>
      <c r="C3270" s="1" t="n">
        <v>45657</v>
      </c>
      <c r="D3270" t="inlineStr">
        <is>
          <t>VÄSTERNORRLANDS LÄN</t>
        </is>
      </c>
      <c r="E3270" t="inlineStr">
        <is>
          <t>SUNDSVALL</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61047-2020</t>
        </is>
      </c>
      <c r="B3271" s="1" t="n">
        <v>44154</v>
      </c>
      <c r="C3271" s="1" t="n">
        <v>45657</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61090-2020</t>
        </is>
      </c>
      <c r="B3272" s="1" t="n">
        <v>44154</v>
      </c>
      <c r="C3272" s="1" t="n">
        <v>45657</v>
      </c>
      <c r="D3272" t="inlineStr">
        <is>
          <t>VÄSTERNORRLANDS LÄN</t>
        </is>
      </c>
      <c r="E3272" t="inlineStr">
        <is>
          <t>ÖRNSKÖLDSVIK</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61142-2020</t>
        </is>
      </c>
      <c r="B3273" s="1" t="n">
        <v>44154</v>
      </c>
      <c r="C3273" s="1" t="n">
        <v>45657</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61303-2020</t>
        </is>
      </c>
      <c r="B3274" s="1" t="n">
        <v>44154</v>
      </c>
      <c r="C3274" s="1" t="n">
        <v>45657</v>
      </c>
      <c r="D3274" t="inlineStr">
        <is>
          <t>VÄSTERNORRLANDS LÄN</t>
        </is>
      </c>
      <c r="E3274" t="inlineStr">
        <is>
          <t>ÖRNSKÖLDSVIK</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61297-2020</t>
        </is>
      </c>
      <c r="B3275" s="1" t="n">
        <v>44154</v>
      </c>
      <c r="C3275" s="1" t="n">
        <v>45657</v>
      </c>
      <c r="D3275" t="inlineStr">
        <is>
          <t>VÄSTERNORRLANDS LÄN</t>
        </is>
      </c>
      <c r="E3275" t="inlineStr">
        <is>
          <t>ÖRNSKÖLDSVIK</t>
        </is>
      </c>
      <c r="G3275" t="n">
        <v>13.5</v>
      </c>
      <c r="H3275" t="n">
        <v>0</v>
      </c>
      <c r="I3275" t="n">
        <v>0</v>
      </c>
      <c r="J3275" t="n">
        <v>0</v>
      </c>
      <c r="K3275" t="n">
        <v>0</v>
      </c>
      <c r="L3275" t="n">
        <v>0</v>
      </c>
      <c r="M3275" t="n">
        <v>0</v>
      </c>
      <c r="N3275" t="n">
        <v>0</v>
      </c>
      <c r="O3275" t="n">
        <v>0</v>
      </c>
      <c r="P3275" t="n">
        <v>0</v>
      </c>
      <c r="Q3275" t="n">
        <v>0</v>
      </c>
      <c r="R3275" s="2" t="inlineStr"/>
    </row>
    <row r="3276" ht="15" customHeight="1">
      <c r="A3276" t="inlineStr">
        <is>
          <t>A 61311-2020</t>
        </is>
      </c>
      <c r="B3276" s="1" t="n">
        <v>44154</v>
      </c>
      <c r="C3276" s="1" t="n">
        <v>45657</v>
      </c>
      <c r="D3276" t="inlineStr">
        <is>
          <t>VÄSTERNORRLANDS LÄN</t>
        </is>
      </c>
      <c r="E3276" t="inlineStr">
        <is>
          <t>ÖRNSKÖLDSVIK</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61049-2020</t>
        </is>
      </c>
      <c r="B3277" s="1" t="n">
        <v>44154</v>
      </c>
      <c r="C3277" s="1" t="n">
        <v>45657</v>
      </c>
      <c r="D3277" t="inlineStr">
        <is>
          <t>VÄSTERNORRLANDS LÄN</t>
        </is>
      </c>
      <c r="E3277" t="inlineStr">
        <is>
          <t>KRAMFORS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61130-2020</t>
        </is>
      </c>
      <c r="B3278" s="1" t="n">
        <v>44154</v>
      </c>
      <c r="C3278" s="1" t="n">
        <v>45657</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61287-2020</t>
        </is>
      </c>
      <c r="B3279" s="1" t="n">
        <v>44154</v>
      </c>
      <c r="C3279" s="1" t="n">
        <v>45657</v>
      </c>
      <c r="D3279" t="inlineStr">
        <is>
          <t>VÄSTERNORRLANDS LÄN</t>
        </is>
      </c>
      <c r="E3279" t="inlineStr">
        <is>
          <t>ÖRNSKÖLDSVIK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61305-2020</t>
        </is>
      </c>
      <c r="B3280" s="1" t="n">
        <v>44154</v>
      </c>
      <c r="C3280" s="1" t="n">
        <v>45657</v>
      </c>
      <c r="D3280" t="inlineStr">
        <is>
          <t>VÄSTERNORRLANDS LÄN</t>
        </is>
      </c>
      <c r="E3280" t="inlineStr">
        <is>
          <t>ÖRNSKÖLDSVIK</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61204-2020</t>
        </is>
      </c>
      <c r="B3281" s="1" t="n">
        <v>44155</v>
      </c>
      <c r="C3281" s="1" t="n">
        <v>45657</v>
      </c>
      <c r="D3281" t="inlineStr">
        <is>
          <t>VÄSTERNORRLANDS LÄN</t>
        </is>
      </c>
      <c r="E3281" t="inlineStr">
        <is>
          <t>ÖRNSKÖLDSVIK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61336-2020</t>
        </is>
      </c>
      <c r="B3282" s="1" t="n">
        <v>44155</v>
      </c>
      <c r="C3282" s="1" t="n">
        <v>45657</v>
      </c>
      <c r="D3282" t="inlineStr">
        <is>
          <t>VÄSTERNORRLANDS LÄN</t>
        </is>
      </c>
      <c r="E3282" t="inlineStr">
        <is>
          <t>ÖRNSKÖLDSVIK</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61894-2020</t>
        </is>
      </c>
      <c r="B3283" s="1" t="n">
        <v>44155</v>
      </c>
      <c r="C3283" s="1" t="n">
        <v>45657</v>
      </c>
      <c r="D3283" t="inlineStr">
        <is>
          <t>VÄSTERNORRLANDS LÄN</t>
        </is>
      </c>
      <c r="E3283" t="inlineStr">
        <is>
          <t>SOLLEFTEÅ</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61228-2020</t>
        </is>
      </c>
      <c r="B3284" s="1" t="n">
        <v>44155</v>
      </c>
      <c r="C3284" s="1" t="n">
        <v>45657</v>
      </c>
      <c r="D3284" t="inlineStr">
        <is>
          <t>VÄSTERNORRLANDS LÄN</t>
        </is>
      </c>
      <c r="E3284" t="inlineStr">
        <is>
          <t>ÖRNSKÖLDSVIK</t>
        </is>
      </c>
      <c r="F3284" t="inlineStr">
        <is>
          <t>Holmen skog AB</t>
        </is>
      </c>
      <c r="G3284" t="n">
        <v>17.6</v>
      </c>
      <c r="H3284" t="n">
        <v>0</v>
      </c>
      <c r="I3284" t="n">
        <v>0</v>
      </c>
      <c r="J3284" t="n">
        <v>0</v>
      </c>
      <c r="K3284" t="n">
        <v>0</v>
      </c>
      <c r="L3284" t="n">
        <v>0</v>
      </c>
      <c r="M3284" t="n">
        <v>0</v>
      </c>
      <c r="N3284" t="n">
        <v>0</v>
      </c>
      <c r="O3284" t="n">
        <v>0</v>
      </c>
      <c r="P3284" t="n">
        <v>0</v>
      </c>
      <c r="Q3284" t="n">
        <v>0</v>
      </c>
      <c r="R3284" s="2" t="inlineStr"/>
    </row>
    <row r="3285" ht="15" customHeight="1">
      <c r="A3285" t="inlineStr">
        <is>
          <t>A 61274-2020</t>
        </is>
      </c>
      <c r="B3285" s="1" t="n">
        <v>44155</v>
      </c>
      <c r="C3285" s="1" t="n">
        <v>45657</v>
      </c>
      <c r="D3285" t="inlineStr">
        <is>
          <t>VÄSTERNORRLANDS LÄN</t>
        </is>
      </c>
      <c r="E3285" t="inlineStr">
        <is>
          <t>ÖRNSKÖLDSVIK</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61932-2020</t>
        </is>
      </c>
      <c r="B3286" s="1" t="n">
        <v>44155</v>
      </c>
      <c r="C3286" s="1" t="n">
        <v>45657</v>
      </c>
      <c r="D3286" t="inlineStr">
        <is>
          <t>VÄSTERNORRLANDS LÄN</t>
        </is>
      </c>
      <c r="E3286" t="inlineStr">
        <is>
          <t>KRAMFORS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61943-2020</t>
        </is>
      </c>
      <c r="B3287" s="1" t="n">
        <v>44155</v>
      </c>
      <c r="C3287" s="1" t="n">
        <v>45657</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61497-2020</t>
        </is>
      </c>
      <c r="B3288" s="1" t="n">
        <v>44158</v>
      </c>
      <c r="C3288" s="1" t="n">
        <v>45657</v>
      </c>
      <c r="D3288" t="inlineStr">
        <is>
          <t>VÄSTERNORRLANDS LÄN</t>
        </is>
      </c>
      <c r="E3288" t="inlineStr">
        <is>
          <t>ÖRNSKÖLDSVIK</t>
        </is>
      </c>
      <c r="F3288" t="inlineStr">
        <is>
          <t>Holmen skog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61719-2020</t>
        </is>
      </c>
      <c r="B3289" s="1" t="n">
        <v>44158</v>
      </c>
      <c r="C3289" s="1" t="n">
        <v>45657</v>
      </c>
      <c r="D3289" t="inlineStr">
        <is>
          <t>VÄSTERNORRLANDS LÄN</t>
        </is>
      </c>
      <c r="E3289" t="inlineStr">
        <is>
          <t>SUNDSVALL</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61517-2020</t>
        </is>
      </c>
      <c r="B3290" s="1" t="n">
        <v>44158</v>
      </c>
      <c r="C3290" s="1" t="n">
        <v>45657</v>
      </c>
      <c r="D3290" t="inlineStr">
        <is>
          <t>VÄSTERNORRLANDS LÄN</t>
        </is>
      </c>
      <c r="E3290" t="inlineStr">
        <is>
          <t>ÖRNSKÖLDSVIK</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61723-2020</t>
        </is>
      </c>
      <c r="B3291" s="1" t="n">
        <v>44158</v>
      </c>
      <c r="C3291" s="1" t="n">
        <v>45657</v>
      </c>
      <c r="D3291" t="inlineStr">
        <is>
          <t>VÄSTERNORRLANDS LÄN</t>
        </is>
      </c>
      <c r="E3291" t="inlineStr">
        <is>
          <t>SUNDSVALL</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61622-2020</t>
        </is>
      </c>
      <c r="B3292" s="1" t="n">
        <v>44158</v>
      </c>
      <c r="C3292" s="1" t="n">
        <v>45657</v>
      </c>
      <c r="D3292" t="inlineStr">
        <is>
          <t>VÄSTERNORRLANDS LÄN</t>
        </is>
      </c>
      <c r="E3292" t="inlineStr">
        <is>
          <t>ÖRNSKÖLDSVIK</t>
        </is>
      </c>
      <c r="F3292" t="inlineStr">
        <is>
          <t>Holmen skog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61757-2020</t>
        </is>
      </c>
      <c r="B3293" s="1" t="n">
        <v>44158</v>
      </c>
      <c r="C3293" s="1" t="n">
        <v>45657</v>
      </c>
      <c r="D3293" t="inlineStr">
        <is>
          <t>VÄSTERNORRLANDS LÄN</t>
        </is>
      </c>
      <c r="E3293" t="inlineStr">
        <is>
          <t>ÖRNSKÖLDSVIK</t>
        </is>
      </c>
      <c r="F3293" t="inlineStr">
        <is>
          <t>Holmen skog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61730-2020</t>
        </is>
      </c>
      <c r="B3294" s="1" t="n">
        <v>44158</v>
      </c>
      <c r="C3294" s="1" t="n">
        <v>45657</v>
      </c>
      <c r="D3294" t="inlineStr">
        <is>
          <t>VÄSTERNORRLANDS LÄN</t>
        </is>
      </c>
      <c r="E3294" t="inlineStr">
        <is>
          <t>TIMRÅ</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62272-2020</t>
        </is>
      </c>
      <c r="B3295" s="1" t="n">
        <v>44158</v>
      </c>
      <c r="C3295" s="1" t="n">
        <v>45657</v>
      </c>
      <c r="D3295" t="inlineStr">
        <is>
          <t>VÄSTERNORRLANDS LÄN</t>
        </is>
      </c>
      <c r="E3295" t="inlineStr">
        <is>
          <t>ÖRNSKÖLDSVIK</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62480-2020</t>
        </is>
      </c>
      <c r="B3296" s="1" t="n">
        <v>44158</v>
      </c>
      <c r="C3296" s="1" t="n">
        <v>45657</v>
      </c>
      <c r="D3296" t="inlineStr">
        <is>
          <t>VÄSTERNORRLANDS LÄN</t>
        </is>
      </c>
      <c r="E3296" t="inlineStr">
        <is>
          <t>ÖRNSKÖLDSVIK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61945-2020</t>
        </is>
      </c>
      <c r="B3297" s="1" t="n">
        <v>44159</v>
      </c>
      <c r="C3297" s="1" t="n">
        <v>45657</v>
      </c>
      <c r="D3297" t="inlineStr">
        <is>
          <t>VÄSTERNORRLANDS LÄN</t>
        </is>
      </c>
      <c r="E3297" t="inlineStr">
        <is>
          <t>ÖRNSKÖLDSVIK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61844-2020</t>
        </is>
      </c>
      <c r="B3298" s="1" t="n">
        <v>44159</v>
      </c>
      <c r="C3298" s="1" t="n">
        <v>45657</v>
      </c>
      <c r="D3298" t="inlineStr">
        <is>
          <t>VÄSTERNORRLANDS LÄN</t>
        </is>
      </c>
      <c r="E3298" t="inlineStr">
        <is>
          <t>ÖRNSKÖLDSVIK</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61837-2020</t>
        </is>
      </c>
      <c r="B3299" s="1" t="n">
        <v>44159</v>
      </c>
      <c r="C3299" s="1" t="n">
        <v>45657</v>
      </c>
      <c r="D3299" t="inlineStr">
        <is>
          <t>VÄSTERNORRLANDS LÄN</t>
        </is>
      </c>
      <c r="E3299" t="inlineStr">
        <is>
          <t>ÖRNSKÖLDSVIK</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61840-2020</t>
        </is>
      </c>
      <c r="B3300" s="1" t="n">
        <v>44159</v>
      </c>
      <c r="C3300" s="1" t="n">
        <v>45657</v>
      </c>
      <c r="D3300" t="inlineStr">
        <is>
          <t>VÄSTERNORRLANDS LÄN</t>
        </is>
      </c>
      <c r="E3300" t="inlineStr">
        <is>
          <t>ÖRNSKÖLDSVIK</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61955-2020</t>
        </is>
      </c>
      <c r="B3301" s="1" t="n">
        <v>44159</v>
      </c>
      <c r="C3301" s="1" t="n">
        <v>45657</v>
      </c>
      <c r="D3301" t="inlineStr">
        <is>
          <t>VÄSTERNORRLANDS LÄN</t>
        </is>
      </c>
      <c r="E3301" t="inlineStr">
        <is>
          <t>ÖRNSKÖLDSVIK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62294-2020</t>
        </is>
      </c>
      <c r="B3302" s="1" t="n">
        <v>44160</v>
      </c>
      <c r="C3302" s="1" t="n">
        <v>45657</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62479-2020</t>
        </is>
      </c>
      <c r="B3303" s="1" t="n">
        <v>44160</v>
      </c>
      <c r="C3303" s="1" t="n">
        <v>45657</v>
      </c>
      <c r="D3303" t="inlineStr">
        <is>
          <t>VÄSTERNORRLANDS LÄN</t>
        </is>
      </c>
      <c r="E3303" t="inlineStr">
        <is>
          <t>ÖRNSKÖLDSVIK</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62933-2020</t>
        </is>
      </c>
      <c r="B3304" s="1" t="n">
        <v>44160</v>
      </c>
      <c r="C3304" s="1" t="n">
        <v>45657</v>
      </c>
      <c r="D3304" t="inlineStr">
        <is>
          <t>VÄSTERNORRLANDS LÄN</t>
        </is>
      </c>
      <c r="E3304" t="inlineStr">
        <is>
          <t>KRAMFORS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62951-2020</t>
        </is>
      </c>
      <c r="B3305" s="1" t="n">
        <v>44160</v>
      </c>
      <c r="C3305" s="1" t="n">
        <v>45657</v>
      </c>
      <c r="D3305" t="inlineStr">
        <is>
          <t>VÄSTERNORRLANDS LÄN</t>
        </is>
      </c>
      <c r="E3305" t="inlineStr">
        <is>
          <t>ÖRNSKÖLDSVIK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62666-2020</t>
        </is>
      </c>
      <c r="B3306" s="1" t="n">
        <v>44161</v>
      </c>
      <c r="C3306" s="1" t="n">
        <v>45657</v>
      </c>
      <c r="D3306" t="inlineStr">
        <is>
          <t>VÄSTERNORRLANDS LÄN</t>
        </is>
      </c>
      <c r="E3306" t="inlineStr">
        <is>
          <t>SOLLEFTEÅ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62881-2020</t>
        </is>
      </c>
      <c r="B3307" s="1" t="n">
        <v>44161</v>
      </c>
      <c r="C3307" s="1" t="n">
        <v>45657</v>
      </c>
      <c r="D3307" t="inlineStr">
        <is>
          <t>VÄSTERNORRLANDS LÄN</t>
        </is>
      </c>
      <c r="E3307" t="inlineStr">
        <is>
          <t>SOLLEFTEÅ</t>
        </is>
      </c>
      <c r="F3307" t="inlineStr">
        <is>
          <t>SCA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63497-2020</t>
        </is>
      </c>
      <c r="B3308" s="1" t="n">
        <v>44161</v>
      </c>
      <c r="C3308" s="1" t="n">
        <v>45657</v>
      </c>
      <c r="D3308" t="inlineStr">
        <is>
          <t>VÄSTERNORRLANDS LÄN</t>
        </is>
      </c>
      <c r="E3308" t="inlineStr">
        <is>
          <t>ÅNGE</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62865-2020</t>
        </is>
      </c>
      <c r="B3309" s="1" t="n">
        <v>44161</v>
      </c>
      <c r="C3309" s="1" t="n">
        <v>45657</v>
      </c>
      <c r="D3309" t="inlineStr">
        <is>
          <t>VÄSTERNORRLANDS LÄN</t>
        </is>
      </c>
      <c r="E3309" t="inlineStr">
        <is>
          <t>ÖRNSKÖLDSVIK</t>
        </is>
      </c>
      <c r="F3309" t="inlineStr">
        <is>
          <t>SCA</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62870-2020</t>
        </is>
      </c>
      <c r="B3310" s="1" t="n">
        <v>44161</v>
      </c>
      <c r="C3310" s="1" t="n">
        <v>45657</v>
      </c>
      <c r="D3310" t="inlineStr">
        <is>
          <t>VÄSTERNORRLANDS LÄN</t>
        </is>
      </c>
      <c r="E3310" t="inlineStr">
        <is>
          <t>KRAMFORS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62883-2020</t>
        </is>
      </c>
      <c r="B3311" s="1" t="n">
        <v>44161</v>
      </c>
      <c r="C3311" s="1" t="n">
        <v>45657</v>
      </c>
      <c r="D3311" t="inlineStr">
        <is>
          <t>VÄSTERNORRLANDS LÄN</t>
        </is>
      </c>
      <c r="E3311" t="inlineStr">
        <is>
          <t>SOLLEFTEÅ</t>
        </is>
      </c>
      <c r="F3311" t="inlineStr">
        <is>
          <t>SCA</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63114-2020</t>
        </is>
      </c>
      <c r="B3312" s="1" t="n">
        <v>44162</v>
      </c>
      <c r="C3312" s="1" t="n">
        <v>45657</v>
      </c>
      <c r="D3312" t="inlineStr">
        <is>
          <t>VÄSTERNORRLANDS LÄN</t>
        </is>
      </c>
      <c r="E3312" t="inlineStr">
        <is>
          <t>ÖRNSKÖLDSVIK</t>
        </is>
      </c>
      <c r="F3312" t="inlineStr">
        <is>
          <t>Holmen skog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63162-2020</t>
        </is>
      </c>
      <c r="B3313" s="1" t="n">
        <v>44162</v>
      </c>
      <c r="C3313" s="1" t="n">
        <v>45657</v>
      </c>
      <c r="D3313" t="inlineStr">
        <is>
          <t>VÄSTERNORRLANDS LÄN</t>
        </is>
      </c>
      <c r="E3313" t="inlineStr">
        <is>
          <t>ÖRNSKÖLDSVIK</t>
        </is>
      </c>
      <c r="F3313" t="inlineStr">
        <is>
          <t>SCA</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63190-2020</t>
        </is>
      </c>
      <c r="B3314" s="1" t="n">
        <v>44162</v>
      </c>
      <c r="C3314" s="1" t="n">
        <v>45657</v>
      </c>
      <c r="D3314" t="inlineStr">
        <is>
          <t>VÄSTERNORRLANDS LÄN</t>
        </is>
      </c>
      <c r="E3314" t="inlineStr">
        <is>
          <t>SOLLEFTEÅ</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63210-2020</t>
        </is>
      </c>
      <c r="B3315" s="1" t="n">
        <v>44163</v>
      </c>
      <c r="C3315" s="1" t="n">
        <v>45657</v>
      </c>
      <c r="D3315" t="inlineStr">
        <is>
          <t>VÄSTERNORRLANDS LÄN</t>
        </is>
      </c>
      <c r="E3315" t="inlineStr">
        <is>
          <t>SOLLEFTEÅ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63270-2020</t>
        </is>
      </c>
      <c r="B3316" s="1" t="n">
        <v>44164</v>
      </c>
      <c r="C3316" s="1" t="n">
        <v>45657</v>
      </c>
      <c r="D3316" t="inlineStr">
        <is>
          <t>VÄSTERNORRLANDS LÄN</t>
        </is>
      </c>
      <c r="E3316" t="inlineStr">
        <is>
          <t>ÖRNSKÖLDSVIK</t>
        </is>
      </c>
      <c r="G3316" t="n">
        <v>19.5</v>
      </c>
      <c r="H3316" t="n">
        <v>0</v>
      </c>
      <c r="I3316" t="n">
        <v>0</v>
      </c>
      <c r="J3316" t="n">
        <v>0</v>
      </c>
      <c r="K3316" t="n">
        <v>0</v>
      </c>
      <c r="L3316" t="n">
        <v>0</v>
      </c>
      <c r="M3316" t="n">
        <v>0</v>
      </c>
      <c r="N3316" t="n">
        <v>0</v>
      </c>
      <c r="O3316" t="n">
        <v>0</v>
      </c>
      <c r="P3316" t="n">
        <v>0</v>
      </c>
      <c r="Q3316" t="n">
        <v>0</v>
      </c>
      <c r="R3316" s="2" t="inlineStr"/>
    </row>
    <row r="3317" ht="15" customHeight="1">
      <c r="A3317" t="inlineStr">
        <is>
          <t>A 63287-2020</t>
        </is>
      </c>
      <c r="B3317" s="1" t="n">
        <v>44165</v>
      </c>
      <c r="C3317" s="1" t="n">
        <v>45657</v>
      </c>
      <c r="D3317" t="inlineStr">
        <is>
          <t>VÄSTERNORRLANDS LÄN</t>
        </is>
      </c>
      <c r="E3317" t="inlineStr">
        <is>
          <t>HÄRNÖSAND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63598-2020</t>
        </is>
      </c>
      <c r="B3318" s="1" t="n">
        <v>44165</v>
      </c>
      <c r="C3318" s="1" t="n">
        <v>45657</v>
      </c>
      <c r="D3318" t="inlineStr">
        <is>
          <t>VÄSTERNORRLANDS LÄN</t>
        </is>
      </c>
      <c r="E3318" t="inlineStr">
        <is>
          <t>SUNDSVALL</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63960-2020</t>
        </is>
      </c>
      <c r="B3319" s="1" t="n">
        <v>44165</v>
      </c>
      <c r="C3319" s="1" t="n">
        <v>45657</v>
      </c>
      <c r="D3319" t="inlineStr">
        <is>
          <t>VÄSTERNORRLANDS LÄN</t>
        </is>
      </c>
      <c r="E3319" t="inlineStr">
        <is>
          <t>TIMRÅ</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63681-2020</t>
        </is>
      </c>
      <c r="B3320" s="1" t="n">
        <v>44166</v>
      </c>
      <c r="C3320" s="1" t="n">
        <v>45657</v>
      </c>
      <c r="D3320" t="inlineStr">
        <is>
          <t>VÄSTERNORRLANDS LÄN</t>
        </is>
      </c>
      <c r="E3320" t="inlineStr">
        <is>
          <t>SUNDSVALL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63786-2020</t>
        </is>
      </c>
      <c r="B3321" s="1" t="n">
        <v>44166</v>
      </c>
      <c r="C3321" s="1" t="n">
        <v>45657</v>
      </c>
      <c r="D3321" t="inlineStr">
        <is>
          <t>VÄSTERNORRLANDS LÄN</t>
        </is>
      </c>
      <c r="E3321" t="inlineStr">
        <is>
          <t>SUNDSVALL</t>
        </is>
      </c>
      <c r="F3321" t="inlineStr">
        <is>
          <t>Kommuner</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63774-2020</t>
        </is>
      </c>
      <c r="B3322" s="1" t="n">
        <v>44166</v>
      </c>
      <c r="C3322" s="1" t="n">
        <v>45657</v>
      </c>
      <c r="D3322" t="inlineStr">
        <is>
          <t>VÄSTERNORRLANDS LÄN</t>
        </is>
      </c>
      <c r="E3322" t="inlineStr">
        <is>
          <t>SUNDSVALL</t>
        </is>
      </c>
      <c r="F3322" t="inlineStr">
        <is>
          <t>Kommuner</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63817-2020</t>
        </is>
      </c>
      <c r="B3323" s="1" t="n">
        <v>44166</v>
      </c>
      <c r="C3323" s="1" t="n">
        <v>45657</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63927-2020</t>
        </is>
      </c>
      <c r="B3324" s="1" t="n">
        <v>44166</v>
      </c>
      <c r="C3324" s="1" t="n">
        <v>45657</v>
      </c>
      <c r="D3324" t="inlineStr">
        <is>
          <t>VÄSTERNORRLANDS LÄN</t>
        </is>
      </c>
      <c r="E3324" t="inlineStr">
        <is>
          <t>TIMRÅ</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63840-2020</t>
        </is>
      </c>
      <c r="B3325" s="1" t="n">
        <v>44166</v>
      </c>
      <c r="C3325" s="1" t="n">
        <v>45657</v>
      </c>
      <c r="D3325" t="inlineStr">
        <is>
          <t>VÄSTERNORRLANDS LÄN</t>
        </is>
      </c>
      <c r="E3325" t="inlineStr">
        <is>
          <t>SUNDSVALL</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63862-2020</t>
        </is>
      </c>
      <c r="B3326" s="1" t="n">
        <v>44166</v>
      </c>
      <c r="C3326" s="1" t="n">
        <v>45657</v>
      </c>
      <c r="D3326" t="inlineStr">
        <is>
          <t>VÄSTERNORRLANDS LÄN</t>
        </is>
      </c>
      <c r="E3326" t="inlineStr">
        <is>
          <t>SUNDSVALL</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64417-2020</t>
        </is>
      </c>
      <c r="B3327" s="1" t="n">
        <v>44166</v>
      </c>
      <c r="C3327" s="1" t="n">
        <v>45657</v>
      </c>
      <c r="D3327" t="inlineStr">
        <is>
          <t>VÄSTERNORRLANDS LÄN</t>
        </is>
      </c>
      <c r="E3327" t="inlineStr">
        <is>
          <t>HÄRNÖSAND</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64571-2020</t>
        </is>
      </c>
      <c r="B3328" s="1" t="n">
        <v>44166</v>
      </c>
      <c r="C3328" s="1" t="n">
        <v>45657</v>
      </c>
      <c r="D3328" t="inlineStr">
        <is>
          <t>VÄSTERNORRLANDS LÄN</t>
        </is>
      </c>
      <c r="E3328" t="inlineStr">
        <is>
          <t>TIMRÅ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63930-2020</t>
        </is>
      </c>
      <c r="B3329" s="1" t="n">
        <v>44167</v>
      </c>
      <c r="C3329" s="1" t="n">
        <v>45657</v>
      </c>
      <c r="D3329" t="inlineStr">
        <is>
          <t>VÄSTERNORRLANDS LÄN</t>
        </is>
      </c>
      <c r="E3329" t="inlineStr">
        <is>
          <t>ÖRNSKÖLDSVIK</t>
        </is>
      </c>
      <c r="F3329" t="inlineStr">
        <is>
          <t>Holmen skog AB</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64063-2020</t>
        </is>
      </c>
      <c r="B3330" s="1" t="n">
        <v>44167</v>
      </c>
      <c r="C3330" s="1" t="n">
        <v>45657</v>
      </c>
      <c r="D3330" t="inlineStr">
        <is>
          <t>VÄSTERNORRLANDS LÄN</t>
        </is>
      </c>
      <c r="E3330" t="inlineStr">
        <is>
          <t>ÖRNSKÖLDSVIK</t>
        </is>
      </c>
      <c r="F3330" t="inlineStr">
        <is>
          <t>Holmen skog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64207-2020</t>
        </is>
      </c>
      <c r="B3331" s="1" t="n">
        <v>44167</v>
      </c>
      <c r="C3331" s="1" t="n">
        <v>45657</v>
      </c>
      <c r="D3331" t="inlineStr">
        <is>
          <t>VÄSTERNORRLANDS LÄN</t>
        </is>
      </c>
      <c r="E3331" t="inlineStr">
        <is>
          <t>KRAMFORS</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65056-2020</t>
        </is>
      </c>
      <c r="B3332" s="1" t="n">
        <v>44167</v>
      </c>
      <c r="C3332" s="1" t="n">
        <v>45657</v>
      </c>
      <c r="D3332" t="inlineStr">
        <is>
          <t>VÄSTERNORRLANDS LÄN</t>
        </is>
      </c>
      <c r="E3332" t="inlineStr">
        <is>
          <t>KRAMFORS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64205-2020</t>
        </is>
      </c>
      <c r="B3333" s="1" t="n">
        <v>44167</v>
      </c>
      <c r="C3333" s="1" t="n">
        <v>45657</v>
      </c>
      <c r="D3333" t="inlineStr">
        <is>
          <t>VÄSTERNORRLANDS LÄN</t>
        </is>
      </c>
      <c r="E3333" t="inlineStr">
        <is>
          <t>KRAMFORS</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65001-2020</t>
        </is>
      </c>
      <c r="B3334" s="1" t="n">
        <v>44167</v>
      </c>
      <c r="C3334" s="1" t="n">
        <v>45657</v>
      </c>
      <c r="D3334" t="inlineStr">
        <is>
          <t>VÄSTERNORRLANDS LÄN</t>
        </is>
      </c>
      <c r="E3334" t="inlineStr">
        <is>
          <t>TIMRÅ</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64290-2020</t>
        </is>
      </c>
      <c r="B3335" s="1" t="n">
        <v>44168</v>
      </c>
      <c r="C3335" s="1" t="n">
        <v>45657</v>
      </c>
      <c r="D3335" t="inlineStr">
        <is>
          <t>VÄSTERNORRLANDS LÄN</t>
        </is>
      </c>
      <c r="E3335" t="inlineStr">
        <is>
          <t>ÖRNSKÖLDSVIK</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64394-2020</t>
        </is>
      </c>
      <c r="B3336" s="1" t="n">
        <v>44168</v>
      </c>
      <c r="C3336" s="1" t="n">
        <v>45657</v>
      </c>
      <c r="D3336" t="inlineStr">
        <is>
          <t>VÄSTERNORRLANDS LÄN</t>
        </is>
      </c>
      <c r="E3336" t="inlineStr">
        <is>
          <t>SUNDSVALL</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64479-2020</t>
        </is>
      </c>
      <c r="B3337" s="1" t="n">
        <v>44168</v>
      </c>
      <c r="C3337" s="1" t="n">
        <v>45657</v>
      </c>
      <c r="D3337" t="inlineStr">
        <is>
          <t>VÄSTERNORRLANDS LÄN</t>
        </is>
      </c>
      <c r="E3337" t="inlineStr">
        <is>
          <t>SUNDSVALL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64557-2020</t>
        </is>
      </c>
      <c r="B3338" s="1" t="n">
        <v>44169</v>
      </c>
      <c r="C3338" s="1" t="n">
        <v>45657</v>
      </c>
      <c r="D3338" t="inlineStr">
        <is>
          <t>VÄSTERNORRLANDS LÄN</t>
        </is>
      </c>
      <c r="E3338" t="inlineStr">
        <is>
          <t>ÖRNSKÖLDSVIK</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64612-2020</t>
        </is>
      </c>
      <c r="B3339" s="1" t="n">
        <v>44169</v>
      </c>
      <c r="C3339" s="1" t="n">
        <v>45657</v>
      </c>
      <c r="D3339" t="inlineStr">
        <is>
          <t>VÄSTERNORRLANDS LÄN</t>
        </is>
      </c>
      <c r="E3339" t="inlineStr">
        <is>
          <t>ÅNGE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64696-2020</t>
        </is>
      </c>
      <c r="B3340" s="1" t="n">
        <v>44169</v>
      </c>
      <c r="C3340" s="1" t="n">
        <v>45657</v>
      </c>
      <c r="D3340" t="inlineStr">
        <is>
          <t>VÄSTERNORRLANDS LÄN</t>
        </is>
      </c>
      <c r="E3340" t="inlineStr">
        <is>
          <t>ÖRNSKÖLDSVIK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65401-2020</t>
        </is>
      </c>
      <c r="B3341" s="1" t="n">
        <v>44169</v>
      </c>
      <c r="C3341" s="1" t="n">
        <v>45657</v>
      </c>
      <c r="D3341" t="inlineStr">
        <is>
          <t>VÄSTERNORRLANDS LÄN</t>
        </is>
      </c>
      <c r="E3341" t="inlineStr">
        <is>
          <t>SOLLEFTEÅ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65407-2020</t>
        </is>
      </c>
      <c r="B3342" s="1" t="n">
        <v>44169</v>
      </c>
      <c r="C3342" s="1" t="n">
        <v>45657</v>
      </c>
      <c r="D3342" t="inlineStr">
        <is>
          <t>VÄSTERNORRLANDS LÄN</t>
        </is>
      </c>
      <c r="E3342" t="inlineStr">
        <is>
          <t>SOLLEFTEÅ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65665-2020</t>
        </is>
      </c>
      <c r="B3343" s="1" t="n">
        <v>44169</v>
      </c>
      <c r="C3343" s="1" t="n">
        <v>45657</v>
      </c>
      <c r="D3343" t="inlineStr">
        <is>
          <t>VÄSTERNORRLANDS LÄN</t>
        </is>
      </c>
      <c r="E3343" t="inlineStr">
        <is>
          <t>ÖRNSKÖLDSVIK</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65403-2020</t>
        </is>
      </c>
      <c r="B3344" s="1" t="n">
        <v>44169</v>
      </c>
      <c r="C3344" s="1" t="n">
        <v>45657</v>
      </c>
      <c r="D3344" t="inlineStr">
        <is>
          <t>VÄSTERNORRLANDS LÄN</t>
        </is>
      </c>
      <c r="E3344" t="inlineStr">
        <is>
          <t>SOLLEFTEÅ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65277-2020</t>
        </is>
      </c>
      <c r="B3345" s="1" t="n">
        <v>44172</v>
      </c>
      <c r="C3345" s="1" t="n">
        <v>45657</v>
      </c>
      <c r="D3345" t="inlineStr">
        <is>
          <t>VÄSTERNORRLANDS LÄN</t>
        </is>
      </c>
      <c r="E3345" t="inlineStr">
        <is>
          <t>ÅNGE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65149-2020</t>
        </is>
      </c>
      <c r="B3346" s="1" t="n">
        <v>44172</v>
      </c>
      <c r="C3346" s="1" t="n">
        <v>45657</v>
      </c>
      <c r="D3346" t="inlineStr">
        <is>
          <t>VÄSTERNORRLANDS LÄN</t>
        </is>
      </c>
      <c r="E3346" t="inlineStr">
        <is>
          <t>ÅNGE</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65016-2020</t>
        </is>
      </c>
      <c r="B3347" s="1" t="n">
        <v>44172</v>
      </c>
      <c r="C3347" s="1" t="n">
        <v>45657</v>
      </c>
      <c r="D3347" t="inlineStr">
        <is>
          <t>VÄSTERNORRLANDS LÄN</t>
        </is>
      </c>
      <c r="E3347" t="inlineStr">
        <is>
          <t>ÖRNSKÖLDSVIK</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65272-2020</t>
        </is>
      </c>
      <c r="B3348" s="1" t="n">
        <v>44172</v>
      </c>
      <c r="C3348" s="1" t="n">
        <v>45657</v>
      </c>
      <c r="D3348" t="inlineStr">
        <is>
          <t>VÄSTERNORRLANDS LÄN</t>
        </is>
      </c>
      <c r="E3348" t="inlineStr">
        <is>
          <t>ÅNGE</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65280-2020</t>
        </is>
      </c>
      <c r="B3349" s="1" t="n">
        <v>44172</v>
      </c>
      <c r="C3349" s="1" t="n">
        <v>45657</v>
      </c>
      <c r="D3349" t="inlineStr">
        <is>
          <t>VÄSTERNORRLANDS LÄN</t>
        </is>
      </c>
      <c r="E3349" t="inlineStr">
        <is>
          <t>ÅNGE</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65265-2020</t>
        </is>
      </c>
      <c r="B3350" s="1" t="n">
        <v>44172</v>
      </c>
      <c r="C3350" s="1" t="n">
        <v>45657</v>
      </c>
      <c r="D3350" t="inlineStr">
        <is>
          <t>VÄSTERNORRLANDS LÄN</t>
        </is>
      </c>
      <c r="E3350" t="inlineStr">
        <is>
          <t>KRAMFORS</t>
        </is>
      </c>
      <c r="F3350" t="inlineStr">
        <is>
          <t>SCA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65465-2020</t>
        </is>
      </c>
      <c r="B3351" s="1" t="n">
        <v>44173</v>
      </c>
      <c r="C3351" s="1" t="n">
        <v>45657</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65546-2020</t>
        </is>
      </c>
      <c r="B3352" s="1" t="n">
        <v>44173</v>
      </c>
      <c r="C3352" s="1" t="n">
        <v>45657</v>
      </c>
      <c r="D3352" t="inlineStr">
        <is>
          <t>VÄSTERNORRLANDS LÄN</t>
        </is>
      </c>
      <c r="E3352" t="inlineStr">
        <is>
          <t>KRAMFORS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65594-2020</t>
        </is>
      </c>
      <c r="B3353" s="1" t="n">
        <v>44173</v>
      </c>
      <c r="C3353" s="1" t="n">
        <v>45657</v>
      </c>
      <c r="D3353" t="inlineStr">
        <is>
          <t>VÄSTERNORRLANDS LÄN</t>
        </is>
      </c>
      <c r="E3353" t="inlineStr">
        <is>
          <t>ÅNGE</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65593-2020</t>
        </is>
      </c>
      <c r="B3354" s="1" t="n">
        <v>44173</v>
      </c>
      <c r="C3354" s="1" t="n">
        <v>45657</v>
      </c>
      <c r="D3354" t="inlineStr">
        <is>
          <t>VÄSTERNORRLANDS LÄN</t>
        </is>
      </c>
      <c r="E3354" t="inlineStr">
        <is>
          <t>ÅNGE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66017-2020</t>
        </is>
      </c>
      <c r="B3355" s="1" t="n">
        <v>44173</v>
      </c>
      <c r="C3355" s="1" t="n">
        <v>45657</v>
      </c>
      <c r="D3355" t="inlineStr">
        <is>
          <t>VÄSTERNORRLANDS LÄN</t>
        </is>
      </c>
      <c r="E3355" t="inlineStr">
        <is>
          <t>HÄRNÖSAND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65646-2020</t>
        </is>
      </c>
      <c r="B3356" s="1" t="n">
        <v>44174</v>
      </c>
      <c r="C3356" s="1" t="n">
        <v>45657</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65688-2020</t>
        </is>
      </c>
      <c r="B3357" s="1" t="n">
        <v>44174</v>
      </c>
      <c r="C3357" s="1" t="n">
        <v>45657</v>
      </c>
      <c r="D3357" t="inlineStr">
        <is>
          <t>VÄSTERNORRLANDS LÄN</t>
        </is>
      </c>
      <c r="E3357" t="inlineStr">
        <is>
          <t>ÖRNSKÖLDSVIK</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65770-2020</t>
        </is>
      </c>
      <c r="B3358" s="1" t="n">
        <v>44174</v>
      </c>
      <c r="C3358" s="1" t="n">
        <v>45657</v>
      </c>
      <c r="D3358" t="inlineStr">
        <is>
          <t>VÄSTERNORRLANDS LÄN</t>
        </is>
      </c>
      <c r="E3358" t="inlineStr">
        <is>
          <t>ÅNGE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65808-2020</t>
        </is>
      </c>
      <c r="B3359" s="1" t="n">
        <v>44174</v>
      </c>
      <c r="C3359" s="1" t="n">
        <v>45657</v>
      </c>
      <c r="D3359" t="inlineStr">
        <is>
          <t>VÄSTERNORRLANDS LÄN</t>
        </is>
      </c>
      <c r="E3359" t="inlineStr">
        <is>
          <t>ÖRNSKÖLDSVIK</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65905-2020</t>
        </is>
      </c>
      <c r="B3360" s="1" t="n">
        <v>44174</v>
      </c>
      <c r="C3360" s="1" t="n">
        <v>45657</v>
      </c>
      <c r="D3360" t="inlineStr">
        <is>
          <t>VÄSTERNORRLANDS LÄN</t>
        </is>
      </c>
      <c r="E3360" t="inlineStr">
        <is>
          <t>KRAMFORS</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66016-2020</t>
        </is>
      </c>
      <c r="B3361" s="1" t="n">
        <v>44175</v>
      </c>
      <c r="C3361" s="1" t="n">
        <v>45657</v>
      </c>
      <c r="D3361" t="inlineStr">
        <is>
          <t>VÄSTERNORRLANDS LÄN</t>
        </is>
      </c>
      <c r="E3361" t="inlineStr">
        <is>
          <t>SUNDSVALL</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66252-2020</t>
        </is>
      </c>
      <c r="B3362" s="1" t="n">
        <v>44175</v>
      </c>
      <c r="C3362" s="1" t="n">
        <v>45657</v>
      </c>
      <c r="D3362" t="inlineStr">
        <is>
          <t>VÄSTERNORRLANDS LÄN</t>
        </is>
      </c>
      <c r="E3362" t="inlineStr">
        <is>
          <t>KRAMFORS</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66236-2020</t>
        </is>
      </c>
      <c r="B3363" s="1" t="n">
        <v>44175</v>
      </c>
      <c r="C3363" s="1" t="n">
        <v>45657</v>
      </c>
      <c r="D3363" t="inlineStr">
        <is>
          <t>VÄSTERNORRLANDS LÄN</t>
        </is>
      </c>
      <c r="E3363" t="inlineStr">
        <is>
          <t>SUNDSVALL</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66601-2020</t>
        </is>
      </c>
      <c r="B3364" s="1" t="n">
        <v>44175</v>
      </c>
      <c r="C3364" s="1" t="n">
        <v>45657</v>
      </c>
      <c r="D3364" t="inlineStr">
        <is>
          <t>VÄSTERNORRLANDS LÄN</t>
        </is>
      </c>
      <c r="E3364" t="inlineStr">
        <is>
          <t>ÅNGE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66245-2020</t>
        </is>
      </c>
      <c r="B3365" s="1" t="n">
        <v>44175</v>
      </c>
      <c r="C3365" s="1" t="n">
        <v>45657</v>
      </c>
      <c r="D3365" t="inlineStr">
        <is>
          <t>VÄSTERNORRLANDS LÄN</t>
        </is>
      </c>
      <c r="E3365" t="inlineStr">
        <is>
          <t>KRAMFORS</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66226-2020</t>
        </is>
      </c>
      <c r="B3366" s="1" t="n">
        <v>44175</v>
      </c>
      <c r="C3366" s="1" t="n">
        <v>45657</v>
      </c>
      <c r="D3366" t="inlineStr">
        <is>
          <t>VÄSTERNORRLANDS LÄN</t>
        </is>
      </c>
      <c r="E3366" t="inlineStr">
        <is>
          <t>ÖRNSKÖLDSVIK</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66362-2020</t>
        </is>
      </c>
      <c r="B3367" s="1" t="n">
        <v>44176</v>
      </c>
      <c r="C3367" s="1" t="n">
        <v>45657</v>
      </c>
      <c r="D3367" t="inlineStr">
        <is>
          <t>VÄSTERNORRLANDS LÄN</t>
        </is>
      </c>
      <c r="E3367" t="inlineStr">
        <is>
          <t>ÖRNSKÖLDSVIK</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66355-2020</t>
        </is>
      </c>
      <c r="B3368" s="1" t="n">
        <v>44176</v>
      </c>
      <c r="C3368" s="1" t="n">
        <v>45657</v>
      </c>
      <c r="D3368" t="inlineStr">
        <is>
          <t>VÄSTERNORRLANDS LÄN</t>
        </is>
      </c>
      <c r="E3368" t="inlineStr">
        <is>
          <t>ÖRNSKÖLDSVIK</t>
        </is>
      </c>
      <c r="F3368" t="inlineStr">
        <is>
          <t>Holmen skog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66961-2020</t>
        </is>
      </c>
      <c r="B3369" s="1" t="n">
        <v>44176</v>
      </c>
      <c r="C3369" s="1" t="n">
        <v>45657</v>
      </c>
      <c r="D3369" t="inlineStr">
        <is>
          <t>VÄSTERNORRLANDS LÄN</t>
        </is>
      </c>
      <c r="E3369" t="inlineStr">
        <is>
          <t>ÖRNSKÖLDSVIK</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67063-2020</t>
        </is>
      </c>
      <c r="B3370" s="1" t="n">
        <v>44176</v>
      </c>
      <c r="C3370" s="1" t="n">
        <v>45657</v>
      </c>
      <c r="D3370" t="inlineStr">
        <is>
          <t>VÄSTERNORRLANDS LÄN</t>
        </is>
      </c>
      <c r="E3370" t="inlineStr">
        <is>
          <t>SOLLEFTEÅ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66783-2020</t>
        </is>
      </c>
      <c r="B3371" s="1" t="n">
        <v>44179</v>
      </c>
      <c r="C3371" s="1" t="n">
        <v>45657</v>
      </c>
      <c r="D3371" t="inlineStr">
        <is>
          <t>VÄSTERNORRLANDS LÄN</t>
        </is>
      </c>
      <c r="E3371" t="inlineStr">
        <is>
          <t>KRAMFORS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66845-2020</t>
        </is>
      </c>
      <c r="B3372" s="1" t="n">
        <v>44179</v>
      </c>
      <c r="C3372" s="1" t="n">
        <v>45657</v>
      </c>
      <c r="D3372" t="inlineStr">
        <is>
          <t>VÄSTERNORRLANDS LÄN</t>
        </is>
      </c>
      <c r="E3372" t="inlineStr">
        <is>
          <t>SOLLEFTEÅ</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66837-2020</t>
        </is>
      </c>
      <c r="B3373" s="1" t="n">
        <v>44179</v>
      </c>
      <c r="C3373" s="1" t="n">
        <v>45657</v>
      </c>
      <c r="D3373" t="inlineStr">
        <is>
          <t>VÄSTERNORRLANDS LÄN</t>
        </is>
      </c>
      <c r="E3373" t="inlineStr">
        <is>
          <t>TIMRÅ</t>
        </is>
      </c>
      <c r="F3373" t="inlineStr">
        <is>
          <t>Kommuner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66844-2020</t>
        </is>
      </c>
      <c r="B3374" s="1" t="n">
        <v>44179</v>
      </c>
      <c r="C3374" s="1" t="n">
        <v>45657</v>
      </c>
      <c r="D3374" t="inlineStr">
        <is>
          <t>VÄSTERNORRLANDS LÄN</t>
        </is>
      </c>
      <c r="E3374" t="inlineStr">
        <is>
          <t>SOLLEFTEÅ</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66826-2020</t>
        </is>
      </c>
      <c r="B3375" s="1" t="n">
        <v>44179</v>
      </c>
      <c r="C3375" s="1" t="n">
        <v>45657</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66850-2020</t>
        </is>
      </c>
      <c r="B3376" s="1" t="n">
        <v>44179</v>
      </c>
      <c r="C3376" s="1" t="n">
        <v>45657</v>
      </c>
      <c r="D3376" t="inlineStr">
        <is>
          <t>VÄSTERNORRLANDS LÄN</t>
        </is>
      </c>
      <c r="E3376" t="inlineStr">
        <is>
          <t>SOLLEFTEÅ</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66851-2020</t>
        </is>
      </c>
      <c r="B3377" s="1" t="n">
        <v>44179</v>
      </c>
      <c r="C3377" s="1" t="n">
        <v>45657</v>
      </c>
      <c r="D3377" t="inlineStr">
        <is>
          <t>VÄSTERNORRLANDS LÄN</t>
        </is>
      </c>
      <c r="E3377" t="inlineStr">
        <is>
          <t>SOLLEFTEÅ</t>
        </is>
      </c>
      <c r="F3377" t="inlineStr">
        <is>
          <t>SCA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66853-2020</t>
        </is>
      </c>
      <c r="B3378" s="1" t="n">
        <v>44179</v>
      </c>
      <c r="C3378" s="1" t="n">
        <v>45657</v>
      </c>
      <c r="D3378" t="inlineStr">
        <is>
          <t>VÄSTERNORRLANDS LÄN</t>
        </is>
      </c>
      <c r="E3378" t="inlineStr">
        <is>
          <t>SOLLEFTEÅ</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66921-2020</t>
        </is>
      </c>
      <c r="B3379" s="1" t="n">
        <v>44180</v>
      </c>
      <c r="C3379" s="1" t="n">
        <v>45657</v>
      </c>
      <c r="D3379" t="inlineStr">
        <is>
          <t>VÄSTERNORRLANDS LÄN</t>
        </is>
      </c>
      <c r="E3379" t="inlineStr">
        <is>
          <t>ÖRNSKÖLDSVIK</t>
        </is>
      </c>
      <c r="F3379" t="inlineStr">
        <is>
          <t>Holmen skog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67183-2020</t>
        </is>
      </c>
      <c r="B3380" s="1" t="n">
        <v>44180</v>
      </c>
      <c r="C3380" s="1" t="n">
        <v>45657</v>
      </c>
      <c r="D3380" t="inlineStr">
        <is>
          <t>VÄSTERNORRLANDS LÄN</t>
        </is>
      </c>
      <c r="E3380" t="inlineStr">
        <is>
          <t>ÖRNSKÖLDSVIK</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67191-2020</t>
        </is>
      </c>
      <c r="B3381" s="1" t="n">
        <v>44180</v>
      </c>
      <c r="C3381" s="1" t="n">
        <v>45657</v>
      </c>
      <c r="D3381" t="inlineStr">
        <is>
          <t>VÄSTERNORRLANDS LÄN</t>
        </is>
      </c>
      <c r="E3381" t="inlineStr">
        <is>
          <t>HÄRNÖSAND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67233-2020</t>
        </is>
      </c>
      <c r="B3382" s="1" t="n">
        <v>44180</v>
      </c>
      <c r="C3382" s="1" t="n">
        <v>45657</v>
      </c>
      <c r="D3382" t="inlineStr">
        <is>
          <t>VÄSTERNORRLANDS LÄN</t>
        </is>
      </c>
      <c r="E3382" t="inlineStr">
        <is>
          <t>SUNDSVALL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67482-2020</t>
        </is>
      </c>
      <c r="B3383" s="1" t="n">
        <v>44180</v>
      </c>
      <c r="C3383" s="1" t="n">
        <v>45657</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67516-2020</t>
        </is>
      </c>
      <c r="B3384" s="1" t="n">
        <v>44180</v>
      </c>
      <c r="C3384" s="1" t="n">
        <v>45657</v>
      </c>
      <c r="D3384" t="inlineStr">
        <is>
          <t>VÄSTERNORRLANDS LÄN</t>
        </is>
      </c>
      <c r="E3384" t="inlineStr">
        <is>
          <t>ÖRNSKÖLDSVIK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67267-2020</t>
        </is>
      </c>
      <c r="B3385" s="1" t="n">
        <v>44181</v>
      </c>
      <c r="C3385" s="1" t="n">
        <v>45657</v>
      </c>
      <c r="D3385" t="inlineStr">
        <is>
          <t>VÄSTERNORRLANDS LÄN</t>
        </is>
      </c>
      <c r="E3385" t="inlineStr">
        <is>
          <t>ÖRNSKÖLDSVIK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67499-2020</t>
        </is>
      </c>
      <c r="B3386" s="1" t="n">
        <v>44181</v>
      </c>
      <c r="C3386" s="1" t="n">
        <v>45657</v>
      </c>
      <c r="D3386" t="inlineStr">
        <is>
          <t>VÄSTERNORRLANDS LÄN</t>
        </is>
      </c>
      <c r="E3386" t="inlineStr">
        <is>
          <t>KRAMFORS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67527-2020</t>
        </is>
      </c>
      <c r="B3387" s="1" t="n">
        <v>44181</v>
      </c>
      <c r="C3387" s="1" t="n">
        <v>45657</v>
      </c>
      <c r="D3387" t="inlineStr">
        <is>
          <t>VÄSTERNORRLANDS LÄN</t>
        </is>
      </c>
      <c r="E3387" t="inlineStr">
        <is>
          <t>KRAMFORS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67523-2020</t>
        </is>
      </c>
      <c r="B3388" s="1" t="n">
        <v>44181</v>
      </c>
      <c r="C3388" s="1" t="n">
        <v>45657</v>
      </c>
      <c r="D3388" t="inlineStr">
        <is>
          <t>VÄSTERNORRLANDS LÄN</t>
        </is>
      </c>
      <c r="E3388" t="inlineStr">
        <is>
          <t>KRAMFORS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67519-2020</t>
        </is>
      </c>
      <c r="B3389" s="1" t="n">
        <v>44181</v>
      </c>
      <c r="C3389" s="1" t="n">
        <v>45657</v>
      </c>
      <c r="D3389" t="inlineStr">
        <is>
          <t>VÄSTERNORRLANDS LÄN</t>
        </is>
      </c>
      <c r="E3389" t="inlineStr">
        <is>
          <t>KRAMFORS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67610-2020</t>
        </is>
      </c>
      <c r="B3390" s="1" t="n">
        <v>44181</v>
      </c>
      <c r="C3390" s="1" t="n">
        <v>45657</v>
      </c>
      <c r="D3390" t="inlineStr">
        <is>
          <t>VÄSTERNORRLANDS LÄN</t>
        </is>
      </c>
      <c r="E3390" t="inlineStr">
        <is>
          <t>TIMRÅ</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67601-2020</t>
        </is>
      </c>
      <c r="B3391" s="1" t="n">
        <v>44181</v>
      </c>
      <c r="C3391" s="1" t="n">
        <v>45657</v>
      </c>
      <c r="D3391" t="inlineStr">
        <is>
          <t>VÄSTERNORRLANDS LÄN</t>
        </is>
      </c>
      <c r="E3391" t="inlineStr">
        <is>
          <t>KRAMFORS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67513-2020</t>
        </is>
      </c>
      <c r="B3392" s="1" t="n">
        <v>44181</v>
      </c>
      <c r="C3392" s="1" t="n">
        <v>45657</v>
      </c>
      <c r="D3392" t="inlineStr">
        <is>
          <t>VÄSTERNORRLANDS LÄN</t>
        </is>
      </c>
      <c r="E3392" t="inlineStr">
        <is>
          <t>KRAMFORS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67503-2020</t>
        </is>
      </c>
      <c r="B3393" s="1" t="n">
        <v>44181</v>
      </c>
      <c r="C3393" s="1" t="n">
        <v>45657</v>
      </c>
      <c r="D3393" t="inlineStr">
        <is>
          <t>VÄSTERNORRLANDS LÄN</t>
        </is>
      </c>
      <c r="E3393" t="inlineStr">
        <is>
          <t>KRAMFORS</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67602-2020</t>
        </is>
      </c>
      <c r="B3394" s="1" t="n">
        <v>44181</v>
      </c>
      <c r="C3394" s="1" t="n">
        <v>45657</v>
      </c>
      <c r="D3394" t="inlineStr">
        <is>
          <t>VÄSTERNORRLANDS LÄN</t>
        </is>
      </c>
      <c r="E3394" t="inlineStr">
        <is>
          <t>SOLLEFTEÅ</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68012-2020</t>
        </is>
      </c>
      <c r="B3395" s="1" t="n">
        <v>44182</v>
      </c>
      <c r="C3395" s="1" t="n">
        <v>45657</v>
      </c>
      <c r="D3395" t="inlineStr">
        <is>
          <t>VÄSTERNORRLANDS LÄN</t>
        </is>
      </c>
      <c r="E3395" t="inlineStr">
        <is>
          <t>HÄRNÖSAND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68016-2020</t>
        </is>
      </c>
      <c r="B3396" s="1" t="n">
        <v>44182</v>
      </c>
      <c r="C3396" s="1" t="n">
        <v>45657</v>
      </c>
      <c r="D3396" t="inlineStr">
        <is>
          <t>VÄSTERNORRLANDS LÄN</t>
        </is>
      </c>
      <c r="E3396" t="inlineStr">
        <is>
          <t>SOLLEFTEÅ</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68026-2020</t>
        </is>
      </c>
      <c r="B3397" s="1" t="n">
        <v>44182</v>
      </c>
      <c r="C3397" s="1" t="n">
        <v>45657</v>
      </c>
      <c r="D3397" t="inlineStr">
        <is>
          <t>VÄSTERNORRLANDS LÄN</t>
        </is>
      </c>
      <c r="E3397" t="inlineStr">
        <is>
          <t>SOLLEFTEÅ</t>
        </is>
      </c>
      <c r="F3397" t="inlineStr">
        <is>
          <t>SCA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68014-2020</t>
        </is>
      </c>
      <c r="B3398" s="1" t="n">
        <v>44182</v>
      </c>
      <c r="C3398" s="1" t="n">
        <v>45657</v>
      </c>
      <c r="D3398" t="inlineStr">
        <is>
          <t>VÄSTERNORRLANDS LÄN</t>
        </is>
      </c>
      <c r="E3398" t="inlineStr">
        <is>
          <t>HÄRNÖSAND</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68022-2020</t>
        </is>
      </c>
      <c r="B3399" s="1" t="n">
        <v>44182</v>
      </c>
      <c r="C3399" s="1" t="n">
        <v>45657</v>
      </c>
      <c r="D3399" t="inlineStr">
        <is>
          <t>VÄSTERNORRLANDS LÄN</t>
        </is>
      </c>
      <c r="E3399" t="inlineStr">
        <is>
          <t>SOLLEFTEÅ</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68031-2020</t>
        </is>
      </c>
      <c r="B3400" s="1" t="n">
        <v>44182</v>
      </c>
      <c r="C3400" s="1" t="n">
        <v>45657</v>
      </c>
      <c r="D3400" t="inlineStr">
        <is>
          <t>VÄSTERNORRLANDS LÄN</t>
        </is>
      </c>
      <c r="E3400" t="inlineStr">
        <is>
          <t>SOLLEFTEÅ</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68036-2020</t>
        </is>
      </c>
      <c r="B3401" s="1" t="n">
        <v>44182</v>
      </c>
      <c r="C3401" s="1" t="n">
        <v>45657</v>
      </c>
      <c r="D3401" t="inlineStr">
        <is>
          <t>VÄSTERNORRLANDS LÄN</t>
        </is>
      </c>
      <c r="E3401" t="inlineStr">
        <is>
          <t>SOLLEFTEÅ</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67987-2020</t>
        </is>
      </c>
      <c r="B3402" s="1" t="n">
        <v>44182</v>
      </c>
      <c r="C3402" s="1" t="n">
        <v>45657</v>
      </c>
      <c r="D3402" t="inlineStr">
        <is>
          <t>VÄSTERNORRLANDS LÄN</t>
        </is>
      </c>
      <c r="E3402" t="inlineStr">
        <is>
          <t>SUNDSVALL</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68013-2020</t>
        </is>
      </c>
      <c r="B3403" s="1" t="n">
        <v>44182</v>
      </c>
      <c r="C3403" s="1" t="n">
        <v>45657</v>
      </c>
      <c r="D3403" t="inlineStr">
        <is>
          <t>VÄSTERNORRLANDS LÄN</t>
        </is>
      </c>
      <c r="E3403" t="inlineStr">
        <is>
          <t>HÄRNÖSAND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68020-2020</t>
        </is>
      </c>
      <c r="B3404" s="1" t="n">
        <v>44182</v>
      </c>
      <c r="C3404" s="1" t="n">
        <v>45657</v>
      </c>
      <c r="D3404" t="inlineStr">
        <is>
          <t>VÄSTERNORRLANDS LÄN</t>
        </is>
      </c>
      <c r="E3404" t="inlineStr">
        <is>
          <t>SOLLEFTEÅ</t>
        </is>
      </c>
      <c r="F3404" t="inlineStr">
        <is>
          <t>SCA</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68030-2020</t>
        </is>
      </c>
      <c r="B3405" s="1" t="n">
        <v>44182</v>
      </c>
      <c r="C3405" s="1" t="n">
        <v>45657</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68034-2020</t>
        </is>
      </c>
      <c r="B3406" s="1" t="n">
        <v>44182</v>
      </c>
      <c r="C3406" s="1" t="n">
        <v>45657</v>
      </c>
      <c r="D3406" t="inlineStr">
        <is>
          <t>VÄSTERNORRLANDS LÄN</t>
        </is>
      </c>
      <c r="E3406" t="inlineStr">
        <is>
          <t>SOLLEFTEÅ</t>
        </is>
      </c>
      <c r="F3406" t="inlineStr">
        <is>
          <t>SCA</t>
        </is>
      </c>
      <c r="G3406" t="n">
        <v>17.1</v>
      </c>
      <c r="H3406" t="n">
        <v>0</v>
      </c>
      <c r="I3406" t="n">
        <v>0</v>
      </c>
      <c r="J3406" t="n">
        <v>0</v>
      </c>
      <c r="K3406" t="n">
        <v>0</v>
      </c>
      <c r="L3406" t="n">
        <v>0</v>
      </c>
      <c r="M3406" t="n">
        <v>0</v>
      </c>
      <c r="N3406" t="n">
        <v>0</v>
      </c>
      <c r="O3406" t="n">
        <v>0</v>
      </c>
      <c r="P3406" t="n">
        <v>0</v>
      </c>
      <c r="Q3406" t="n">
        <v>0</v>
      </c>
      <c r="R3406" s="2" t="inlineStr"/>
    </row>
    <row r="3407" ht="15" customHeight="1">
      <c r="A3407" t="inlineStr">
        <is>
          <t>A 68033-2020</t>
        </is>
      </c>
      <c r="B3407" s="1" t="n">
        <v>44182</v>
      </c>
      <c r="C3407" s="1" t="n">
        <v>45657</v>
      </c>
      <c r="D3407" t="inlineStr">
        <is>
          <t>VÄSTERNORRLANDS LÄN</t>
        </is>
      </c>
      <c r="E3407" t="inlineStr">
        <is>
          <t>SOLLEFTEÅ</t>
        </is>
      </c>
      <c r="F3407" t="inlineStr">
        <is>
          <t>SCA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68015-2020</t>
        </is>
      </c>
      <c r="B3408" s="1" t="n">
        <v>44182</v>
      </c>
      <c r="C3408" s="1" t="n">
        <v>45657</v>
      </c>
      <c r="D3408" t="inlineStr">
        <is>
          <t>VÄSTERNORRLANDS LÄN</t>
        </is>
      </c>
      <c r="E3408" t="inlineStr">
        <is>
          <t>SOLLEFTEÅ</t>
        </is>
      </c>
      <c r="F3408" t="inlineStr">
        <is>
          <t>SCA</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68025-2020</t>
        </is>
      </c>
      <c r="B3409" s="1" t="n">
        <v>44182</v>
      </c>
      <c r="C3409" s="1" t="n">
        <v>45657</v>
      </c>
      <c r="D3409" t="inlineStr">
        <is>
          <t>VÄSTERNORRLANDS LÄN</t>
        </is>
      </c>
      <c r="E3409" t="inlineStr">
        <is>
          <t>SOLLEFTEÅ</t>
        </is>
      </c>
      <c r="F3409" t="inlineStr">
        <is>
          <t>SCA</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68032-2020</t>
        </is>
      </c>
      <c r="B3410" s="1" t="n">
        <v>44182</v>
      </c>
      <c r="C3410" s="1" t="n">
        <v>45657</v>
      </c>
      <c r="D3410" t="inlineStr">
        <is>
          <t>VÄSTERNORRLANDS LÄN</t>
        </is>
      </c>
      <c r="E3410" t="inlineStr">
        <is>
          <t>SOLLEFTEÅ</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68037-2020</t>
        </is>
      </c>
      <c r="B3411" s="1" t="n">
        <v>44182</v>
      </c>
      <c r="C3411" s="1" t="n">
        <v>45657</v>
      </c>
      <c r="D3411" t="inlineStr">
        <is>
          <t>VÄSTERNORRLANDS LÄN</t>
        </is>
      </c>
      <c r="E3411" t="inlineStr">
        <is>
          <t>SOLLEFTEÅ</t>
        </is>
      </c>
      <c r="F3411" t="inlineStr">
        <is>
          <t>SCA</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68207-2020</t>
        </is>
      </c>
      <c r="B3412" s="1" t="n">
        <v>44182</v>
      </c>
      <c r="C3412" s="1" t="n">
        <v>45657</v>
      </c>
      <c r="D3412" t="inlineStr">
        <is>
          <t>VÄSTERNORRLANDS LÄN</t>
        </is>
      </c>
      <c r="E3412" t="inlineStr">
        <is>
          <t>ÖRNSKÖLDSVIK</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69017-2020</t>
        </is>
      </c>
      <c r="B3413" s="1" t="n">
        <v>44182</v>
      </c>
      <c r="C3413" s="1" t="n">
        <v>45657</v>
      </c>
      <c r="D3413" t="inlineStr">
        <is>
          <t>VÄSTERNORRLANDS LÄN</t>
        </is>
      </c>
      <c r="E3413" t="inlineStr">
        <is>
          <t>HÄRNÖSAND</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68068-2020</t>
        </is>
      </c>
      <c r="B3414" s="1" t="n">
        <v>44183</v>
      </c>
      <c r="C3414" s="1" t="n">
        <v>45657</v>
      </c>
      <c r="D3414" t="inlineStr">
        <is>
          <t>VÄSTERNORRLANDS LÄN</t>
        </is>
      </c>
      <c r="E3414" t="inlineStr">
        <is>
          <t>ÖRNSKÖLDSVIK</t>
        </is>
      </c>
      <c r="F3414" t="inlineStr">
        <is>
          <t>Holmen skog AB</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68286-2020</t>
        </is>
      </c>
      <c r="B3415" s="1" t="n">
        <v>44183</v>
      </c>
      <c r="C3415" s="1" t="n">
        <v>45657</v>
      </c>
      <c r="D3415" t="inlineStr">
        <is>
          <t>VÄSTERNORRLANDS LÄN</t>
        </is>
      </c>
      <c r="E3415" t="inlineStr">
        <is>
          <t>SUNDSVALL</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68285-2020</t>
        </is>
      </c>
      <c r="B3416" s="1" t="n">
        <v>44183</v>
      </c>
      <c r="C3416" s="1" t="n">
        <v>45657</v>
      </c>
      <c r="D3416" t="inlineStr">
        <is>
          <t>VÄSTERNORRLANDS LÄN</t>
        </is>
      </c>
      <c r="E3416" t="inlineStr">
        <is>
          <t>SUNDSVALL</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68292-2020</t>
        </is>
      </c>
      <c r="B3417" s="1" t="n">
        <v>44183</v>
      </c>
      <c r="C3417" s="1" t="n">
        <v>45657</v>
      </c>
      <c r="D3417" t="inlineStr">
        <is>
          <t>VÄSTERNORRLANDS LÄN</t>
        </is>
      </c>
      <c r="E3417" t="inlineStr">
        <is>
          <t>SOLLEFTEÅ</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68299-2020</t>
        </is>
      </c>
      <c r="B3418" s="1" t="n">
        <v>44184</v>
      </c>
      <c r="C3418" s="1" t="n">
        <v>45657</v>
      </c>
      <c r="D3418" t="inlineStr">
        <is>
          <t>VÄSTERNORRLANDS LÄN</t>
        </is>
      </c>
      <c r="E3418" t="inlineStr">
        <is>
          <t>ÖRNSKÖLDSVIK</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68445-2020</t>
        </is>
      </c>
      <c r="B3419" s="1" t="n">
        <v>44186</v>
      </c>
      <c r="C3419" s="1" t="n">
        <v>45657</v>
      </c>
      <c r="D3419" t="inlineStr">
        <is>
          <t>VÄSTERNORRLANDS LÄN</t>
        </is>
      </c>
      <c r="E3419" t="inlineStr">
        <is>
          <t>KRAMFORS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68378-2020</t>
        </is>
      </c>
      <c r="B3420" s="1" t="n">
        <v>44186</v>
      </c>
      <c r="C3420" s="1" t="n">
        <v>45657</v>
      </c>
      <c r="D3420" t="inlineStr">
        <is>
          <t>VÄSTERNORRLANDS LÄN</t>
        </is>
      </c>
      <c r="E3420" t="inlineStr">
        <is>
          <t>ÅNGE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68570-2020</t>
        </is>
      </c>
      <c r="B3421" s="1" t="n">
        <v>44186</v>
      </c>
      <c r="C3421" s="1" t="n">
        <v>45657</v>
      </c>
      <c r="D3421" t="inlineStr">
        <is>
          <t>VÄSTERNORRLANDS LÄN</t>
        </is>
      </c>
      <c r="E3421" t="inlineStr">
        <is>
          <t>SOLLEFTEÅ</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68652-2020</t>
        </is>
      </c>
      <c r="B3422" s="1" t="n">
        <v>44186</v>
      </c>
      <c r="C3422" s="1" t="n">
        <v>45657</v>
      </c>
      <c r="D3422" t="inlineStr">
        <is>
          <t>VÄSTERNORRLANDS LÄN</t>
        </is>
      </c>
      <c r="E3422" t="inlineStr">
        <is>
          <t>SOLLEFTEÅ</t>
        </is>
      </c>
      <c r="F3422" t="inlineStr">
        <is>
          <t>SCA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68647-2020</t>
        </is>
      </c>
      <c r="B3423" s="1" t="n">
        <v>44186</v>
      </c>
      <c r="C3423" s="1" t="n">
        <v>45657</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68648-2020</t>
        </is>
      </c>
      <c r="B3424" s="1" t="n">
        <v>44186</v>
      </c>
      <c r="C3424" s="1" t="n">
        <v>45657</v>
      </c>
      <c r="D3424" t="inlineStr">
        <is>
          <t>VÄSTERNORRLANDS LÄN</t>
        </is>
      </c>
      <c r="E3424" t="inlineStr">
        <is>
          <t>SOLLEFTEÅ</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68656-2020</t>
        </is>
      </c>
      <c r="B3425" s="1" t="n">
        <v>44186</v>
      </c>
      <c r="C3425" s="1" t="n">
        <v>45657</v>
      </c>
      <c r="D3425" t="inlineStr">
        <is>
          <t>VÄSTERNORRLANDS LÄN</t>
        </is>
      </c>
      <c r="E3425" t="inlineStr">
        <is>
          <t>SOLLEFTEÅ</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68715-2020</t>
        </is>
      </c>
      <c r="B3426" s="1" t="n">
        <v>44187</v>
      </c>
      <c r="C3426" s="1" t="n">
        <v>45657</v>
      </c>
      <c r="D3426" t="inlineStr">
        <is>
          <t>VÄSTERNORRLANDS LÄN</t>
        </is>
      </c>
      <c r="E3426" t="inlineStr">
        <is>
          <t>ÅNGE</t>
        </is>
      </c>
      <c r="G3426" t="n">
        <v>19.1</v>
      </c>
      <c r="H3426" t="n">
        <v>0</v>
      </c>
      <c r="I3426" t="n">
        <v>0</v>
      </c>
      <c r="J3426" t="n">
        <v>0</v>
      </c>
      <c r="K3426" t="n">
        <v>0</v>
      </c>
      <c r="L3426" t="n">
        <v>0</v>
      </c>
      <c r="M3426" t="n">
        <v>0</v>
      </c>
      <c r="N3426" t="n">
        <v>0</v>
      </c>
      <c r="O3426" t="n">
        <v>0</v>
      </c>
      <c r="P3426" t="n">
        <v>0</v>
      </c>
      <c r="Q3426" t="n">
        <v>0</v>
      </c>
      <c r="R3426" s="2" t="inlineStr"/>
    </row>
    <row r="3427" ht="15" customHeight="1">
      <c r="A3427" t="inlineStr">
        <is>
          <t>A 68711-2020</t>
        </is>
      </c>
      <c r="B3427" s="1" t="n">
        <v>44187</v>
      </c>
      <c r="C3427" s="1" t="n">
        <v>45657</v>
      </c>
      <c r="D3427" t="inlineStr">
        <is>
          <t>VÄSTERNORRLANDS LÄN</t>
        </is>
      </c>
      <c r="E3427" t="inlineStr">
        <is>
          <t>ÖRNSKÖLDSVIK</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68782-2020</t>
        </is>
      </c>
      <c r="B3428" s="1" t="n">
        <v>44187</v>
      </c>
      <c r="C3428" s="1" t="n">
        <v>45657</v>
      </c>
      <c r="D3428" t="inlineStr">
        <is>
          <t>VÄSTERNORRLANDS LÄN</t>
        </is>
      </c>
      <c r="E3428" t="inlineStr">
        <is>
          <t>ÖRNSKÖLDSVIK</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68812-2020</t>
        </is>
      </c>
      <c r="B3429" s="1" t="n">
        <v>44187</v>
      </c>
      <c r="C3429" s="1" t="n">
        <v>45657</v>
      </c>
      <c r="D3429" t="inlineStr">
        <is>
          <t>VÄSTERNORRLANDS LÄN</t>
        </is>
      </c>
      <c r="E3429" t="inlineStr">
        <is>
          <t>ÅNGE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69326-2020</t>
        </is>
      </c>
      <c r="B3430" s="1" t="n">
        <v>44188</v>
      </c>
      <c r="C3430" s="1" t="n">
        <v>45657</v>
      </c>
      <c r="D3430" t="inlineStr">
        <is>
          <t>VÄSTERNORRLANDS LÄN</t>
        </is>
      </c>
      <c r="E3430" t="inlineStr">
        <is>
          <t>HÄRNÖSAND</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69172-2020</t>
        </is>
      </c>
      <c r="B3431" s="1" t="n">
        <v>44188</v>
      </c>
      <c r="C3431" s="1" t="n">
        <v>45657</v>
      </c>
      <c r="D3431" t="inlineStr">
        <is>
          <t>VÄSTERNORRLANDS LÄN</t>
        </is>
      </c>
      <c r="E3431" t="inlineStr">
        <is>
          <t>SUNDSVALL</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69203-2020</t>
        </is>
      </c>
      <c r="B3432" s="1" t="n">
        <v>44191</v>
      </c>
      <c r="C3432" s="1" t="n">
        <v>45657</v>
      </c>
      <c r="D3432" t="inlineStr">
        <is>
          <t>VÄSTERNORRLANDS LÄN</t>
        </is>
      </c>
      <c r="E3432" t="inlineStr">
        <is>
          <t>TIMRÅ</t>
        </is>
      </c>
      <c r="F3432" t="inlineStr">
        <is>
          <t>SCA</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69225-2020</t>
        </is>
      </c>
      <c r="B3433" s="1" t="n">
        <v>44192</v>
      </c>
      <c r="C3433" s="1" t="n">
        <v>45657</v>
      </c>
      <c r="D3433" t="inlineStr">
        <is>
          <t>VÄSTERNORRLANDS LÄN</t>
        </is>
      </c>
      <c r="E3433" t="inlineStr">
        <is>
          <t>HÄRNÖSAND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69365-2020</t>
        </is>
      </c>
      <c r="B3434" s="1" t="n">
        <v>44193</v>
      </c>
      <c r="C3434" s="1" t="n">
        <v>45657</v>
      </c>
      <c r="D3434" t="inlineStr">
        <is>
          <t>VÄSTERNORRLANDS LÄN</t>
        </is>
      </c>
      <c r="E3434" t="inlineStr">
        <is>
          <t>KRAMFORS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69271-2020</t>
        </is>
      </c>
      <c r="B3435" s="1" t="n">
        <v>44193</v>
      </c>
      <c r="C3435" s="1" t="n">
        <v>45657</v>
      </c>
      <c r="D3435" t="inlineStr">
        <is>
          <t>VÄSTERNORRLANDS LÄN</t>
        </is>
      </c>
      <c r="E3435" t="inlineStr">
        <is>
          <t>ÅNGE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69436-2020</t>
        </is>
      </c>
      <c r="B3436" s="1" t="n">
        <v>44193</v>
      </c>
      <c r="C3436" s="1" t="n">
        <v>45657</v>
      </c>
      <c r="D3436" t="inlineStr">
        <is>
          <t>VÄSTERNORRLANDS LÄN</t>
        </is>
      </c>
      <c r="E3436" t="inlineStr">
        <is>
          <t>SOLLEFTEÅ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272-2021</t>
        </is>
      </c>
      <c r="B3437" s="1" t="n">
        <v>44200</v>
      </c>
      <c r="C3437" s="1" t="n">
        <v>45657</v>
      </c>
      <c r="D3437" t="inlineStr">
        <is>
          <t>VÄSTERNORRLANDS LÄN</t>
        </is>
      </c>
      <c r="E3437" t="inlineStr">
        <is>
          <t>SOLLEFTEÅ</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302-2021</t>
        </is>
      </c>
      <c r="B3438" s="1" t="n">
        <v>44201</v>
      </c>
      <c r="C3438" s="1" t="n">
        <v>45657</v>
      </c>
      <c r="D3438" t="inlineStr">
        <is>
          <t>VÄSTERNORRLANDS LÄN</t>
        </is>
      </c>
      <c r="E3438" t="inlineStr">
        <is>
          <t>KRAMFORS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444-2021</t>
        </is>
      </c>
      <c r="B3439" s="1" t="n">
        <v>44201</v>
      </c>
      <c r="C3439" s="1" t="n">
        <v>45657</v>
      </c>
      <c r="D3439" t="inlineStr">
        <is>
          <t>VÄSTERNORRLANDS LÄN</t>
        </is>
      </c>
      <c r="E3439" t="inlineStr">
        <is>
          <t>SUNDSVALL</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301-2021</t>
        </is>
      </c>
      <c r="B3440" s="1" t="n">
        <v>44201</v>
      </c>
      <c r="C3440" s="1" t="n">
        <v>45657</v>
      </c>
      <c r="D3440" t="inlineStr">
        <is>
          <t>VÄSTERNORRLANDS LÄN</t>
        </is>
      </c>
      <c r="E3440" t="inlineStr">
        <is>
          <t>KRAMFORS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731-2021</t>
        </is>
      </c>
      <c r="B3441" s="1" t="n">
        <v>44203</v>
      </c>
      <c r="C3441" s="1" t="n">
        <v>45657</v>
      </c>
      <c r="D3441" t="inlineStr">
        <is>
          <t>VÄSTERNORRLANDS LÄN</t>
        </is>
      </c>
      <c r="E3441" t="inlineStr">
        <is>
          <t>TIMRÅ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695-2021</t>
        </is>
      </c>
      <c r="B3442" s="1" t="n">
        <v>44203</v>
      </c>
      <c r="C3442" s="1" t="n">
        <v>45657</v>
      </c>
      <c r="D3442" t="inlineStr">
        <is>
          <t>VÄSTERNORRLANDS LÄN</t>
        </is>
      </c>
      <c r="E3442" t="inlineStr">
        <is>
          <t>SUNDSVALL</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691-2021</t>
        </is>
      </c>
      <c r="B3443" s="1" t="n">
        <v>44203</v>
      </c>
      <c r="C3443" s="1" t="n">
        <v>45657</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838-2021</t>
        </is>
      </c>
      <c r="B3444" s="1" t="n">
        <v>44204</v>
      </c>
      <c r="C3444" s="1" t="n">
        <v>45657</v>
      </c>
      <c r="D3444" t="inlineStr">
        <is>
          <t>VÄSTERNORRLANDS LÄN</t>
        </is>
      </c>
      <c r="E3444" t="inlineStr">
        <is>
          <t>ÖRNSKÖLDSVIK</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906-2021</t>
        </is>
      </c>
      <c r="B3445" s="1" t="n">
        <v>44207</v>
      </c>
      <c r="C3445" s="1" t="n">
        <v>45657</v>
      </c>
      <c r="D3445" t="inlineStr">
        <is>
          <t>VÄSTERNORRLANDS LÄN</t>
        </is>
      </c>
      <c r="E3445" t="inlineStr">
        <is>
          <t>ÖRNSKÖLDSVIK</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1010-2021</t>
        </is>
      </c>
      <c r="B3446" s="1" t="n">
        <v>44207</v>
      </c>
      <c r="C3446" s="1" t="n">
        <v>45657</v>
      </c>
      <c r="D3446" t="inlineStr">
        <is>
          <t>VÄSTERNORRLANDS LÄN</t>
        </is>
      </c>
      <c r="E3446" t="inlineStr">
        <is>
          <t>KRAMFORS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1013-2021</t>
        </is>
      </c>
      <c r="B3447" s="1" t="n">
        <v>44207</v>
      </c>
      <c r="C3447" s="1" t="n">
        <v>45657</v>
      </c>
      <c r="D3447" t="inlineStr">
        <is>
          <t>VÄSTERNORRLANDS LÄN</t>
        </is>
      </c>
      <c r="E3447" t="inlineStr">
        <is>
          <t>KRAMFORS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1203-2021</t>
        </is>
      </c>
      <c r="B3448" s="1" t="n">
        <v>44207</v>
      </c>
      <c r="C3448" s="1" t="n">
        <v>45657</v>
      </c>
      <c r="D3448" t="inlineStr">
        <is>
          <t>VÄSTERNORRLANDS LÄN</t>
        </is>
      </c>
      <c r="E3448" t="inlineStr">
        <is>
          <t>KRAMFORS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1224-2021</t>
        </is>
      </c>
      <c r="B3449" s="1" t="n">
        <v>44207</v>
      </c>
      <c r="C3449" s="1" t="n">
        <v>45657</v>
      </c>
      <c r="D3449" t="inlineStr">
        <is>
          <t>VÄSTERNORRLANDS LÄN</t>
        </is>
      </c>
      <c r="E3449" t="inlineStr">
        <is>
          <t>ÖRNSKÖLDSVIK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1205-2021</t>
        </is>
      </c>
      <c r="B3450" s="1" t="n">
        <v>44207</v>
      </c>
      <c r="C3450" s="1" t="n">
        <v>45657</v>
      </c>
      <c r="D3450" t="inlineStr">
        <is>
          <t>VÄSTERNORRLANDS LÄN</t>
        </is>
      </c>
      <c r="E3450" t="inlineStr">
        <is>
          <t>ÖRNSKÖLDSVIK</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1282-2021</t>
        </is>
      </c>
      <c r="B3451" s="1" t="n">
        <v>44207</v>
      </c>
      <c r="C3451" s="1" t="n">
        <v>45657</v>
      </c>
      <c r="D3451" t="inlineStr">
        <is>
          <t>VÄSTERNORRLANDS LÄN</t>
        </is>
      </c>
      <c r="E3451" t="inlineStr">
        <is>
          <t>KRAMFORS</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1174-2021</t>
        </is>
      </c>
      <c r="B3452" s="1" t="n">
        <v>44207</v>
      </c>
      <c r="C3452" s="1" t="n">
        <v>45657</v>
      </c>
      <c r="D3452" t="inlineStr">
        <is>
          <t>VÄSTERNORRLANDS LÄN</t>
        </is>
      </c>
      <c r="E3452" t="inlineStr">
        <is>
          <t>SUNDSVALL</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1480-2021</t>
        </is>
      </c>
      <c r="B3453" s="1" t="n">
        <v>44208</v>
      </c>
      <c r="C3453" s="1" t="n">
        <v>45657</v>
      </c>
      <c r="D3453" t="inlineStr">
        <is>
          <t>VÄSTERNORRLANDS LÄN</t>
        </is>
      </c>
      <c r="E3453" t="inlineStr">
        <is>
          <t>SUNDSVALL</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1473-2021</t>
        </is>
      </c>
      <c r="B3454" s="1" t="n">
        <v>44208</v>
      </c>
      <c r="C3454" s="1" t="n">
        <v>45657</v>
      </c>
      <c r="D3454" t="inlineStr">
        <is>
          <t>VÄSTERNORRLANDS LÄN</t>
        </is>
      </c>
      <c r="E3454" t="inlineStr">
        <is>
          <t>SUNDSVALL</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1555-2021</t>
        </is>
      </c>
      <c r="B3455" s="1" t="n">
        <v>44209</v>
      </c>
      <c r="C3455" s="1" t="n">
        <v>45657</v>
      </c>
      <c r="D3455" t="inlineStr">
        <is>
          <t>VÄSTERNORRLANDS LÄN</t>
        </is>
      </c>
      <c r="E3455" t="inlineStr">
        <is>
          <t>TIMRÅ</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1561-2021</t>
        </is>
      </c>
      <c r="B3456" s="1" t="n">
        <v>44209</v>
      </c>
      <c r="C3456" s="1" t="n">
        <v>45657</v>
      </c>
      <c r="D3456" t="inlineStr">
        <is>
          <t>VÄSTERNORRLANDS LÄN</t>
        </is>
      </c>
      <c r="E3456" t="inlineStr">
        <is>
          <t>SUNDSVALL</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1559-2021</t>
        </is>
      </c>
      <c r="B3457" s="1" t="n">
        <v>44209</v>
      </c>
      <c r="C3457" s="1" t="n">
        <v>45657</v>
      </c>
      <c r="D3457" t="inlineStr">
        <is>
          <t>VÄSTERNORRLANDS LÄN</t>
        </is>
      </c>
      <c r="E3457" t="inlineStr">
        <is>
          <t>TIMRÅ</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1776-2021</t>
        </is>
      </c>
      <c r="B3458" s="1" t="n">
        <v>44209</v>
      </c>
      <c r="C3458" s="1" t="n">
        <v>45657</v>
      </c>
      <c r="D3458" t="inlineStr">
        <is>
          <t>VÄSTERNORRLANDS LÄN</t>
        </is>
      </c>
      <c r="E3458" t="inlineStr">
        <is>
          <t>KRAMFORS</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1858-2021</t>
        </is>
      </c>
      <c r="B3459" s="1" t="n">
        <v>44210</v>
      </c>
      <c r="C3459" s="1" t="n">
        <v>45657</v>
      </c>
      <c r="D3459" t="inlineStr">
        <is>
          <t>VÄSTERNORRLANDS LÄN</t>
        </is>
      </c>
      <c r="E3459" t="inlineStr">
        <is>
          <t>SOLLEFTEÅ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2077-2021</t>
        </is>
      </c>
      <c r="B3460" s="1" t="n">
        <v>44210</v>
      </c>
      <c r="C3460" s="1" t="n">
        <v>45657</v>
      </c>
      <c r="D3460" t="inlineStr">
        <is>
          <t>VÄSTERNORRLANDS LÄN</t>
        </is>
      </c>
      <c r="E3460" t="inlineStr">
        <is>
          <t>SOLLEFTEÅ</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2022-2021</t>
        </is>
      </c>
      <c r="B3461" s="1" t="n">
        <v>44210</v>
      </c>
      <c r="C3461" s="1" t="n">
        <v>45657</v>
      </c>
      <c r="D3461" t="inlineStr">
        <is>
          <t>VÄSTERNORRLANDS LÄN</t>
        </is>
      </c>
      <c r="E3461" t="inlineStr">
        <is>
          <t>KRAMFORS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2284-2021</t>
        </is>
      </c>
      <c r="B3462" s="1" t="n">
        <v>44211</v>
      </c>
      <c r="C3462" s="1" t="n">
        <v>45657</v>
      </c>
      <c r="D3462" t="inlineStr">
        <is>
          <t>VÄSTERNORRLANDS LÄN</t>
        </is>
      </c>
      <c r="E3462" t="inlineStr">
        <is>
          <t>TIMRÅ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2289-2021</t>
        </is>
      </c>
      <c r="B3463" s="1" t="n">
        <v>44211</v>
      </c>
      <c r="C3463" s="1" t="n">
        <v>45657</v>
      </c>
      <c r="D3463" t="inlineStr">
        <is>
          <t>VÄSTERNORRLANDS LÄN</t>
        </is>
      </c>
      <c r="E3463" t="inlineStr">
        <is>
          <t>KRAMFORS</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2233-2021</t>
        </is>
      </c>
      <c r="B3464" s="1" t="n">
        <v>44211</v>
      </c>
      <c r="C3464" s="1" t="n">
        <v>45657</v>
      </c>
      <c r="D3464" t="inlineStr">
        <is>
          <t>VÄSTERNORRLANDS LÄN</t>
        </is>
      </c>
      <c r="E3464" t="inlineStr">
        <is>
          <t>SUNDSVALL</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2487-2021</t>
        </is>
      </c>
      <c r="B3465" s="1" t="n">
        <v>44211</v>
      </c>
      <c r="C3465" s="1" t="n">
        <v>45657</v>
      </c>
      <c r="D3465" t="inlineStr">
        <is>
          <t>VÄSTERNORRLANDS LÄN</t>
        </is>
      </c>
      <c r="E3465" t="inlineStr">
        <is>
          <t>SOLLEFTEÅ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2461-2021</t>
        </is>
      </c>
      <c r="B3466" s="1" t="n">
        <v>44213</v>
      </c>
      <c r="C3466" s="1" t="n">
        <v>45657</v>
      </c>
      <c r="D3466" t="inlineStr">
        <is>
          <t>VÄSTERNORRLANDS LÄN</t>
        </is>
      </c>
      <c r="E3466" t="inlineStr">
        <is>
          <t>ÖRNSKÖLDSVIK</t>
        </is>
      </c>
      <c r="G3466" t="n">
        <v>16.1</v>
      </c>
      <c r="H3466" t="n">
        <v>0</v>
      </c>
      <c r="I3466" t="n">
        <v>0</v>
      </c>
      <c r="J3466" t="n">
        <v>0</v>
      </c>
      <c r="K3466" t="n">
        <v>0</v>
      </c>
      <c r="L3466" t="n">
        <v>0</v>
      </c>
      <c r="M3466" t="n">
        <v>0</v>
      </c>
      <c r="N3466" t="n">
        <v>0</v>
      </c>
      <c r="O3466" t="n">
        <v>0</v>
      </c>
      <c r="P3466" t="n">
        <v>0</v>
      </c>
      <c r="Q3466" t="n">
        <v>0</v>
      </c>
      <c r="R3466" s="2" t="inlineStr"/>
    </row>
    <row r="3467" ht="15" customHeight="1">
      <c r="A3467" t="inlineStr">
        <is>
          <t>A 2417-2021</t>
        </is>
      </c>
      <c r="B3467" s="1" t="n">
        <v>44214</v>
      </c>
      <c r="C3467" s="1" t="n">
        <v>45657</v>
      </c>
      <c r="D3467" t="inlineStr">
        <is>
          <t>VÄSTERNORRLANDS LÄN</t>
        </is>
      </c>
      <c r="E3467" t="inlineStr">
        <is>
          <t>ÖRNSKÖLDSVIK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2441-2021</t>
        </is>
      </c>
      <c r="B3468" s="1" t="n">
        <v>44214</v>
      </c>
      <c r="C3468" s="1" t="n">
        <v>45657</v>
      </c>
      <c r="D3468" t="inlineStr">
        <is>
          <t>VÄSTERNORRLANDS LÄN</t>
        </is>
      </c>
      <c r="E3468" t="inlineStr">
        <is>
          <t>ÖRNSKÖLDSVIK</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2497-2021</t>
        </is>
      </c>
      <c r="B3469" s="1" t="n">
        <v>44214</v>
      </c>
      <c r="C3469" s="1" t="n">
        <v>45657</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2327-2021</t>
        </is>
      </c>
      <c r="B3470" s="1" t="n">
        <v>44214</v>
      </c>
      <c r="C3470" s="1" t="n">
        <v>45657</v>
      </c>
      <c r="D3470" t="inlineStr">
        <is>
          <t>VÄSTERNORRLANDS LÄN</t>
        </is>
      </c>
      <c r="E3470" t="inlineStr">
        <is>
          <t>ÅNGE</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2656-2021</t>
        </is>
      </c>
      <c r="B3471" s="1" t="n">
        <v>44215</v>
      </c>
      <c r="C3471" s="1" t="n">
        <v>45657</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2666-2021</t>
        </is>
      </c>
      <c r="B3472" s="1" t="n">
        <v>44215</v>
      </c>
      <c r="C3472" s="1" t="n">
        <v>45657</v>
      </c>
      <c r="D3472" t="inlineStr">
        <is>
          <t>VÄSTERNORRLANDS LÄN</t>
        </is>
      </c>
      <c r="E3472" t="inlineStr">
        <is>
          <t>ÖRNSKÖLDSVIK</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2677-2021</t>
        </is>
      </c>
      <c r="B3473" s="1" t="n">
        <v>44215</v>
      </c>
      <c r="C3473" s="1" t="n">
        <v>45657</v>
      </c>
      <c r="D3473" t="inlineStr">
        <is>
          <t>VÄSTERNORRLANDS LÄN</t>
        </is>
      </c>
      <c r="E3473" t="inlineStr">
        <is>
          <t>KRAMFORS</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2835-2021</t>
        </is>
      </c>
      <c r="B3474" s="1" t="n">
        <v>44215</v>
      </c>
      <c r="C3474" s="1" t="n">
        <v>45657</v>
      </c>
      <c r="D3474" t="inlineStr">
        <is>
          <t>VÄSTERNORRLANDS LÄN</t>
        </is>
      </c>
      <c r="E3474" t="inlineStr">
        <is>
          <t>SUNDSVALL</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2836-2021</t>
        </is>
      </c>
      <c r="B3475" s="1" t="n">
        <v>44215</v>
      </c>
      <c r="C3475" s="1" t="n">
        <v>45657</v>
      </c>
      <c r="D3475" t="inlineStr">
        <is>
          <t>VÄSTERNORRLANDS LÄN</t>
        </is>
      </c>
      <c r="E3475" t="inlineStr">
        <is>
          <t>SUNDSVALL</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2936-2021</t>
        </is>
      </c>
      <c r="B3476" s="1" t="n">
        <v>44216</v>
      </c>
      <c r="C3476" s="1" t="n">
        <v>45657</v>
      </c>
      <c r="D3476" t="inlineStr">
        <is>
          <t>VÄSTERNORRLANDS LÄN</t>
        </is>
      </c>
      <c r="E3476" t="inlineStr">
        <is>
          <t>ÖRNSKÖLDSVIK</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3830-2021</t>
        </is>
      </c>
      <c r="B3477" s="1" t="n">
        <v>44216</v>
      </c>
      <c r="C3477" s="1" t="n">
        <v>45657</v>
      </c>
      <c r="D3477" t="inlineStr">
        <is>
          <t>VÄSTERNORRLANDS LÄN</t>
        </is>
      </c>
      <c r="E3477" t="inlineStr">
        <is>
          <t>KRAMFORS</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3351-2021</t>
        </is>
      </c>
      <c r="B3478" s="1" t="n">
        <v>44217</v>
      </c>
      <c r="C3478" s="1" t="n">
        <v>45657</v>
      </c>
      <c r="D3478" t="inlineStr">
        <is>
          <t>VÄSTERNORRLANDS LÄN</t>
        </is>
      </c>
      <c r="E3478" t="inlineStr">
        <is>
          <t>SUNDSVALL</t>
        </is>
      </c>
      <c r="F3478" t="inlineStr">
        <is>
          <t>SCA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3286-2021</t>
        </is>
      </c>
      <c r="B3479" s="1" t="n">
        <v>44217</v>
      </c>
      <c r="C3479" s="1" t="n">
        <v>45657</v>
      </c>
      <c r="D3479" t="inlineStr">
        <is>
          <t>VÄSTERNORRLANDS LÄN</t>
        </is>
      </c>
      <c r="E3479" t="inlineStr">
        <is>
          <t>ÖRNSKÖLDSVIK</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3352-2021</t>
        </is>
      </c>
      <c r="B3480" s="1" t="n">
        <v>44217</v>
      </c>
      <c r="C3480" s="1" t="n">
        <v>45657</v>
      </c>
      <c r="D3480" t="inlineStr">
        <is>
          <t>VÄSTERNORRLANDS LÄN</t>
        </is>
      </c>
      <c r="E3480" t="inlineStr">
        <is>
          <t>ÅNGE</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3441-2021</t>
        </is>
      </c>
      <c r="B3481" s="1" t="n">
        <v>44218</v>
      </c>
      <c r="C3481" s="1" t="n">
        <v>45657</v>
      </c>
      <c r="D3481" t="inlineStr">
        <is>
          <t>VÄSTERNORRLANDS LÄN</t>
        </is>
      </c>
      <c r="E3481" t="inlineStr">
        <is>
          <t>SOLLEFTEÅ</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4172-2021</t>
        </is>
      </c>
      <c r="B3482" s="1" t="n">
        <v>44218</v>
      </c>
      <c r="C3482" s="1" t="n">
        <v>45657</v>
      </c>
      <c r="D3482" t="inlineStr">
        <is>
          <t>VÄSTERNORRLANDS LÄN</t>
        </is>
      </c>
      <c r="E3482" t="inlineStr">
        <is>
          <t>ÖRNSKÖLDSVIK</t>
        </is>
      </c>
      <c r="F3482" t="inlineStr">
        <is>
          <t>Kyrkan</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3604-2021</t>
        </is>
      </c>
      <c r="B3483" s="1" t="n">
        <v>44221</v>
      </c>
      <c r="C3483" s="1" t="n">
        <v>45657</v>
      </c>
      <c r="D3483" t="inlineStr">
        <is>
          <t>VÄSTERNORRLANDS LÄN</t>
        </is>
      </c>
      <c r="E3483" t="inlineStr">
        <is>
          <t>ÖRNSKÖLDSVIK</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3813-2021</t>
        </is>
      </c>
      <c r="B3484" s="1" t="n">
        <v>44221</v>
      </c>
      <c r="C3484" s="1" t="n">
        <v>45657</v>
      </c>
      <c r="D3484" t="inlineStr">
        <is>
          <t>VÄSTERNORRLANDS LÄN</t>
        </is>
      </c>
      <c r="E3484" t="inlineStr">
        <is>
          <t>HÄRNÖSAND</t>
        </is>
      </c>
      <c r="F3484" t="inlineStr">
        <is>
          <t>Kyrkan</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3754-2021</t>
        </is>
      </c>
      <c r="B3485" s="1" t="n">
        <v>44221</v>
      </c>
      <c r="C3485" s="1" t="n">
        <v>45657</v>
      </c>
      <c r="D3485" t="inlineStr">
        <is>
          <t>VÄSTERNORRLANDS LÄN</t>
        </is>
      </c>
      <c r="E3485" t="inlineStr">
        <is>
          <t>KRAMFORS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3811-2021</t>
        </is>
      </c>
      <c r="B3486" s="1" t="n">
        <v>44221</v>
      </c>
      <c r="C3486" s="1" t="n">
        <v>45657</v>
      </c>
      <c r="D3486" t="inlineStr">
        <is>
          <t>VÄSTERNORRLANDS LÄN</t>
        </is>
      </c>
      <c r="E3486" t="inlineStr">
        <is>
          <t>SUNDSVALL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3820-2021</t>
        </is>
      </c>
      <c r="B3487" s="1" t="n">
        <v>44221</v>
      </c>
      <c r="C3487" s="1" t="n">
        <v>45657</v>
      </c>
      <c r="D3487" t="inlineStr">
        <is>
          <t>VÄSTERNORRLANDS LÄN</t>
        </is>
      </c>
      <c r="E3487" t="inlineStr">
        <is>
          <t>HÄRNÖSAND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4002-2021</t>
        </is>
      </c>
      <c r="B3488" s="1" t="n">
        <v>44221</v>
      </c>
      <c r="C3488" s="1" t="n">
        <v>45657</v>
      </c>
      <c r="D3488" t="inlineStr">
        <is>
          <t>VÄSTERNORRLANDS LÄN</t>
        </is>
      </c>
      <c r="E3488" t="inlineStr">
        <is>
          <t>ÖRNSKÖLDSVIK</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4052-2021</t>
        </is>
      </c>
      <c r="B3489" s="1" t="n">
        <v>44221</v>
      </c>
      <c r="C3489" s="1" t="n">
        <v>45657</v>
      </c>
      <c r="D3489" t="inlineStr">
        <is>
          <t>VÄSTERNORRLANDS LÄN</t>
        </is>
      </c>
      <c r="E3489" t="inlineStr">
        <is>
          <t>ÖRNSKÖLDSVIK</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4043-2021</t>
        </is>
      </c>
      <c r="B3490" s="1" t="n">
        <v>44221</v>
      </c>
      <c r="C3490" s="1" t="n">
        <v>45657</v>
      </c>
      <c r="D3490" t="inlineStr">
        <is>
          <t>VÄSTERNORRLANDS LÄN</t>
        </is>
      </c>
      <c r="E3490" t="inlineStr">
        <is>
          <t>ÖRNSKÖLDSVIK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4365-2021</t>
        </is>
      </c>
      <c r="B3491" s="1" t="n">
        <v>44221</v>
      </c>
      <c r="C3491" s="1" t="n">
        <v>45657</v>
      </c>
      <c r="D3491" t="inlineStr">
        <is>
          <t>VÄSTERNORRLANDS LÄN</t>
        </is>
      </c>
      <c r="E3491" t="inlineStr">
        <is>
          <t>SUNDSVALL</t>
        </is>
      </c>
      <c r="F3491" t="inlineStr">
        <is>
          <t>Kommuner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3821-2021</t>
        </is>
      </c>
      <c r="B3492" s="1" t="n">
        <v>44222</v>
      </c>
      <c r="C3492" s="1" t="n">
        <v>45657</v>
      </c>
      <c r="D3492" t="inlineStr">
        <is>
          <t>VÄSTERNORRLANDS LÄN</t>
        </is>
      </c>
      <c r="E3492" t="inlineStr">
        <is>
          <t>SUNDSVALL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3824-2021</t>
        </is>
      </c>
      <c r="B3493" s="1" t="n">
        <v>44222</v>
      </c>
      <c r="C3493" s="1" t="n">
        <v>45657</v>
      </c>
      <c r="D3493" t="inlineStr">
        <is>
          <t>VÄSTERNORRLANDS LÄN</t>
        </is>
      </c>
      <c r="E3493" t="inlineStr">
        <is>
          <t>SUNDSVALL</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4057-2021</t>
        </is>
      </c>
      <c r="B3494" s="1" t="n">
        <v>44222</v>
      </c>
      <c r="C3494" s="1" t="n">
        <v>45657</v>
      </c>
      <c r="D3494" t="inlineStr">
        <is>
          <t>VÄSTERNORRLANDS LÄN</t>
        </is>
      </c>
      <c r="E3494" t="inlineStr">
        <is>
          <t>KRAMFORS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4123-2021</t>
        </is>
      </c>
      <c r="B3495" s="1" t="n">
        <v>44222</v>
      </c>
      <c r="C3495" s="1" t="n">
        <v>45657</v>
      </c>
      <c r="D3495" t="inlineStr">
        <is>
          <t>VÄSTERNORRLANDS LÄN</t>
        </is>
      </c>
      <c r="E3495" t="inlineStr">
        <is>
          <t>SUNDSVALL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4118-2021</t>
        </is>
      </c>
      <c r="B3496" s="1" t="n">
        <v>44222</v>
      </c>
      <c r="C3496" s="1" t="n">
        <v>45657</v>
      </c>
      <c r="D3496" t="inlineStr">
        <is>
          <t>VÄSTERNORRLANDS LÄN</t>
        </is>
      </c>
      <c r="E3496" t="inlineStr">
        <is>
          <t>HÄRNÖSAND</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3822-2021</t>
        </is>
      </c>
      <c r="B3497" s="1" t="n">
        <v>44222</v>
      </c>
      <c r="C3497" s="1" t="n">
        <v>45657</v>
      </c>
      <c r="D3497" t="inlineStr">
        <is>
          <t>VÄSTERNORRLANDS LÄN</t>
        </is>
      </c>
      <c r="E3497" t="inlineStr">
        <is>
          <t>SUNDSVALL</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4127-2021</t>
        </is>
      </c>
      <c r="B3498" s="1" t="n">
        <v>44222</v>
      </c>
      <c r="C3498" s="1" t="n">
        <v>45657</v>
      </c>
      <c r="D3498" t="inlineStr">
        <is>
          <t>VÄSTERNORRLANDS LÄN</t>
        </is>
      </c>
      <c r="E3498" t="inlineStr">
        <is>
          <t>SOLLEFTEÅ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4520-2021</t>
        </is>
      </c>
      <c r="B3499" s="1" t="n">
        <v>44223</v>
      </c>
      <c r="C3499" s="1" t="n">
        <v>45657</v>
      </c>
      <c r="D3499" t="inlineStr">
        <is>
          <t>VÄSTERNORRLANDS LÄN</t>
        </is>
      </c>
      <c r="E3499" t="inlineStr">
        <is>
          <t>ÖRNSKÖLDSVIK</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4659-2021</t>
        </is>
      </c>
      <c r="B3500" s="1" t="n">
        <v>44224</v>
      </c>
      <c r="C3500" s="1" t="n">
        <v>45657</v>
      </c>
      <c r="D3500" t="inlineStr">
        <is>
          <t>VÄSTERNORRLANDS LÄN</t>
        </is>
      </c>
      <c r="E3500" t="inlineStr">
        <is>
          <t>SUNDSVALL</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4664-2021</t>
        </is>
      </c>
      <c r="B3501" s="1" t="n">
        <v>44224</v>
      </c>
      <c r="C3501" s="1" t="n">
        <v>45657</v>
      </c>
      <c r="D3501" t="inlineStr">
        <is>
          <t>VÄSTERNORRLANDS LÄN</t>
        </is>
      </c>
      <c r="E3501" t="inlineStr">
        <is>
          <t>KRAMFORS</t>
        </is>
      </c>
      <c r="F3501" t="inlineStr">
        <is>
          <t>SCA</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4760-2021</t>
        </is>
      </c>
      <c r="B3502" s="1" t="n">
        <v>44225</v>
      </c>
      <c r="C3502" s="1" t="n">
        <v>45657</v>
      </c>
      <c r="D3502" t="inlineStr">
        <is>
          <t>VÄSTERNORRLANDS LÄN</t>
        </is>
      </c>
      <c r="E3502" t="inlineStr">
        <is>
          <t>SUNDSVALL</t>
        </is>
      </c>
      <c r="F3502" t="inlineStr">
        <is>
          <t>Kommuner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5002-2021</t>
        </is>
      </c>
      <c r="B3503" s="1" t="n">
        <v>44225</v>
      </c>
      <c r="C3503" s="1" t="n">
        <v>45657</v>
      </c>
      <c r="D3503" t="inlineStr">
        <is>
          <t>VÄSTERNORRLANDS LÄN</t>
        </is>
      </c>
      <c r="E3503" t="inlineStr">
        <is>
          <t>ÖRNSKÖLDSVIK</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5276-2021</t>
        </is>
      </c>
      <c r="B3504" s="1" t="n">
        <v>44225</v>
      </c>
      <c r="C3504" s="1" t="n">
        <v>45657</v>
      </c>
      <c r="D3504" t="inlineStr">
        <is>
          <t>VÄSTERNORRLANDS LÄN</t>
        </is>
      </c>
      <c r="E3504" t="inlineStr">
        <is>
          <t>ÖRNSKÖLDSVIK</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5210-2021</t>
        </is>
      </c>
      <c r="B3505" s="1" t="n">
        <v>44228</v>
      </c>
      <c r="C3505" s="1" t="n">
        <v>45657</v>
      </c>
      <c r="D3505" t="inlineStr">
        <is>
          <t>VÄSTERNORRLANDS LÄN</t>
        </is>
      </c>
      <c r="E3505" t="inlineStr">
        <is>
          <t>KRAMFORS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5209-2021</t>
        </is>
      </c>
      <c r="B3506" s="1" t="n">
        <v>44228</v>
      </c>
      <c r="C3506" s="1" t="n">
        <v>45657</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5227-2021</t>
        </is>
      </c>
      <c r="B3507" s="1" t="n">
        <v>44228</v>
      </c>
      <c r="C3507" s="1" t="n">
        <v>45657</v>
      </c>
      <c r="D3507" t="inlineStr">
        <is>
          <t>VÄSTERNORRLANDS LÄN</t>
        </is>
      </c>
      <c r="E3507" t="inlineStr">
        <is>
          <t>ÖRNSKÖLDSVIK</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5684-2021</t>
        </is>
      </c>
      <c r="B3508" s="1" t="n">
        <v>44229</v>
      </c>
      <c r="C3508" s="1" t="n">
        <v>45657</v>
      </c>
      <c r="D3508" t="inlineStr">
        <is>
          <t>VÄSTERNORRLANDS LÄN</t>
        </is>
      </c>
      <c r="E3508" t="inlineStr">
        <is>
          <t>KRAMFORS</t>
        </is>
      </c>
      <c r="F3508" t="inlineStr">
        <is>
          <t>Kyrkan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5638-2021</t>
        </is>
      </c>
      <c r="B3509" s="1" t="n">
        <v>44229</v>
      </c>
      <c r="C3509" s="1" t="n">
        <v>45657</v>
      </c>
      <c r="D3509" t="inlineStr">
        <is>
          <t>VÄSTERNORRLANDS LÄN</t>
        </is>
      </c>
      <c r="E3509" t="inlineStr">
        <is>
          <t>HÄRNÖSAND</t>
        </is>
      </c>
      <c r="F3509" t="inlineStr">
        <is>
          <t>Kyrkan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5799-2021</t>
        </is>
      </c>
      <c r="B3510" s="1" t="n">
        <v>44230</v>
      </c>
      <c r="C3510" s="1" t="n">
        <v>45657</v>
      </c>
      <c r="D3510" t="inlineStr">
        <is>
          <t>VÄSTERNORRLANDS LÄN</t>
        </is>
      </c>
      <c r="E3510" t="inlineStr">
        <is>
          <t>SUNDSVALL</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5798-2021</t>
        </is>
      </c>
      <c r="B3511" s="1" t="n">
        <v>44230</v>
      </c>
      <c r="C3511" s="1" t="n">
        <v>45657</v>
      </c>
      <c r="D3511" t="inlineStr">
        <is>
          <t>VÄSTERNORRLANDS LÄN</t>
        </is>
      </c>
      <c r="E3511" t="inlineStr">
        <is>
          <t>SUNDSVALL</t>
        </is>
      </c>
      <c r="F3511" t="inlineStr">
        <is>
          <t>SCA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5822-2021</t>
        </is>
      </c>
      <c r="B3512" s="1" t="n">
        <v>44230</v>
      </c>
      <c r="C3512" s="1" t="n">
        <v>45657</v>
      </c>
      <c r="D3512" t="inlineStr">
        <is>
          <t>VÄSTERNORRLANDS LÄN</t>
        </is>
      </c>
      <c r="E3512" t="inlineStr">
        <is>
          <t>ÅNGE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5797-2021</t>
        </is>
      </c>
      <c r="B3513" s="1" t="n">
        <v>44230</v>
      </c>
      <c r="C3513" s="1" t="n">
        <v>45657</v>
      </c>
      <c r="D3513" t="inlineStr">
        <is>
          <t>VÄSTERNORRLANDS LÄN</t>
        </is>
      </c>
      <c r="E3513" t="inlineStr">
        <is>
          <t>SUNDSVALL</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5891-2021</t>
        </is>
      </c>
      <c r="B3514" s="1" t="n">
        <v>44231</v>
      </c>
      <c r="C3514" s="1" t="n">
        <v>45657</v>
      </c>
      <c r="D3514" t="inlineStr">
        <is>
          <t>VÄSTERNORRLANDS LÄN</t>
        </is>
      </c>
      <c r="E3514" t="inlineStr">
        <is>
          <t>ÖRNSKÖLDSVIK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5989-2021</t>
        </is>
      </c>
      <c r="B3515" s="1" t="n">
        <v>44231</v>
      </c>
      <c r="C3515" s="1" t="n">
        <v>45657</v>
      </c>
      <c r="D3515" t="inlineStr">
        <is>
          <t>VÄSTERNORRLANDS LÄN</t>
        </is>
      </c>
      <c r="E3515" t="inlineStr">
        <is>
          <t>SOLLEFTEÅ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6005-2021</t>
        </is>
      </c>
      <c r="B3516" s="1" t="n">
        <v>44231</v>
      </c>
      <c r="C3516" s="1" t="n">
        <v>45657</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6009-2021</t>
        </is>
      </c>
      <c r="B3517" s="1" t="n">
        <v>44231</v>
      </c>
      <c r="C3517" s="1" t="n">
        <v>45657</v>
      </c>
      <c r="D3517" t="inlineStr">
        <is>
          <t>VÄSTERNORRLANDS LÄN</t>
        </is>
      </c>
      <c r="E3517" t="inlineStr">
        <is>
          <t>SUNDSVALL</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6220-2021</t>
        </is>
      </c>
      <c r="B3518" s="1" t="n">
        <v>44232</v>
      </c>
      <c r="C3518" s="1" t="n">
        <v>45657</v>
      </c>
      <c r="D3518" t="inlineStr">
        <is>
          <t>VÄSTERNORRLANDS LÄN</t>
        </is>
      </c>
      <c r="E3518" t="inlineStr">
        <is>
          <t>SUNDSVALL</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6326-2021</t>
        </is>
      </c>
      <c r="B3519" s="1" t="n">
        <v>44232</v>
      </c>
      <c r="C3519" s="1" t="n">
        <v>45657</v>
      </c>
      <c r="D3519" t="inlineStr">
        <is>
          <t>VÄSTERNORRLANDS LÄN</t>
        </is>
      </c>
      <c r="E3519" t="inlineStr">
        <is>
          <t>ÖRNSKÖLDSVIK</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6224-2021</t>
        </is>
      </c>
      <c r="B3520" s="1" t="n">
        <v>44235</v>
      </c>
      <c r="C3520" s="1" t="n">
        <v>45657</v>
      </c>
      <c r="D3520" t="inlineStr">
        <is>
          <t>VÄSTERNORRLANDS LÄN</t>
        </is>
      </c>
      <c r="E3520" t="inlineStr">
        <is>
          <t>ÖRNSKÖLDSVIK</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6492-2021</t>
        </is>
      </c>
      <c r="B3521" s="1" t="n">
        <v>44235</v>
      </c>
      <c r="C3521" s="1" t="n">
        <v>45657</v>
      </c>
      <c r="D3521" t="inlineStr">
        <is>
          <t>VÄSTERNORRLANDS LÄN</t>
        </is>
      </c>
      <c r="E3521" t="inlineStr">
        <is>
          <t>KRAMFORS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6487-2021</t>
        </is>
      </c>
      <c r="B3522" s="1" t="n">
        <v>44235</v>
      </c>
      <c r="C3522" s="1" t="n">
        <v>45657</v>
      </c>
      <c r="D3522" t="inlineStr">
        <is>
          <t>VÄSTERNORRLANDS LÄN</t>
        </is>
      </c>
      <c r="E3522" t="inlineStr">
        <is>
          <t>ÅNGE</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6708-2021</t>
        </is>
      </c>
      <c r="B3523" s="1" t="n">
        <v>44236</v>
      </c>
      <c r="C3523" s="1" t="n">
        <v>45657</v>
      </c>
      <c r="D3523" t="inlineStr">
        <is>
          <t>VÄSTERNORRLANDS LÄN</t>
        </is>
      </c>
      <c r="E3523" t="inlineStr">
        <is>
          <t>SUNDSVALL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6571-2021</t>
        </is>
      </c>
      <c r="B3524" s="1" t="n">
        <v>44236</v>
      </c>
      <c r="C3524" s="1" t="n">
        <v>45657</v>
      </c>
      <c r="D3524" t="inlineStr">
        <is>
          <t>VÄSTERNORRLANDS LÄN</t>
        </is>
      </c>
      <c r="E3524" t="inlineStr">
        <is>
          <t>ÖRNSKÖLDSVIK</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6805-2021</t>
        </is>
      </c>
      <c r="B3525" s="1" t="n">
        <v>44236</v>
      </c>
      <c r="C3525" s="1" t="n">
        <v>45657</v>
      </c>
      <c r="D3525" t="inlineStr">
        <is>
          <t>VÄSTERNORRLANDS LÄN</t>
        </is>
      </c>
      <c r="E3525" t="inlineStr">
        <is>
          <t>ÅNGE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6938-2021</t>
        </is>
      </c>
      <c r="B3526" s="1" t="n">
        <v>44237</v>
      </c>
      <c r="C3526" s="1" t="n">
        <v>45657</v>
      </c>
      <c r="D3526" t="inlineStr">
        <is>
          <t>VÄSTERNORRLANDS LÄN</t>
        </is>
      </c>
      <c r="E3526" t="inlineStr">
        <is>
          <t>KRAMFORS</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7367-2021</t>
        </is>
      </c>
      <c r="B3527" s="1" t="n">
        <v>44237</v>
      </c>
      <c r="C3527" s="1" t="n">
        <v>45657</v>
      </c>
      <c r="D3527" t="inlineStr">
        <is>
          <t>VÄSTERNORRLANDS LÄN</t>
        </is>
      </c>
      <c r="E3527" t="inlineStr">
        <is>
          <t>TIMRÅ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7143-2021</t>
        </is>
      </c>
      <c r="B3528" s="1" t="n">
        <v>44237</v>
      </c>
      <c r="C3528" s="1" t="n">
        <v>45657</v>
      </c>
      <c r="D3528" t="inlineStr">
        <is>
          <t>VÄSTERNORRLANDS LÄN</t>
        </is>
      </c>
      <c r="E3528" t="inlineStr">
        <is>
          <t>ÖRNSKÖLDSVIK</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8057-2021</t>
        </is>
      </c>
      <c r="B3529" s="1" t="n">
        <v>44238</v>
      </c>
      <c r="C3529" s="1" t="n">
        <v>45657</v>
      </c>
      <c r="D3529" t="inlineStr">
        <is>
          <t>VÄSTERNORRLANDS LÄN</t>
        </is>
      </c>
      <c r="E3529" t="inlineStr">
        <is>
          <t>ÅNGE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7506-2021</t>
        </is>
      </c>
      <c r="B3530" s="1" t="n">
        <v>44239</v>
      </c>
      <c r="C3530" s="1" t="n">
        <v>45657</v>
      </c>
      <c r="D3530" t="inlineStr">
        <is>
          <t>VÄSTERNORRLANDS LÄN</t>
        </is>
      </c>
      <c r="E3530" t="inlineStr">
        <is>
          <t>ÖRNSKÖLDSVIK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7318-2021</t>
        </is>
      </c>
      <c r="B3531" s="1" t="n">
        <v>44239</v>
      </c>
      <c r="C3531" s="1" t="n">
        <v>45657</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7505-2021</t>
        </is>
      </c>
      <c r="B3532" s="1" t="n">
        <v>44239</v>
      </c>
      <c r="C3532" s="1" t="n">
        <v>45657</v>
      </c>
      <c r="D3532" t="inlineStr">
        <is>
          <t>VÄSTERNORRLANDS LÄN</t>
        </is>
      </c>
      <c r="E3532" t="inlineStr">
        <is>
          <t>ÖRNSKÖLDSVIK</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7658-2021</t>
        </is>
      </c>
      <c r="B3533" s="1" t="n">
        <v>44242</v>
      </c>
      <c r="C3533" s="1" t="n">
        <v>45657</v>
      </c>
      <c r="D3533" t="inlineStr">
        <is>
          <t>VÄSTERNORRLANDS LÄN</t>
        </is>
      </c>
      <c r="E3533" t="inlineStr">
        <is>
          <t>SOLLEFTEÅ</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7639-2021</t>
        </is>
      </c>
      <c r="B3534" s="1" t="n">
        <v>44242</v>
      </c>
      <c r="C3534" s="1" t="n">
        <v>45657</v>
      </c>
      <c r="D3534" t="inlineStr">
        <is>
          <t>VÄSTERNORRLANDS LÄN</t>
        </is>
      </c>
      <c r="E3534" t="inlineStr">
        <is>
          <t>SUNDSVALL</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7638-2021</t>
        </is>
      </c>
      <c r="B3535" s="1" t="n">
        <v>44242</v>
      </c>
      <c r="C3535" s="1" t="n">
        <v>45657</v>
      </c>
      <c r="D3535" t="inlineStr">
        <is>
          <t>VÄSTERNORRLANDS LÄN</t>
        </is>
      </c>
      <c r="E3535" t="inlineStr">
        <is>
          <t>SUNDSVALL</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7659-2021</t>
        </is>
      </c>
      <c r="B3536" s="1" t="n">
        <v>44242</v>
      </c>
      <c r="C3536" s="1" t="n">
        <v>45657</v>
      </c>
      <c r="D3536" t="inlineStr">
        <is>
          <t>VÄSTERNORRLANDS LÄN</t>
        </is>
      </c>
      <c r="E3536" t="inlineStr">
        <is>
          <t>SOLLEFTEÅ</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7691-2021</t>
        </is>
      </c>
      <c r="B3537" s="1" t="n">
        <v>44242</v>
      </c>
      <c r="C3537" s="1" t="n">
        <v>45657</v>
      </c>
      <c r="D3537" t="inlineStr">
        <is>
          <t>VÄSTERNORRLANDS LÄN</t>
        </is>
      </c>
      <c r="E3537" t="inlineStr">
        <is>
          <t>ÖRNSKÖLDSVIK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7875-2021</t>
        </is>
      </c>
      <c r="B3538" s="1" t="n">
        <v>44242</v>
      </c>
      <c r="C3538" s="1" t="n">
        <v>45657</v>
      </c>
      <c r="D3538" t="inlineStr">
        <is>
          <t>VÄSTERNORRLANDS LÄN</t>
        </is>
      </c>
      <c r="E3538" t="inlineStr">
        <is>
          <t>SUNDSVALL</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7857-2021</t>
        </is>
      </c>
      <c r="B3539" s="1" t="n">
        <v>44242</v>
      </c>
      <c r="C3539" s="1" t="n">
        <v>45657</v>
      </c>
      <c r="D3539" t="inlineStr">
        <is>
          <t>VÄSTERNORRLANDS LÄN</t>
        </is>
      </c>
      <c r="E3539" t="inlineStr">
        <is>
          <t>ÅNGE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7862-2021</t>
        </is>
      </c>
      <c r="B3540" s="1" t="n">
        <v>44242</v>
      </c>
      <c r="C3540" s="1" t="n">
        <v>45657</v>
      </c>
      <c r="D3540" t="inlineStr">
        <is>
          <t>VÄSTERNORRLANDS LÄN</t>
        </is>
      </c>
      <c r="E3540" t="inlineStr">
        <is>
          <t>ÖRNSKÖLDSVIK</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7878-2021</t>
        </is>
      </c>
      <c r="B3541" s="1" t="n">
        <v>44242</v>
      </c>
      <c r="C3541" s="1" t="n">
        <v>45657</v>
      </c>
      <c r="D3541" t="inlineStr">
        <is>
          <t>VÄSTERNORRLANDS LÄN</t>
        </is>
      </c>
      <c r="E3541" t="inlineStr">
        <is>
          <t>SUNDSVALL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7906-2021</t>
        </is>
      </c>
      <c r="B3542" s="1" t="n">
        <v>44242</v>
      </c>
      <c r="C3542" s="1" t="n">
        <v>45657</v>
      </c>
      <c r="D3542" t="inlineStr">
        <is>
          <t>VÄSTERNORRLANDS LÄN</t>
        </is>
      </c>
      <c r="E3542" t="inlineStr">
        <is>
          <t>HÄRNÖSAND</t>
        </is>
      </c>
      <c r="G3542" t="n">
        <v>20</v>
      </c>
      <c r="H3542" t="n">
        <v>0</v>
      </c>
      <c r="I3542" t="n">
        <v>0</v>
      </c>
      <c r="J3542" t="n">
        <v>0</v>
      </c>
      <c r="K3542" t="n">
        <v>0</v>
      </c>
      <c r="L3542" t="n">
        <v>0</v>
      </c>
      <c r="M3542" t="n">
        <v>0</v>
      </c>
      <c r="N3542" t="n">
        <v>0</v>
      </c>
      <c r="O3542" t="n">
        <v>0</v>
      </c>
      <c r="P3542" t="n">
        <v>0</v>
      </c>
      <c r="Q3542" t="n">
        <v>0</v>
      </c>
      <c r="R3542" s="2" t="inlineStr"/>
    </row>
    <row r="3543" ht="15" customHeight="1">
      <c r="A3543" t="inlineStr">
        <is>
          <t>A 7889-2021</t>
        </is>
      </c>
      <c r="B3543" s="1" t="n">
        <v>44242</v>
      </c>
      <c r="C3543" s="1" t="n">
        <v>45657</v>
      </c>
      <c r="D3543" t="inlineStr">
        <is>
          <t>VÄSTERNORRLANDS LÄN</t>
        </is>
      </c>
      <c r="E3543" t="inlineStr">
        <is>
          <t>SOLLEFTEÅ</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7899-2021</t>
        </is>
      </c>
      <c r="B3544" s="1" t="n">
        <v>44242</v>
      </c>
      <c r="C3544" s="1" t="n">
        <v>45657</v>
      </c>
      <c r="D3544" t="inlineStr">
        <is>
          <t>VÄSTERNORRLANDS LÄN</t>
        </is>
      </c>
      <c r="E3544" t="inlineStr">
        <is>
          <t>SUNDSVALL</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7879-2021</t>
        </is>
      </c>
      <c r="B3545" s="1" t="n">
        <v>44242</v>
      </c>
      <c r="C3545" s="1" t="n">
        <v>45657</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8078-2021</t>
        </is>
      </c>
      <c r="B3546" s="1" t="n">
        <v>44243</v>
      </c>
      <c r="C3546" s="1" t="n">
        <v>45657</v>
      </c>
      <c r="D3546" t="inlineStr">
        <is>
          <t>VÄSTERNORRLANDS LÄN</t>
        </is>
      </c>
      <c r="E3546" t="inlineStr">
        <is>
          <t>KRAMFORS</t>
        </is>
      </c>
      <c r="G3546" t="n">
        <v>27.7</v>
      </c>
      <c r="H3546" t="n">
        <v>0</v>
      </c>
      <c r="I3546" t="n">
        <v>0</v>
      </c>
      <c r="J3546" t="n">
        <v>0</v>
      </c>
      <c r="K3546" t="n">
        <v>0</v>
      </c>
      <c r="L3546" t="n">
        <v>0</v>
      </c>
      <c r="M3546" t="n">
        <v>0</v>
      </c>
      <c r="N3546" t="n">
        <v>0</v>
      </c>
      <c r="O3546" t="n">
        <v>0</v>
      </c>
      <c r="P3546" t="n">
        <v>0</v>
      </c>
      <c r="Q3546" t="n">
        <v>0</v>
      </c>
      <c r="R3546" s="2" t="inlineStr"/>
    </row>
    <row r="3547" ht="15" customHeight="1">
      <c r="A3547" t="inlineStr">
        <is>
          <t>A 8068-2021</t>
        </is>
      </c>
      <c r="B3547" s="1" t="n">
        <v>44243</v>
      </c>
      <c r="C3547" s="1" t="n">
        <v>45657</v>
      </c>
      <c r="D3547" t="inlineStr">
        <is>
          <t>VÄSTERNORRLANDS LÄN</t>
        </is>
      </c>
      <c r="E3547" t="inlineStr">
        <is>
          <t>KRAMFORS</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8200-2021</t>
        </is>
      </c>
      <c r="B3548" s="1" t="n">
        <v>44243</v>
      </c>
      <c r="C3548" s="1" t="n">
        <v>45657</v>
      </c>
      <c r="D3548" t="inlineStr">
        <is>
          <t>VÄSTERNORRLANDS LÄN</t>
        </is>
      </c>
      <c r="E3548" t="inlineStr">
        <is>
          <t>KRAMFORS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8142-2021</t>
        </is>
      </c>
      <c r="B3549" s="1" t="n">
        <v>44244</v>
      </c>
      <c r="C3549" s="1" t="n">
        <v>45657</v>
      </c>
      <c r="D3549" t="inlineStr">
        <is>
          <t>VÄSTERNORRLANDS LÄN</t>
        </is>
      </c>
      <c r="E3549" t="inlineStr">
        <is>
          <t>ÖRNSKÖLDSVIK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8234-2021</t>
        </is>
      </c>
      <c r="B3550" s="1" t="n">
        <v>44244</v>
      </c>
      <c r="C3550" s="1" t="n">
        <v>45657</v>
      </c>
      <c r="D3550" t="inlineStr">
        <is>
          <t>VÄSTERNORRLANDS LÄN</t>
        </is>
      </c>
      <c r="E3550" t="inlineStr">
        <is>
          <t>SUNDSVALL</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8298-2021</t>
        </is>
      </c>
      <c r="B3551" s="1" t="n">
        <v>44244</v>
      </c>
      <c r="C3551" s="1" t="n">
        <v>45657</v>
      </c>
      <c r="D3551" t="inlineStr">
        <is>
          <t>VÄSTERNORRLANDS LÄN</t>
        </is>
      </c>
      <c r="E3551" t="inlineStr">
        <is>
          <t>KRAMFORS</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8631-2021</t>
        </is>
      </c>
      <c r="B3552" s="1" t="n">
        <v>44245</v>
      </c>
      <c r="C3552" s="1" t="n">
        <v>45657</v>
      </c>
      <c r="D3552" t="inlineStr">
        <is>
          <t>VÄSTERNORRLANDS LÄN</t>
        </is>
      </c>
      <c r="E3552" t="inlineStr">
        <is>
          <t>SOLLEFTEÅ</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8645-2021</t>
        </is>
      </c>
      <c r="B3553" s="1" t="n">
        <v>44245</v>
      </c>
      <c r="C3553" s="1" t="n">
        <v>45657</v>
      </c>
      <c r="D3553" t="inlineStr">
        <is>
          <t>VÄSTERNORRLANDS LÄN</t>
        </is>
      </c>
      <c r="E3553" t="inlineStr">
        <is>
          <t>KRAMFORS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8861-2021</t>
        </is>
      </c>
      <c r="B3554" s="1" t="n">
        <v>44246</v>
      </c>
      <c r="C3554" s="1" t="n">
        <v>45657</v>
      </c>
      <c r="D3554" t="inlineStr">
        <is>
          <t>VÄSTERNORRLANDS LÄN</t>
        </is>
      </c>
      <c r="E3554" t="inlineStr">
        <is>
          <t>KRAMFORS</t>
        </is>
      </c>
      <c r="F3554" t="inlineStr">
        <is>
          <t>SCA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8692-2021</t>
        </is>
      </c>
      <c r="B3555" s="1" t="n">
        <v>44246</v>
      </c>
      <c r="C3555" s="1" t="n">
        <v>45657</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9177-2021</t>
        </is>
      </c>
      <c r="B3556" s="1" t="n">
        <v>44249</v>
      </c>
      <c r="C3556" s="1" t="n">
        <v>45657</v>
      </c>
      <c r="D3556" t="inlineStr">
        <is>
          <t>VÄSTERNORRLANDS LÄN</t>
        </is>
      </c>
      <c r="E3556" t="inlineStr">
        <is>
          <t>SUNDSVALL</t>
        </is>
      </c>
      <c r="F3556" t="inlineStr">
        <is>
          <t>SCA</t>
        </is>
      </c>
      <c r="G3556" t="n">
        <v>46.4</v>
      </c>
      <c r="H3556" t="n">
        <v>0</v>
      </c>
      <c r="I3556" t="n">
        <v>0</v>
      </c>
      <c r="J3556" t="n">
        <v>0</v>
      </c>
      <c r="K3556" t="n">
        <v>0</v>
      </c>
      <c r="L3556" t="n">
        <v>0</v>
      </c>
      <c r="M3556" t="n">
        <v>0</v>
      </c>
      <c r="N3556" t="n">
        <v>0</v>
      </c>
      <c r="O3556" t="n">
        <v>0</v>
      </c>
      <c r="P3556" t="n">
        <v>0</v>
      </c>
      <c r="Q3556" t="n">
        <v>0</v>
      </c>
      <c r="R3556" s="2" t="inlineStr"/>
    </row>
    <row r="3557" ht="15" customHeight="1">
      <c r="A3557" t="inlineStr">
        <is>
          <t>A 9202-2021</t>
        </is>
      </c>
      <c r="B3557" s="1" t="n">
        <v>44250</v>
      </c>
      <c r="C3557" s="1" t="n">
        <v>45657</v>
      </c>
      <c r="D3557" t="inlineStr">
        <is>
          <t>VÄSTERNORRLANDS LÄN</t>
        </is>
      </c>
      <c r="E3557" t="inlineStr">
        <is>
          <t>ÖRNSKÖLDSVIK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9472-2021</t>
        </is>
      </c>
      <c r="B3558" s="1" t="n">
        <v>44250</v>
      </c>
      <c r="C3558" s="1" t="n">
        <v>45657</v>
      </c>
      <c r="D3558" t="inlineStr">
        <is>
          <t>VÄSTERNORRLANDS LÄN</t>
        </is>
      </c>
      <c r="E3558" t="inlineStr">
        <is>
          <t>TIMRÅ</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9503-2021</t>
        </is>
      </c>
      <c r="B3559" s="1" t="n">
        <v>44250</v>
      </c>
      <c r="C3559" s="1" t="n">
        <v>45657</v>
      </c>
      <c r="D3559" t="inlineStr">
        <is>
          <t>VÄSTERNORRLANDS LÄN</t>
        </is>
      </c>
      <c r="E3559" t="inlineStr">
        <is>
          <t>TIMRÅ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9480-2021</t>
        </is>
      </c>
      <c r="B3560" s="1" t="n">
        <v>44250</v>
      </c>
      <c r="C3560" s="1" t="n">
        <v>45657</v>
      </c>
      <c r="D3560" t="inlineStr">
        <is>
          <t>VÄSTERNORRLANDS LÄN</t>
        </is>
      </c>
      <c r="E3560" t="inlineStr">
        <is>
          <t>TIMRÅ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9461-2021</t>
        </is>
      </c>
      <c r="B3561" s="1" t="n">
        <v>44251</v>
      </c>
      <c r="C3561" s="1" t="n">
        <v>45657</v>
      </c>
      <c r="D3561" t="inlineStr">
        <is>
          <t>VÄSTERNORRLANDS LÄN</t>
        </is>
      </c>
      <c r="E3561" t="inlineStr">
        <is>
          <t>SOLLEFTEÅ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9628-2021</t>
        </is>
      </c>
      <c r="B3562" s="1" t="n">
        <v>44251</v>
      </c>
      <c r="C3562" s="1" t="n">
        <v>45657</v>
      </c>
      <c r="D3562" t="inlineStr">
        <is>
          <t>VÄSTERNORRLANDS LÄN</t>
        </is>
      </c>
      <c r="E3562" t="inlineStr">
        <is>
          <t>SUNDSVALL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9619-2021</t>
        </is>
      </c>
      <c r="B3563" s="1" t="n">
        <v>44251</v>
      </c>
      <c r="C3563" s="1" t="n">
        <v>45657</v>
      </c>
      <c r="D3563" t="inlineStr">
        <is>
          <t>VÄSTERNORRLANDS LÄN</t>
        </is>
      </c>
      <c r="E3563" t="inlineStr">
        <is>
          <t>ÅNGE</t>
        </is>
      </c>
      <c r="G3563" t="n">
        <v>10.4</v>
      </c>
      <c r="H3563" t="n">
        <v>0</v>
      </c>
      <c r="I3563" t="n">
        <v>0</v>
      </c>
      <c r="J3563" t="n">
        <v>0</v>
      </c>
      <c r="K3563" t="n">
        <v>0</v>
      </c>
      <c r="L3563" t="n">
        <v>0</v>
      </c>
      <c r="M3563" t="n">
        <v>0</v>
      </c>
      <c r="N3563" t="n">
        <v>0</v>
      </c>
      <c r="O3563" t="n">
        <v>0</v>
      </c>
      <c r="P3563" t="n">
        <v>0</v>
      </c>
      <c r="Q3563" t="n">
        <v>0</v>
      </c>
      <c r="R3563" s="2" t="inlineStr"/>
    </row>
    <row r="3564" ht="15" customHeight="1">
      <c r="A3564" t="inlineStr">
        <is>
          <t>A 9799-2021</t>
        </is>
      </c>
      <c r="B3564" s="1" t="n">
        <v>44251</v>
      </c>
      <c r="C3564" s="1" t="n">
        <v>45657</v>
      </c>
      <c r="D3564" t="inlineStr">
        <is>
          <t>VÄSTERNORRLANDS LÄN</t>
        </is>
      </c>
      <c r="E3564" t="inlineStr">
        <is>
          <t>ÖRNSKÖLDSVIK</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9624-2021</t>
        </is>
      </c>
      <c r="B3565" s="1" t="n">
        <v>44251</v>
      </c>
      <c r="C3565" s="1" t="n">
        <v>45657</v>
      </c>
      <c r="D3565" t="inlineStr">
        <is>
          <t>VÄSTERNORRLANDS LÄN</t>
        </is>
      </c>
      <c r="E3565" t="inlineStr">
        <is>
          <t>SUNDSVALL</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9631-2021</t>
        </is>
      </c>
      <c r="B3566" s="1" t="n">
        <v>44252</v>
      </c>
      <c r="C3566" s="1" t="n">
        <v>45657</v>
      </c>
      <c r="D3566" t="inlineStr">
        <is>
          <t>VÄSTERNORRLANDS LÄN</t>
        </is>
      </c>
      <c r="E3566" t="inlineStr">
        <is>
          <t>ÖRNSKÖLDSVIK</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9815-2021</t>
        </is>
      </c>
      <c r="B3567" s="1" t="n">
        <v>44252</v>
      </c>
      <c r="C3567" s="1" t="n">
        <v>45657</v>
      </c>
      <c r="D3567" t="inlineStr">
        <is>
          <t>VÄSTERNORRLANDS LÄN</t>
        </is>
      </c>
      <c r="E3567" t="inlineStr">
        <is>
          <t>KRAMFORS</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10011-2021</t>
        </is>
      </c>
      <c r="B3568" s="1" t="n">
        <v>44253</v>
      </c>
      <c r="C3568" s="1" t="n">
        <v>45657</v>
      </c>
      <c r="D3568" t="inlineStr">
        <is>
          <t>VÄSTERNORRLANDS LÄN</t>
        </is>
      </c>
      <c r="E3568" t="inlineStr">
        <is>
          <t>ÖRNSKÖLDSVIK</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10079-2021</t>
        </is>
      </c>
      <c r="B3569" s="1" t="n">
        <v>44256</v>
      </c>
      <c r="C3569" s="1" t="n">
        <v>45657</v>
      </c>
      <c r="D3569" t="inlineStr">
        <is>
          <t>VÄSTERNORRLANDS LÄN</t>
        </is>
      </c>
      <c r="E3569" t="inlineStr">
        <is>
          <t>ÖRNSKÖLDSVIK</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10078-2021</t>
        </is>
      </c>
      <c r="B3570" s="1" t="n">
        <v>44256</v>
      </c>
      <c r="C3570" s="1" t="n">
        <v>45657</v>
      </c>
      <c r="D3570" t="inlineStr">
        <is>
          <t>VÄSTERNORRLANDS LÄN</t>
        </is>
      </c>
      <c r="E3570" t="inlineStr">
        <is>
          <t>ÖRNSKÖLDSVIK</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10236-2021</t>
        </is>
      </c>
      <c r="B3571" s="1" t="n">
        <v>44256</v>
      </c>
      <c r="C3571" s="1" t="n">
        <v>45657</v>
      </c>
      <c r="D3571" t="inlineStr">
        <is>
          <t>VÄSTERNORRLANDS LÄN</t>
        </is>
      </c>
      <c r="E3571" t="inlineStr">
        <is>
          <t>ÖRNSKÖLDSVIK</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10277-2021</t>
        </is>
      </c>
      <c r="B3572" s="1" t="n">
        <v>44256</v>
      </c>
      <c r="C3572" s="1" t="n">
        <v>45657</v>
      </c>
      <c r="D3572" t="inlineStr">
        <is>
          <t>VÄSTERNORRLANDS LÄN</t>
        </is>
      </c>
      <c r="E3572" t="inlineStr">
        <is>
          <t>KRAMFORS</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10281-2021</t>
        </is>
      </c>
      <c r="B3573" s="1" t="n">
        <v>44257</v>
      </c>
      <c r="C3573" s="1" t="n">
        <v>45657</v>
      </c>
      <c r="D3573" t="inlineStr">
        <is>
          <t>VÄSTERNORRLANDS LÄN</t>
        </is>
      </c>
      <c r="E3573" t="inlineStr">
        <is>
          <t>ÖRNSKÖLDSVIK</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10342-2021</t>
        </is>
      </c>
      <c r="B3574" s="1" t="n">
        <v>44257</v>
      </c>
      <c r="C3574" s="1" t="n">
        <v>45657</v>
      </c>
      <c r="D3574" t="inlineStr">
        <is>
          <t>VÄSTERNORRLANDS LÄN</t>
        </is>
      </c>
      <c r="E3574" t="inlineStr">
        <is>
          <t>ÅNGE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10482-2021</t>
        </is>
      </c>
      <c r="B3575" s="1" t="n">
        <v>44257</v>
      </c>
      <c r="C3575" s="1" t="n">
        <v>45657</v>
      </c>
      <c r="D3575" t="inlineStr">
        <is>
          <t>VÄSTERNORRLANDS LÄN</t>
        </is>
      </c>
      <c r="E3575" t="inlineStr">
        <is>
          <t>SUNDSVALL</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10601-2021</t>
        </is>
      </c>
      <c r="B3576" s="1" t="n">
        <v>44258</v>
      </c>
      <c r="C3576" s="1" t="n">
        <v>45657</v>
      </c>
      <c r="D3576" t="inlineStr">
        <is>
          <t>VÄSTERNORRLANDS LÄN</t>
        </is>
      </c>
      <c r="E3576" t="inlineStr">
        <is>
          <t>ÖRNSKÖLDSVIK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10602-2021</t>
        </is>
      </c>
      <c r="B3577" s="1" t="n">
        <v>44258</v>
      </c>
      <c r="C3577" s="1" t="n">
        <v>45657</v>
      </c>
      <c r="D3577" t="inlineStr">
        <is>
          <t>VÄSTERNORRLANDS LÄN</t>
        </is>
      </c>
      <c r="E3577" t="inlineStr">
        <is>
          <t>SUNDSVALL</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10965-2021</t>
        </is>
      </c>
      <c r="B3578" s="1" t="n">
        <v>44260</v>
      </c>
      <c r="C3578" s="1" t="n">
        <v>45657</v>
      </c>
      <c r="D3578" t="inlineStr">
        <is>
          <t>VÄSTERNORRLANDS LÄN</t>
        </is>
      </c>
      <c r="E3578" t="inlineStr">
        <is>
          <t>ÖRNSKÖLDSVIK</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10974-2021</t>
        </is>
      </c>
      <c r="B3579" s="1" t="n">
        <v>44260</v>
      </c>
      <c r="C3579" s="1" t="n">
        <v>45657</v>
      </c>
      <c r="D3579" t="inlineStr">
        <is>
          <t>VÄSTERNORRLANDS LÄN</t>
        </is>
      </c>
      <c r="E3579" t="inlineStr">
        <is>
          <t>ÖRNSKÖLDSVIK</t>
        </is>
      </c>
      <c r="F3579" t="inlineStr">
        <is>
          <t>Holmen skog AB</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11050-2021</t>
        </is>
      </c>
      <c r="B3580" s="1" t="n">
        <v>44260</v>
      </c>
      <c r="C3580" s="1" t="n">
        <v>45657</v>
      </c>
      <c r="D3580" t="inlineStr">
        <is>
          <t>VÄSTERNORRLANDS LÄN</t>
        </is>
      </c>
      <c r="E3580" t="inlineStr">
        <is>
          <t>ÖRNSKÖLDSVIK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10970-2021</t>
        </is>
      </c>
      <c r="B3581" s="1" t="n">
        <v>44260</v>
      </c>
      <c r="C3581" s="1" t="n">
        <v>45657</v>
      </c>
      <c r="D3581" t="inlineStr">
        <is>
          <t>VÄSTERNORRLANDS LÄN</t>
        </is>
      </c>
      <c r="E3581" t="inlineStr">
        <is>
          <t>ÖRNSKÖLDSVIK</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11139-2021</t>
        </is>
      </c>
      <c r="B3582" s="1" t="n">
        <v>44260</v>
      </c>
      <c r="C3582" s="1" t="n">
        <v>45657</v>
      </c>
      <c r="D3582" t="inlineStr">
        <is>
          <t>VÄSTERNORRLANDS LÄN</t>
        </is>
      </c>
      <c r="E3582" t="inlineStr">
        <is>
          <t>SUNDSVALL</t>
        </is>
      </c>
      <c r="F3582" t="inlineStr">
        <is>
          <t>Naturvårdsverket</t>
        </is>
      </c>
      <c r="G3582" t="n">
        <v>19.5</v>
      </c>
      <c r="H3582" t="n">
        <v>0</v>
      </c>
      <c r="I3582" t="n">
        <v>0</v>
      </c>
      <c r="J3582" t="n">
        <v>0</v>
      </c>
      <c r="K3582" t="n">
        <v>0</v>
      </c>
      <c r="L3582" t="n">
        <v>0</v>
      </c>
      <c r="M3582" t="n">
        <v>0</v>
      </c>
      <c r="N3582" t="n">
        <v>0</v>
      </c>
      <c r="O3582" t="n">
        <v>0</v>
      </c>
      <c r="P3582" t="n">
        <v>0</v>
      </c>
      <c r="Q3582" t="n">
        <v>0</v>
      </c>
      <c r="R3582" s="2" t="inlineStr"/>
    </row>
    <row r="3583" ht="15" customHeight="1">
      <c r="A3583" t="inlineStr">
        <is>
          <t>A 11270-2021</t>
        </is>
      </c>
      <c r="B3583" s="1" t="n">
        <v>44263</v>
      </c>
      <c r="C3583" s="1" t="n">
        <v>45657</v>
      </c>
      <c r="D3583" t="inlineStr">
        <is>
          <t>VÄSTERNORRLANDS LÄN</t>
        </is>
      </c>
      <c r="E3583" t="inlineStr">
        <is>
          <t>SOLLEFTEÅ</t>
        </is>
      </c>
      <c r="F3583" t="inlineStr">
        <is>
          <t>Kommuner</t>
        </is>
      </c>
      <c r="G3583" t="n">
        <v>10.9</v>
      </c>
      <c r="H3583" t="n">
        <v>0</v>
      </c>
      <c r="I3583" t="n">
        <v>0</v>
      </c>
      <c r="J3583" t="n">
        <v>0</v>
      </c>
      <c r="K3583" t="n">
        <v>0</v>
      </c>
      <c r="L3583" t="n">
        <v>0</v>
      </c>
      <c r="M3583" t="n">
        <v>0</v>
      </c>
      <c r="N3583" t="n">
        <v>0</v>
      </c>
      <c r="O3583" t="n">
        <v>0</v>
      </c>
      <c r="P3583" t="n">
        <v>0</v>
      </c>
      <c r="Q3583" t="n">
        <v>0</v>
      </c>
      <c r="R3583" s="2" t="inlineStr"/>
    </row>
    <row r="3584" ht="15" customHeight="1">
      <c r="A3584" t="inlineStr">
        <is>
          <t>A 11362-2021</t>
        </is>
      </c>
      <c r="B3584" s="1" t="n">
        <v>44263</v>
      </c>
      <c r="C3584" s="1" t="n">
        <v>45657</v>
      </c>
      <c r="D3584" t="inlineStr">
        <is>
          <t>VÄSTERNORRLANDS LÄN</t>
        </is>
      </c>
      <c r="E3584" t="inlineStr">
        <is>
          <t>HÄRNÖSAND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11406-2021</t>
        </is>
      </c>
      <c r="B3585" s="1" t="n">
        <v>44263</v>
      </c>
      <c r="C3585" s="1" t="n">
        <v>45657</v>
      </c>
      <c r="D3585" t="inlineStr">
        <is>
          <t>VÄSTERNORRLANDS LÄN</t>
        </is>
      </c>
      <c r="E3585" t="inlineStr">
        <is>
          <t>ÖRNSKÖLDSVIK</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11429-2021</t>
        </is>
      </c>
      <c r="B3586" s="1" t="n">
        <v>44263</v>
      </c>
      <c r="C3586" s="1" t="n">
        <v>45657</v>
      </c>
      <c r="D3586" t="inlineStr">
        <is>
          <t>VÄSTERNORRLANDS LÄN</t>
        </is>
      </c>
      <c r="E3586" t="inlineStr">
        <is>
          <t>ÖRNSKÖLDSVIK</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11482-2021</t>
        </is>
      </c>
      <c r="B3587" s="1" t="n">
        <v>44263</v>
      </c>
      <c r="C3587" s="1" t="n">
        <v>45657</v>
      </c>
      <c r="D3587" t="inlineStr">
        <is>
          <t>VÄSTERNORRLANDS LÄN</t>
        </is>
      </c>
      <c r="E3587" t="inlineStr">
        <is>
          <t>HÄRNÖSAND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11432-2021</t>
        </is>
      </c>
      <c r="B3588" s="1" t="n">
        <v>44263</v>
      </c>
      <c r="C3588" s="1" t="n">
        <v>45657</v>
      </c>
      <c r="D3588" t="inlineStr">
        <is>
          <t>VÄSTERNORRLANDS LÄN</t>
        </is>
      </c>
      <c r="E3588" t="inlineStr">
        <is>
          <t>ÖRNSKÖLDSVIK</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11473-2021</t>
        </is>
      </c>
      <c r="B3589" s="1" t="n">
        <v>44263</v>
      </c>
      <c r="C3589" s="1" t="n">
        <v>45657</v>
      </c>
      <c r="D3589" t="inlineStr">
        <is>
          <t>VÄSTERNORRLANDS LÄN</t>
        </is>
      </c>
      <c r="E3589" t="inlineStr">
        <is>
          <t>HÄRNÖSAND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11710-2021</t>
        </is>
      </c>
      <c r="B3590" s="1" t="n">
        <v>44264</v>
      </c>
      <c r="C3590" s="1" t="n">
        <v>45657</v>
      </c>
      <c r="D3590" t="inlineStr">
        <is>
          <t>VÄSTERNORRLANDS LÄN</t>
        </is>
      </c>
      <c r="E3590" t="inlineStr">
        <is>
          <t>SOLLEFTEÅ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11696-2021</t>
        </is>
      </c>
      <c r="B3591" s="1" t="n">
        <v>44264</v>
      </c>
      <c r="C3591" s="1" t="n">
        <v>45657</v>
      </c>
      <c r="D3591" t="inlineStr">
        <is>
          <t>VÄSTERNORRLANDS LÄN</t>
        </is>
      </c>
      <c r="E3591" t="inlineStr">
        <is>
          <t>SUNDSVALL</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11717-2021</t>
        </is>
      </c>
      <c r="B3592" s="1" t="n">
        <v>44264</v>
      </c>
      <c r="C3592" s="1" t="n">
        <v>45657</v>
      </c>
      <c r="D3592" t="inlineStr">
        <is>
          <t>VÄSTERNORRLANDS LÄN</t>
        </is>
      </c>
      <c r="E3592" t="inlineStr">
        <is>
          <t>KRAMFORS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11779-2021</t>
        </is>
      </c>
      <c r="B3593" s="1" t="n">
        <v>44265</v>
      </c>
      <c r="C3593" s="1" t="n">
        <v>45657</v>
      </c>
      <c r="D3593" t="inlineStr">
        <is>
          <t>VÄSTERNORRLANDS LÄN</t>
        </is>
      </c>
      <c r="E3593" t="inlineStr">
        <is>
          <t>ÖRNSKÖLDSVIK</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11763-2021</t>
        </is>
      </c>
      <c r="B3594" s="1" t="n">
        <v>44265</v>
      </c>
      <c r="C3594" s="1" t="n">
        <v>45657</v>
      </c>
      <c r="D3594" t="inlineStr">
        <is>
          <t>VÄSTERNORRLANDS LÄN</t>
        </is>
      </c>
      <c r="E3594" t="inlineStr">
        <is>
          <t>ÅNGE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12073-2021</t>
        </is>
      </c>
      <c r="B3595" s="1" t="n">
        <v>44266</v>
      </c>
      <c r="C3595" s="1" t="n">
        <v>45657</v>
      </c>
      <c r="D3595" t="inlineStr">
        <is>
          <t>VÄSTERNORRLANDS LÄN</t>
        </is>
      </c>
      <c r="E3595" t="inlineStr">
        <is>
          <t>ÖRNSKÖLDSVIK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12113-2021</t>
        </is>
      </c>
      <c r="B3596" s="1" t="n">
        <v>44266</v>
      </c>
      <c r="C3596" s="1" t="n">
        <v>45657</v>
      </c>
      <c r="D3596" t="inlineStr">
        <is>
          <t>VÄSTERNORRLANDS LÄN</t>
        </is>
      </c>
      <c r="E3596" t="inlineStr">
        <is>
          <t>ÖRNSKÖLDSVIK</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12040-2021</t>
        </is>
      </c>
      <c r="B3597" s="1" t="n">
        <v>44266</v>
      </c>
      <c r="C3597" s="1" t="n">
        <v>45657</v>
      </c>
      <c r="D3597" t="inlineStr">
        <is>
          <t>VÄSTERNORRLANDS LÄN</t>
        </is>
      </c>
      <c r="E3597" t="inlineStr">
        <is>
          <t>KRAMFORS</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12278-2021</t>
        </is>
      </c>
      <c r="B3598" s="1" t="n">
        <v>44266</v>
      </c>
      <c r="C3598" s="1" t="n">
        <v>45657</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12277-2021</t>
        </is>
      </c>
      <c r="B3599" s="1" t="n">
        <v>44266</v>
      </c>
      <c r="C3599" s="1" t="n">
        <v>45657</v>
      </c>
      <c r="D3599" t="inlineStr">
        <is>
          <t>VÄSTERNORRLANDS LÄN</t>
        </is>
      </c>
      <c r="E3599" t="inlineStr">
        <is>
          <t>SOLLEFTEÅ</t>
        </is>
      </c>
      <c r="F3599" t="inlineStr">
        <is>
          <t>SCA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12279-2021</t>
        </is>
      </c>
      <c r="B3600" s="1" t="n">
        <v>44266</v>
      </c>
      <c r="C3600" s="1" t="n">
        <v>45657</v>
      </c>
      <c r="D3600" t="inlineStr">
        <is>
          <t>VÄSTERNORRLANDS LÄN</t>
        </is>
      </c>
      <c r="E3600" t="inlineStr">
        <is>
          <t>SOLLEFTEÅ</t>
        </is>
      </c>
      <c r="F3600" t="inlineStr">
        <is>
          <t>SCA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12307-2021</t>
        </is>
      </c>
      <c r="B3601" s="1" t="n">
        <v>44267</v>
      </c>
      <c r="C3601" s="1" t="n">
        <v>45657</v>
      </c>
      <c r="D3601" t="inlineStr">
        <is>
          <t>VÄSTERNORRLANDS LÄN</t>
        </is>
      </c>
      <c r="E3601" t="inlineStr">
        <is>
          <t>KRAMFORS</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12306-2021</t>
        </is>
      </c>
      <c r="B3602" s="1" t="n">
        <v>44267</v>
      </c>
      <c r="C3602" s="1" t="n">
        <v>45657</v>
      </c>
      <c r="D3602" t="inlineStr">
        <is>
          <t>VÄSTERNORRLANDS LÄN</t>
        </is>
      </c>
      <c r="E3602" t="inlineStr">
        <is>
          <t>KRAMFORS</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12315-2021</t>
        </is>
      </c>
      <c r="B3603" s="1" t="n">
        <v>44267</v>
      </c>
      <c r="C3603" s="1" t="n">
        <v>45657</v>
      </c>
      <c r="D3603" t="inlineStr">
        <is>
          <t>VÄSTERNORRLANDS LÄN</t>
        </is>
      </c>
      <c r="E3603" t="inlineStr">
        <is>
          <t>KRAMFORS</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12647-2021</t>
        </is>
      </c>
      <c r="B3604" s="1" t="n">
        <v>44270</v>
      </c>
      <c r="C3604" s="1" t="n">
        <v>45657</v>
      </c>
      <c r="D3604" t="inlineStr">
        <is>
          <t>VÄSTERNORRLANDS LÄN</t>
        </is>
      </c>
      <c r="E3604" t="inlineStr">
        <is>
          <t>ÖRNSKÖLDSVIK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12762-2021</t>
        </is>
      </c>
      <c r="B3605" s="1" t="n">
        <v>44270</v>
      </c>
      <c r="C3605" s="1" t="n">
        <v>45657</v>
      </c>
      <c r="D3605" t="inlineStr">
        <is>
          <t>VÄSTERNORRLANDS LÄN</t>
        </is>
      </c>
      <c r="E3605" t="inlineStr">
        <is>
          <t>ÖRNSKÖLDSVIK</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12799-2021</t>
        </is>
      </c>
      <c r="B3606" s="1" t="n">
        <v>44270</v>
      </c>
      <c r="C3606" s="1" t="n">
        <v>45657</v>
      </c>
      <c r="D3606" t="inlineStr">
        <is>
          <t>VÄSTERNORRLANDS LÄN</t>
        </is>
      </c>
      <c r="E3606" t="inlineStr">
        <is>
          <t>ÅNGE</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12851-2021</t>
        </is>
      </c>
      <c r="B3607" s="1" t="n">
        <v>44270</v>
      </c>
      <c r="C3607" s="1" t="n">
        <v>45657</v>
      </c>
      <c r="D3607" t="inlineStr">
        <is>
          <t>VÄSTERNORRLANDS LÄN</t>
        </is>
      </c>
      <c r="E3607" t="inlineStr">
        <is>
          <t>ÖRNSKÖLDSVIK</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12800-2021</t>
        </is>
      </c>
      <c r="B3608" s="1" t="n">
        <v>44270</v>
      </c>
      <c r="C3608" s="1" t="n">
        <v>45657</v>
      </c>
      <c r="D3608" t="inlineStr">
        <is>
          <t>VÄSTERNORRLANDS LÄN</t>
        </is>
      </c>
      <c r="E3608" t="inlineStr">
        <is>
          <t>ÅNGE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13038-2021</t>
        </is>
      </c>
      <c r="B3609" s="1" t="n">
        <v>44271</v>
      </c>
      <c r="C3609" s="1" t="n">
        <v>45657</v>
      </c>
      <c r="D3609" t="inlineStr">
        <is>
          <t>VÄSTERNORRLANDS LÄN</t>
        </is>
      </c>
      <c r="E3609" t="inlineStr">
        <is>
          <t>SUNDSVALL</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13088-2021</t>
        </is>
      </c>
      <c r="B3610" s="1" t="n">
        <v>44272</v>
      </c>
      <c r="C3610" s="1" t="n">
        <v>45657</v>
      </c>
      <c r="D3610" t="inlineStr">
        <is>
          <t>VÄSTERNORRLANDS LÄN</t>
        </is>
      </c>
      <c r="E3610" t="inlineStr">
        <is>
          <t>ÖRNSKÖLDSVIK</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13189-2021</t>
        </is>
      </c>
      <c r="B3611" s="1" t="n">
        <v>44272</v>
      </c>
      <c r="C3611" s="1" t="n">
        <v>45657</v>
      </c>
      <c r="D3611" t="inlineStr">
        <is>
          <t>VÄSTERNORRLANDS LÄN</t>
        </is>
      </c>
      <c r="E3611" t="inlineStr">
        <is>
          <t>KRAMFORS</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13149-2021</t>
        </is>
      </c>
      <c r="B3612" s="1" t="n">
        <v>44272</v>
      </c>
      <c r="C3612" s="1" t="n">
        <v>45657</v>
      </c>
      <c r="D3612" t="inlineStr">
        <is>
          <t>VÄSTERNORRLANDS LÄN</t>
        </is>
      </c>
      <c r="E3612" t="inlineStr">
        <is>
          <t>ÅNGE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13501-2021</t>
        </is>
      </c>
      <c r="B3613" s="1" t="n">
        <v>44273</v>
      </c>
      <c r="C3613" s="1" t="n">
        <v>45657</v>
      </c>
      <c r="D3613" t="inlineStr">
        <is>
          <t>VÄSTERNORRLANDS LÄN</t>
        </is>
      </c>
      <c r="E3613" t="inlineStr">
        <is>
          <t>ÅNGE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13510-2021</t>
        </is>
      </c>
      <c r="B3614" s="1" t="n">
        <v>44273</v>
      </c>
      <c r="C3614" s="1" t="n">
        <v>45657</v>
      </c>
      <c r="D3614" t="inlineStr">
        <is>
          <t>VÄSTERNORRLANDS LÄN</t>
        </is>
      </c>
      <c r="E3614" t="inlineStr">
        <is>
          <t>ÅNGE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13522-2021</t>
        </is>
      </c>
      <c r="B3615" s="1" t="n">
        <v>44273</v>
      </c>
      <c r="C3615" s="1" t="n">
        <v>45657</v>
      </c>
      <c r="D3615" t="inlineStr">
        <is>
          <t>VÄSTERNORRLANDS LÄN</t>
        </is>
      </c>
      <c r="E3615" t="inlineStr">
        <is>
          <t>ÅNGE</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13627-2021</t>
        </is>
      </c>
      <c r="B3616" s="1" t="n">
        <v>44273</v>
      </c>
      <c r="C3616" s="1" t="n">
        <v>45657</v>
      </c>
      <c r="D3616" t="inlineStr">
        <is>
          <t>VÄSTERNORRLANDS LÄN</t>
        </is>
      </c>
      <c r="E3616" t="inlineStr">
        <is>
          <t>ÖRNSKÖLDSVIK</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13479-2021</t>
        </is>
      </c>
      <c r="B3617" s="1" t="n">
        <v>44273</v>
      </c>
      <c r="C3617" s="1" t="n">
        <v>45657</v>
      </c>
      <c r="D3617" t="inlineStr">
        <is>
          <t>VÄSTERNORRLANDS LÄN</t>
        </is>
      </c>
      <c r="E3617" t="inlineStr">
        <is>
          <t>ÅNGE</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13574-2021</t>
        </is>
      </c>
      <c r="B3618" s="1" t="n">
        <v>44273</v>
      </c>
      <c r="C3618" s="1" t="n">
        <v>45657</v>
      </c>
      <c r="D3618" t="inlineStr">
        <is>
          <t>VÄSTERNORRLANDS LÄN</t>
        </is>
      </c>
      <c r="E3618" t="inlineStr">
        <is>
          <t>SUNDSVALL</t>
        </is>
      </c>
      <c r="F3618" t="inlineStr">
        <is>
          <t>Naturvårdsverket</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13645-2021</t>
        </is>
      </c>
      <c r="B3619" s="1" t="n">
        <v>44274</v>
      </c>
      <c r="C3619" s="1" t="n">
        <v>45657</v>
      </c>
      <c r="D3619" t="inlineStr">
        <is>
          <t>VÄSTERNORRLANDS LÄN</t>
        </is>
      </c>
      <c r="E3619" t="inlineStr">
        <is>
          <t>ÖRNSKÖLDSVIK</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13624-2021</t>
        </is>
      </c>
      <c r="B3620" s="1" t="n">
        <v>44274</v>
      </c>
      <c r="C3620" s="1" t="n">
        <v>45657</v>
      </c>
      <c r="D3620" t="inlineStr">
        <is>
          <t>VÄSTERNORRLANDS LÄN</t>
        </is>
      </c>
      <c r="E3620" t="inlineStr">
        <is>
          <t>ÖRNSKÖLDSVIK</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13638-2021</t>
        </is>
      </c>
      <c r="B3621" s="1" t="n">
        <v>44274</v>
      </c>
      <c r="C3621" s="1" t="n">
        <v>45657</v>
      </c>
      <c r="D3621" t="inlineStr">
        <is>
          <t>VÄSTERNORRLANDS LÄN</t>
        </is>
      </c>
      <c r="E3621" t="inlineStr">
        <is>
          <t>ÖRNSKÖLDSVIK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13792-2021</t>
        </is>
      </c>
      <c r="B3622" s="1" t="n">
        <v>44274</v>
      </c>
      <c r="C3622" s="1" t="n">
        <v>45657</v>
      </c>
      <c r="D3622" t="inlineStr">
        <is>
          <t>VÄSTERNORRLANDS LÄN</t>
        </is>
      </c>
      <c r="E3622" t="inlineStr">
        <is>
          <t>ÅNGE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13987-2021</t>
        </is>
      </c>
      <c r="B3623" s="1" t="n">
        <v>44277</v>
      </c>
      <c r="C3623" s="1" t="n">
        <v>45657</v>
      </c>
      <c r="D3623" t="inlineStr">
        <is>
          <t>VÄSTERNORRLANDS LÄN</t>
        </is>
      </c>
      <c r="E3623" t="inlineStr">
        <is>
          <t>SUNDSVALL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14113-2021</t>
        </is>
      </c>
      <c r="B3624" s="1" t="n">
        <v>44277</v>
      </c>
      <c r="C3624" s="1" t="n">
        <v>45657</v>
      </c>
      <c r="D3624" t="inlineStr">
        <is>
          <t>VÄSTERNORRLANDS LÄN</t>
        </is>
      </c>
      <c r="E3624" t="inlineStr">
        <is>
          <t>SUNDSVALL</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14231-2021</t>
        </is>
      </c>
      <c r="B3625" s="1" t="n">
        <v>44277</v>
      </c>
      <c r="C3625" s="1" t="n">
        <v>45657</v>
      </c>
      <c r="D3625" t="inlineStr">
        <is>
          <t>VÄSTERNORRLANDS LÄN</t>
        </is>
      </c>
      <c r="E3625" t="inlineStr">
        <is>
          <t>SUNDSVALL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14254-2021</t>
        </is>
      </c>
      <c r="B3626" s="1" t="n">
        <v>44278</v>
      </c>
      <c r="C3626" s="1" t="n">
        <v>45657</v>
      </c>
      <c r="D3626" t="inlineStr">
        <is>
          <t>VÄSTERNORRLANDS LÄN</t>
        </is>
      </c>
      <c r="E3626" t="inlineStr">
        <is>
          <t>KRAMFORS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14328-2021</t>
        </is>
      </c>
      <c r="B3627" s="1" t="n">
        <v>44278</v>
      </c>
      <c r="C3627" s="1" t="n">
        <v>45657</v>
      </c>
      <c r="D3627" t="inlineStr">
        <is>
          <t>VÄSTERNORRLANDS LÄN</t>
        </is>
      </c>
      <c r="E3627" t="inlineStr">
        <is>
          <t>SUNDSVALL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14508-2021</t>
        </is>
      </c>
      <c r="B3628" s="1" t="n">
        <v>44279</v>
      </c>
      <c r="C3628" s="1" t="n">
        <v>45657</v>
      </c>
      <c r="D3628" t="inlineStr">
        <is>
          <t>VÄSTERNORRLANDS LÄN</t>
        </is>
      </c>
      <c r="E3628" t="inlineStr">
        <is>
          <t>ÖRNSKÖLDSVIK</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14587-2021</t>
        </is>
      </c>
      <c r="B3629" s="1" t="n">
        <v>44279</v>
      </c>
      <c r="C3629" s="1" t="n">
        <v>45657</v>
      </c>
      <c r="D3629" t="inlineStr">
        <is>
          <t>VÄSTERNORRLANDS LÄN</t>
        </is>
      </c>
      <c r="E3629" t="inlineStr">
        <is>
          <t>ÅNGE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14705-2021</t>
        </is>
      </c>
      <c r="B3630" s="1" t="n">
        <v>44280</v>
      </c>
      <c r="C3630" s="1" t="n">
        <v>45657</v>
      </c>
      <c r="D3630" t="inlineStr">
        <is>
          <t>VÄSTERNORRLANDS LÄN</t>
        </is>
      </c>
      <c r="E3630" t="inlineStr">
        <is>
          <t>KRAMFORS</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14733-2021</t>
        </is>
      </c>
      <c r="B3631" s="1" t="n">
        <v>44280</v>
      </c>
      <c r="C3631" s="1" t="n">
        <v>45657</v>
      </c>
      <c r="D3631" t="inlineStr">
        <is>
          <t>VÄSTERNORRLANDS LÄN</t>
        </is>
      </c>
      <c r="E3631" t="inlineStr">
        <is>
          <t>SOLLEFTEÅ</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14812-2021</t>
        </is>
      </c>
      <c r="B3632" s="1" t="n">
        <v>44280</v>
      </c>
      <c r="C3632" s="1" t="n">
        <v>45657</v>
      </c>
      <c r="D3632" t="inlineStr">
        <is>
          <t>VÄSTERNORRLANDS LÄN</t>
        </is>
      </c>
      <c r="E3632" t="inlineStr">
        <is>
          <t>ÅNGE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15071-2021</t>
        </is>
      </c>
      <c r="B3633" s="1" t="n">
        <v>44281</v>
      </c>
      <c r="C3633" s="1" t="n">
        <v>45657</v>
      </c>
      <c r="D3633" t="inlineStr">
        <is>
          <t>VÄSTERNORRLANDS LÄN</t>
        </is>
      </c>
      <c r="E3633" t="inlineStr">
        <is>
          <t>ÖRNSKÖLDSVIK</t>
        </is>
      </c>
      <c r="G3633" t="n">
        <v>17.3</v>
      </c>
      <c r="H3633" t="n">
        <v>0</v>
      </c>
      <c r="I3633" t="n">
        <v>0</v>
      </c>
      <c r="J3633" t="n">
        <v>0</v>
      </c>
      <c r="K3633" t="n">
        <v>0</v>
      </c>
      <c r="L3633" t="n">
        <v>0</v>
      </c>
      <c r="M3633" t="n">
        <v>0</v>
      </c>
      <c r="N3633" t="n">
        <v>0</v>
      </c>
      <c r="O3633" t="n">
        <v>0</v>
      </c>
      <c r="P3633" t="n">
        <v>0</v>
      </c>
      <c r="Q3633" t="n">
        <v>0</v>
      </c>
      <c r="R3633" s="2" t="inlineStr"/>
    </row>
    <row r="3634" ht="15" customHeight="1">
      <c r="A3634" t="inlineStr">
        <is>
          <t>A 15262-2021</t>
        </is>
      </c>
      <c r="B3634" s="1" t="n">
        <v>44284</v>
      </c>
      <c r="C3634" s="1" t="n">
        <v>45657</v>
      </c>
      <c r="D3634" t="inlineStr">
        <is>
          <t>VÄSTERNORRLANDS LÄN</t>
        </is>
      </c>
      <c r="E3634" t="inlineStr">
        <is>
          <t>KRAMFORS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15294-2021</t>
        </is>
      </c>
      <c r="B3635" s="1" t="n">
        <v>44284</v>
      </c>
      <c r="C3635" s="1" t="n">
        <v>45657</v>
      </c>
      <c r="D3635" t="inlineStr">
        <is>
          <t>VÄSTERNORRLANDS LÄN</t>
        </is>
      </c>
      <c r="E3635" t="inlineStr">
        <is>
          <t>ÖRNSKÖLDSVIK</t>
        </is>
      </c>
      <c r="G3635" t="n">
        <v>18.4</v>
      </c>
      <c r="H3635" t="n">
        <v>0</v>
      </c>
      <c r="I3635" t="n">
        <v>0</v>
      </c>
      <c r="J3635" t="n">
        <v>0</v>
      </c>
      <c r="K3635" t="n">
        <v>0</v>
      </c>
      <c r="L3635" t="n">
        <v>0</v>
      </c>
      <c r="M3635" t="n">
        <v>0</v>
      </c>
      <c r="N3635" t="n">
        <v>0</v>
      </c>
      <c r="O3635" t="n">
        <v>0</v>
      </c>
      <c r="P3635" t="n">
        <v>0</v>
      </c>
      <c r="Q3635" t="n">
        <v>0</v>
      </c>
      <c r="R3635" s="2" t="inlineStr"/>
    </row>
    <row r="3636" ht="15" customHeight="1">
      <c r="A3636" t="inlineStr">
        <is>
          <t>A 15303-2021</t>
        </is>
      </c>
      <c r="B3636" s="1" t="n">
        <v>44284</v>
      </c>
      <c r="C3636" s="1" t="n">
        <v>45657</v>
      </c>
      <c r="D3636" t="inlineStr">
        <is>
          <t>VÄSTERNORRLANDS LÄN</t>
        </is>
      </c>
      <c r="E3636" t="inlineStr">
        <is>
          <t>ÖRNSKÖLDSVIK</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15461-2021</t>
        </is>
      </c>
      <c r="B3637" s="1" t="n">
        <v>44285</v>
      </c>
      <c r="C3637" s="1" t="n">
        <v>45657</v>
      </c>
      <c r="D3637" t="inlineStr">
        <is>
          <t>VÄSTERNORRLANDS LÄN</t>
        </is>
      </c>
      <c r="E3637" t="inlineStr">
        <is>
          <t>SOLLEFTEÅ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15393-2021</t>
        </is>
      </c>
      <c r="B3638" s="1" t="n">
        <v>44285</v>
      </c>
      <c r="C3638" s="1" t="n">
        <v>45657</v>
      </c>
      <c r="D3638" t="inlineStr">
        <is>
          <t>VÄSTERNORRLANDS LÄN</t>
        </is>
      </c>
      <c r="E3638" t="inlineStr">
        <is>
          <t>ÖRNSKÖLDSVIK</t>
        </is>
      </c>
      <c r="G3638" t="n">
        <v>23.1</v>
      </c>
      <c r="H3638" t="n">
        <v>0</v>
      </c>
      <c r="I3638" t="n">
        <v>0</v>
      </c>
      <c r="J3638" t="n">
        <v>0</v>
      </c>
      <c r="K3638" t="n">
        <v>0</v>
      </c>
      <c r="L3638" t="n">
        <v>0</v>
      </c>
      <c r="M3638" t="n">
        <v>0</v>
      </c>
      <c r="N3638" t="n">
        <v>0</v>
      </c>
      <c r="O3638" t="n">
        <v>0</v>
      </c>
      <c r="P3638" t="n">
        <v>0</v>
      </c>
      <c r="Q3638" t="n">
        <v>0</v>
      </c>
      <c r="R3638" s="2" t="inlineStr"/>
    </row>
    <row r="3639" ht="15" customHeight="1">
      <c r="A3639" t="inlineStr">
        <is>
          <t>A 15627-2021</t>
        </is>
      </c>
      <c r="B3639" s="1" t="n">
        <v>44285</v>
      </c>
      <c r="C3639" s="1" t="n">
        <v>45657</v>
      </c>
      <c r="D3639" t="inlineStr">
        <is>
          <t>VÄSTERNORRLANDS LÄN</t>
        </is>
      </c>
      <c r="E3639" t="inlineStr">
        <is>
          <t>ÖRNSKÖLDSVIK</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15769-2021</t>
        </is>
      </c>
      <c r="B3640" s="1" t="n">
        <v>44286</v>
      </c>
      <c r="C3640" s="1" t="n">
        <v>45657</v>
      </c>
      <c r="D3640" t="inlineStr">
        <is>
          <t>VÄSTERNORRLANDS LÄN</t>
        </is>
      </c>
      <c r="E3640" t="inlineStr">
        <is>
          <t>SUNDSVALL</t>
        </is>
      </c>
      <c r="F3640" t="inlineStr">
        <is>
          <t>Kommuner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15894-2021</t>
        </is>
      </c>
      <c r="B3641" s="1" t="n">
        <v>44286</v>
      </c>
      <c r="C3641" s="1" t="n">
        <v>45657</v>
      </c>
      <c r="D3641" t="inlineStr">
        <is>
          <t>VÄSTERNORRLANDS LÄN</t>
        </is>
      </c>
      <c r="E3641" t="inlineStr">
        <is>
          <t>SOLLEFTEÅ</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15943-2021</t>
        </is>
      </c>
      <c r="B3642" s="1" t="n">
        <v>44287</v>
      </c>
      <c r="C3642" s="1" t="n">
        <v>45657</v>
      </c>
      <c r="D3642" t="inlineStr">
        <is>
          <t>VÄSTERNORRLANDS LÄN</t>
        </is>
      </c>
      <c r="E3642" t="inlineStr">
        <is>
          <t>ÖRNSKÖLDSVIK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16233-2021</t>
        </is>
      </c>
      <c r="B3643" s="1" t="n">
        <v>44287</v>
      </c>
      <c r="C3643" s="1" t="n">
        <v>45657</v>
      </c>
      <c r="D3643" t="inlineStr">
        <is>
          <t>VÄSTERNORRLANDS LÄN</t>
        </is>
      </c>
      <c r="E3643" t="inlineStr">
        <is>
          <t>HÄRNÖSAND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16066-2021</t>
        </is>
      </c>
      <c r="B3644" s="1" t="n">
        <v>44287</v>
      </c>
      <c r="C3644" s="1" t="n">
        <v>45657</v>
      </c>
      <c r="D3644" t="inlineStr">
        <is>
          <t>VÄSTERNORRLANDS LÄN</t>
        </is>
      </c>
      <c r="E3644" t="inlineStr">
        <is>
          <t>KRAMFORS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16345-2021</t>
        </is>
      </c>
      <c r="B3645" s="1" t="n">
        <v>44292</v>
      </c>
      <c r="C3645" s="1" t="n">
        <v>45657</v>
      </c>
      <c r="D3645" t="inlineStr">
        <is>
          <t>VÄSTERNORRLANDS LÄN</t>
        </is>
      </c>
      <c r="E3645" t="inlineStr">
        <is>
          <t>KRAMFORS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16448-2021</t>
        </is>
      </c>
      <c r="B3646" s="1" t="n">
        <v>44292</v>
      </c>
      <c r="C3646" s="1" t="n">
        <v>45657</v>
      </c>
      <c r="D3646" t="inlineStr">
        <is>
          <t>VÄSTERNORRLANDS LÄN</t>
        </is>
      </c>
      <c r="E3646" t="inlineStr">
        <is>
          <t>KRAMFORS</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16334-2021</t>
        </is>
      </c>
      <c r="B3647" s="1" t="n">
        <v>44292</v>
      </c>
      <c r="C3647" s="1" t="n">
        <v>45657</v>
      </c>
      <c r="D3647" t="inlineStr">
        <is>
          <t>VÄSTERNORRLANDS LÄN</t>
        </is>
      </c>
      <c r="E3647" t="inlineStr">
        <is>
          <t>SUNDSVALL</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16354-2021</t>
        </is>
      </c>
      <c r="B3648" s="1" t="n">
        <v>44292</v>
      </c>
      <c r="C3648" s="1" t="n">
        <v>45657</v>
      </c>
      <c r="D3648" t="inlineStr">
        <is>
          <t>VÄSTERNORRLANDS LÄN</t>
        </is>
      </c>
      <c r="E3648" t="inlineStr">
        <is>
          <t>KRAMFORS</t>
        </is>
      </c>
      <c r="F3648" t="inlineStr">
        <is>
          <t>Kyrkan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16338-2021</t>
        </is>
      </c>
      <c r="B3649" s="1" t="n">
        <v>44293</v>
      </c>
      <c r="C3649" s="1" t="n">
        <v>45657</v>
      </c>
      <c r="D3649" t="inlineStr">
        <is>
          <t>VÄSTERNORRLANDS LÄN</t>
        </is>
      </c>
      <c r="E3649" t="inlineStr">
        <is>
          <t>KRAMFORS</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16424-2021</t>
        </is>
      </c>
      <c r="B3650" s="1" t="n">
        <v>44292</v>
      </c>
      <c r="C3650" s="1" t="n">
        <v>45657</v>
      </c>
      <c r="D3650" t="inlineStr">
        <is>
          <t>VÄSTERNORRLANDS LÄN</t>
        </is>
      </c>
      <c r="E3650" t="inlineStr">
        <is>
          <t>SUNDSVALL</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16389-2021</t>
        </is>
      </c>
      <c r="B3651" s="1" t="n">
        <v>44293</v>
      </c>
      <c r="C3651" s="1" t="n">
        <v>45657</v>
      </c>
      <c r="D3651" t="inlineStr">
        <is>
          <t>VÄSTERNORRLANDS LÄN</t>
        </is>
      </c>
      <c r="E3651" t="inlineStr">
        <is>
          <t>ÅNGE</t>
        </is>
      </c>
      <c r="G3651" t="n">
        <v>16.9</v>
      </c>
      <c r="H3651" t="n">
        <v>0</v>
      </c>
      <c r="I3651" t="n">
        <v>0</v>
      </c>
      <c r="J3651" t="n">
        <v>0</v>
      </c>
      <c r="K3651" t="n">
        <v>0</v>
      </c>
      <c r="L3651" t="n">
        <v>0</v>
      </c>
      <c r="M3651" t="n">
        <v>0</v>
      </c>
      <c r="N3651" t="n">
        <v>0</v>
      </c>
      <c r="O3651" t="n">
        <v>0</v>
      </c>
      <c r="P3651" t="n">
        <v>0</v>
      </c>
      <c r="Q3651" t="n">
        <v>0</v>
      </c>
      <c r="R3651" s="2" t="inlineStr"/>
    </row>
    <row r="3652" ht="15" customHeight="1">
      <c r="A3652" t="inlineStr">
        <is>
          <t>A 16444-2021</t>
        </is>
      </c>
      <c r="B3652" s="1" t="n">
        <v>44293</v>
      </c>
      <c r="C3652" s="1" t="n">
        <v>45657</v>
      </c>
      <c r="D3652" t="inlineStr">
        <is>
          <t>VÄSTERNORRLANDS LÄN</t>
        </is>
      </c>
      <c r="E3652" t="inlineStr">
        <is>
          <t>KRAMFORS</t>
        </is>
      </c>
      <c r="G3652" t="n">
        <v>14.1</v>
      </c>
      <c r="H3652" t="n">
        <v>0</v>
      </c>
      <c r="I3652" t="n">
        <v>0</v>
      </c>
      <c r="J3652" t="n">
        <v>0</v>
      </c>
      <c r="K3652" t="n">
        <v>0</v>
      </c>
      <c r="L3652" t="n">
        <v>0</v>
      </c>
      <c r="M3652" t="n">
        <v>0</v>
      </c>
      <c r="N3652" t="n">
        <v>0</v>
      </c>
      <c r="O3652" t="n">
        <v>0</v>
      </c>
      <c r="P3652" t="n">
        <v>0</v>
      </c>
      <c r="Q3652" t="n">
        <v>0</v>
      </c>
      <c r="R3652" s="2" t="inlineStr"/>
    </row>
    <row r="3653" ht="15" customHeight="1">
      <c r="A3653" t="inlineStr">
        <is>
          <t>A 16475-2021</t>
        </is>
      </c>
      <c r="B3653" s="1" t="n">
        <v>44293</v>
      </c>
      <c r="C3653" s="1" t="n">
        <v>45657</v>
      </c>
      <c r="D3653" t="inlineStr">
        <is>
          <t>VÄSTERNORRLANDS LÄN</t>
        </is>
      </c>
      <c r="E3653" t="inlineStr">
        <is>
          <t>ÖRNSKÖLDSVIK</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16700-2021</t>
        </is>
      </c>
      <c r="B3654" s="1" t="n">
        <v>44293</v>
      </c>
      <c r="C3654" s="1" t="n">
        <v>45657</v>
      </c>
      <c r="D3654" t="inlineStr">
        <is>
          <t>VÄSTERNORRLANDS LÄN</t>
        </is>
      </c>
      <c r="E3654" t="inlineStr">
        <is>
          <t>SOLLEFTEÅ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16799-2021</t>
        </is>
      </c>
      <c r="B3655" s="1" t="n">
        <v>44293</v>
      </c>
      <c r="C3655" s="1" t="n">
        <v>45657</v>
      </c>
      <c r="D3655" t="inlineStr">
        <is>
          <t>VÄSTERNORRLANDS LÄN</t>
        </is>
      </c>
      <c r="E3655" t="inlineStr">
        <is>
          <t>SOLLEFTEÅ</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16636-2021</t>
        </is>
      </c>
      <c r="B3656" s="1" t="n">
        <v>44294</v>
      </c>
      <c r="C3656" s="1" t="n">
        <v>45657</v>
      </c>
      <c r="D3656" t="inlineStr">
        <is>
          <t>VÄSTERNORRLANDS LÄN</t>
        </is>
      </c>
      <c r="E3656" t="inlineStr">
        <is>
          <t>KRAMFORS</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16905-2021</t>
        </is>
      </c>
      <c r="B3657" s="1" t="n">
        <v>44294</v>
      </c>
      <c r="C3657" s="1" t="n">
        <v>45657</v>
      </c>
      <c r="D3657" t="inlineStr">
        <is>
          <t>VÄSTERNORRLANDS LÄN</t>
        </is>
      </c>
      <c r="E3657" t="inlineStr">
        <is>
          <t>SOLLEFTEÅ</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16902-2021</t>
        </is>
      </c>
      <c r="B3658" s="1" t="n">
        <v>44294</v>
      </c>
      <c r="C3658" s="1" t="n">
        <v>45657</v>
      </c>
      <c r="D3658" t="inlineStr">
        <is>
          <t>VÄSTERNORRLANDS LÄN</t>
        </is>
      </c>
      <c r="E3658" t="inlineStr">
        <is>
          <t>KRAMFORS</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16906-2021</t>
        </is>
      </c>
      <c r="B3659" s="1" t="n">
        <v>44295</v>
      </c>
      <c r="C3659" s="1" t="n">
        <v>45657</v>
      </c>
      <c r="D3659" t="inlineStr">
        <is>
          <t>VÄSTERNORRLANDS LÄN</t>
        </is>
      </c>
      <c r="E3659" t="inlineStr">
        <is>
          <t>ÖRNSKÖLDSVIK</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17289-2021</t>
        </is>
      </c>
      <c r="B3660" s="1" t="n">
        <v>44298</v>
      </c>
      <c r="C3660" s="1" t="n">
        <v>45657</v>
      </c>
      <c r="D3660" t="inlineStr">
        <is>
          <t>VÄSTERNORRLANDS LÄN</t>
        </is>
      </c>
      <c r="E3660" t="inlineStr">
        <is>
          <t>ÖRNSKÖLDSVIK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17298-2021</t>
        </is>
      </c>
      <c r="B3661" s="1" t="n">
        <v>44298</v>
      </c>
      <c r="C3661" s="1" t="n">
        <v>45657</v>
      </c>
      <c r="D3661" t="inlineStr">
        <is>
          <t>VÄSTERNORRLANDS LÄN</t>
        </is>
      </c>
      <c r="E3661" t="inlineStr">
        <is>
          <t>ÖRNSKÖLDSVIK</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17129-2021</t>
        </is>
      </c>
      <c r="B3662" s="1" t="n">
        <v>44298</v>
      </c>
      <c r="C3662" s="1" t="n">
        <v>45657</v>
      </c>
      <c r="D3662" t="inlineStr">
        <is>
          <t>VÄSTERNORRLANDS LÄN</t>
        </is>
      </c>
      <c r="E3662" t="inlineStr">
        <is>
          <t>KRAMFORS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17379-2021</t>
        </is>
      </c>
      <c r="B3663" s="1" t="n">
        <v>44298</v>
      </c>
      <c r="C3663" s="1" t="n">
        <v>45657</v>
      </c>
      <c r="D3663" t="inlineStr">
        <is>
          <t>VÄSTERNORRLANDS LÄN</t>
        </is>
      </c>
      <c r="E3663" t="inlineStr">
        <is>
          <t>SUNDSVALL</t>
        </is>
      </c>
      <c r="F3663" t="inlineStr">
        <is>
          <t>SCA</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17403-2021</t>
        </is>
      </c>
      <c r="B3664" s="1" t="n">
        <v>44299</v>
      </c>
      <c r="C3664" s="1" t="n">
        <v>45657</v>
      </c>
      <c r="D3664" t="inlineStr">
        <is>
          <t>VÄSTERNORRLANDS LÄN</t>
        </is>
      </c>
      <c r="E3664" t="inlineStr">
        <is>
          <t>ÖRNSKÖLDSVIK</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17604-2021</t>
        </is>
      </c>
      <c r="B3665" s="1" t="n">
        <v>44299</v>
      </c>
      <c r="C3665" s="1" t="n">
        <v>45657</v>
      </c>
      <c r="D3665" t="inlineStr">
        <is>
          <t>VÄSTERNORRLANDS LÄN</t>
        </is>
      </c>
      <c r="E3665" t="inlineStr">
        <is>
          <t>SOLLEFTEÅ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17643-2021</t>
        </is>
      </c>
      <c r="B3666" s="1" t="n">
        <v>44299</v>
      </c>
      <c r="C3666" s="1" t="n">
        <v>45657</v>
      </c>
      <c r="D3666" t="inlineStr">
        <is>
          <t>VÄSTERNORRLANDS LÄN</t>
        </is>
      </c>
      <c r="E3666" t="inlineStr">
        <is>
          <t>ÖRNSKÖLDSVIK</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17594-2021</t>
        </is>
      </c>
      <c r="B3667" s="1" t="n">
        <v>44299</v>
      </c>
      <c r="C3667" s="1" t="n">
        <v>45657</v>
      </c>
      <c r="D3667" t="inlineStr">
        <is>
          <t>VÄSTERNORRLANDS LÄN</t>
        </is>
      </c>
      <c r="E3667" t="inlineStr">
        <is>
          <t>ÅNGE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17646-2021</t>
        </is>
      </c>
      <c r="B3668" s="1" t="n">
        <v>44300</v>
      </c>
      <c r="C3668" s="1" t="n">
        <v>45657</v>
      </c>
      <c r="D3668" t="inlineStr">
        <is>
          <t>VÄSTERNORRLANDS LÄN</t>
        </is>
      </c>
      <c r="E3668" t="inlineStr">
        <is>
          <t>ÖRNSKÖLDSVIK</t>
        </is>
      </c>
      <c r="F3668" t="inlineStr">
        <is>
          <t>Holmen skog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17690-2021</t>
        </is>
      </c>
      <c r="B3669" s="1" t="n">
        <v>44300</v>
      </c>
      <c r="C3669" s="1" t="n">
        <v>45657</v>
      </c>
      <c r="D3669" t="inlineStr">
        <is>
          <t>VÄSTERNORRLANDS LÄN</t>
        </is>
      </c>
      <c r="E3669" t="inlineStr">
        <is>
          <t>SUNDSVALL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17708-2021</t>
        </is>
      </c>
      <c r="B3670" s="1" t="n">
        <v>44300</v>
      </c>
      <c r="C3670" s="1" t="n">
        <v>45657</v>
      </c>
      <c r="D3670" t="inlineStr">
        <is>
          <t>VÄSTERNORRLANDS LÄN</t>
        </is>
      </c>
      <c r="E3670" t="inlineStr">
        <is>
          <t>ÖRNSKÖLDSVIK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17844-2021</t>
        </is>
      </c>
      <c r="B3671" s="1" t="n">
        <v>44301</v>
      </c>
      <c r="C3671" s="1" t="n">
        <v>45657</v>
      </c>
      <c r="D3671" t="inlineStr">
        <is>
          <t>VÄSTERNORRLANDS LÄN</t>
        </is>
      </c>
      <c r="E3671" t="inlineStr">
        <is>
          <t>ÅNGE</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17845-2021</t>
        </is>
      </c>
      <c r="B3672" s="1" t="n">
        <v>44301</v>
      </c>
      <c r="C3672" s="1" t="n">
        <v>45657</v>
      </c>
      <c r="D3672" t="inlineStr">
        <is>
          <t>VÄSTERNORRLANDS LÄN</t>
        </is>
      </c>
      <c r="E3672" t="inlineStr">
        <is>
          <t>SUNDSVALL</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18070-2021</t>
        </is>
      </c>
      <c r="B3673" s="1" t="n">
        <v>44301</v>
      </c>
      <c r="C3673" s="1" t="n">
        <v>45657</v>
      </c>
      <c r="D3673" t="inlineStr">
        <is>
          <t>VÄSTERNORRLANDS LÄN</t>
        </is>
      </c>
      <c r="E3673" t="inlineStr">
        <is>
          <t>HÄRNÖSAND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18049-2021</t>
        </is>
      </c>
      <c r="B3674" s="1" t="n">
        <v>44301</v>
      </c>
      <c r="C3674" s="1" t="n">
        <v>45657</v>
      </c>
      <c r="D3674" t="inlineStr">
        <is>
          <t>VÄSTERNORRLANDS LÄN</t>
        </is>
      </c>
      <c r="E3674" t="inlineStr">
        <is>
          <t>HÄRNÖSAND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18060-2021</t>
        </is>
      </c>
      <c r="B3675" s="1" t="n">
        <v>44301</v>
      </c>
      <c r="C3675" s="1" t="n">
        <v>45657</v>
      </c>
      <c r="D3675" t="inlineStr">
        <is>
          <t>VÄSTERNORRLANDS LÄN</t>
        </is>
      </c>
      <c r="E3675" t="inlineStr">
        <is>
          <t>HÄRNÖSAND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18088-2021</t>
        </is>
      </c>
      <c r="B3676" s="1" t="n">
        <v>44301</v>
      </c>
      <c r="C3676" s="1" t="n">
        <v>45657</v>
      </c>
      <c r="D3676" t="inlineStr">
        <is>
          <t>VÄSTERNORRLANDS LÄN</t>
        </is>
      </c>
      <c r="E3676" t="inlineStr">
        <is>
          <t>HÄRNÖSAND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18225-2021</t>
        </is>
      </c>
      <c r="B3677" s="1" t="n">
        <v>44302</v>
      </c>
      <c r="C3677" s="1" t="n">
        <v>45657</v>
      </c>
      <c r="D3677" t="inlineStr">
        <is>
          <t>VÄSTERNORRLANDS LÄN</t>
        </is>
      </c>
      <c r="E3677" t="inlineStr">
        <is>
          <t>KRAMFORS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18223-2021</t>
        </is>
      </c>
      <c r="B3678" s="1" t="n">
        <v>44303</v>
      </c>
      <c r="C3678" s="1" t="n">
        <v>45657</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18224-2021</t>
        </is>
      </c>
      <c r="B3679" s="1" t="n">
        <v>44303</v>
      </c>
      <c r="C3679" s="1" t="n">
        <v>45657</v>
      </c>
      <c r="D3679" t="inlineStr">
        <is>
          <t>VÄSTERNORRLANDS LÄN</t>
        </is>
      </c>
      <c r="E3679" t="inlineStr">
        <is>
          <t>KRAMFORS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18222-2021</t>
        </is>
      </c>
      <c r="B3680" s="1" t="n">
        <v>44302</v>
      </c>
      <c r="C3680" s="1" t="n">
        <v>45657</v>
      </c>
      <c r="D3680" t="inlineStr">
        <is>
          <t>VÄSTERNORRLANDS LÄN</t>
        </is>
      </c>
      <c r="E3680" t="inlineStr">
        <is>
          <t>KRAMFORS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18226-2021</t>
        </is>
      </c>
      <c r="B3681" s="1" t="n">
        <v>44302</v>
      </c>
      <c r="C3681" s="1" t="n">
        <v>45657</v>
      </c>
      <c r="D3681" t="inlineStr">
        <is>
          <t>VÄSTERNORRLANDS LÄN</t>
        </is>
      </c>
      <c r="E3681" t="inlineStr">
        <is>
          <t>KRAMFORS</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18368-2021</t>
        </is>
      </c>
      <c r="B3682" s="1" t="n">
        <v>44305</v>
      </c>
      <c r="C3682" s="1" t="n">
        <v>45657</v>
      </c>
      <c r="D3682" t="inlineStr">
        <is>
          <t>VÄSTERNORRLANDS LÄN</t>
        </is>
      </c>
      <c r="E3682" t="inlineStr">
        <is>
          <t>ÅNGE</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18379-2021</t>
        </is>
      </c>
      <c r="B3683" s="1" t="n">
        <v>44305</v>
      </c>
      <c r="C3683" s="1" t="n">
        <v>45657</v>
      </c>
      <c r="D3683" t="inlineStr">
        <is>
          <t>VÄSTERNORRLANDS LÄN</t>
        </is>
      </c>
      <c r="E3683" t="inlineStr">
        <is>
          <t>ÅNGE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18422-2021</t>
        </is>
      </c>
      <c r="B3684" s="1" t="n">
        <v>44305</v>
      </c>
      <c r="C3684" s="1" t="n">
        <v>45657</v>
      </c>
      <c r="D3684" t="inlineStr">
        <is>
          <t>VÄSTERNORRLANDS LÄN</t>
        </is>
      </c>
      <c r="E3684" t="inlineStr">
        <is>
          <t>ÅNGE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18453-2021</t>
        </is>
      </c>
      <c r="B3685" s="1" t="n">
        <v>44306</v>
      </c>
      <c r="C3685" s="1" t="n">
        <v>45657</v>
      </c>
      <c r="D3685" t="inlineStr">
        <is>
          <t>VÄSTERNORRLANDS LÄN</t>
        </is>
      </c>
      <c r="E3685" t="inlineStr">
        <is>
          <t>SUNDSVALL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18459-2021</t>
        </is>
      </c>
      <c r="B3686" s="1" t="n">
        <v>44306</v>
      </c>
      <c r="C3686" s="1" t="n">
        <v>45657</v>
      </c>
      <c r="D3686" t="inlineStr">
        <is>
          <t>VÄSTERNORRLANDS LÄN</t>
        </is>
      </c>
      <c r="E3686" t="inlineStr">
        <is>
          <t>SOLLEFTEÅ</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18668-2021</t>
        </is>
      </c>
      <c r="B3687" s="1" t="n">
        <v>44306</v>
      </c>
      <c r="C3687" s="1" t="n">
        <v>45657</v>
      </c>
      <c r="D3687" t="inlineStr">
        <is>
          <t>VÄSTERNORRLANDS LÄN</t>
        </is>
      </c>
      <c r="E3687" t="inlineStr">
        <is>
          <t>SOLLEFTEÅ</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18682-2021</t>
        </is>
      </c>
      <c r="B3688" s="1" t="n">
        <v>44307</v>
      </c>
      <c r="C3688" s="1" t="n">
        <v>45657</v>
      </c>
      <c r="D3688" t="inlineStr">
        <is>
          <t>VÄSTERNORRLANDS LÄN</t>
        </is>
      </c>
      <c r="E3688" t="inlineStr">
        <is>
          <t>KRAMFORS</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18741-2021</t>
        </is>
      </c>
      <c r="B3689" s="1" t="n">
        <v>44306</v>
      </c>
      <c r="C3689" s="1" t="n">
        <v>45657</v>
      </c>
      <c r="D3689" t="inlineStr">
        <is>
          <t>VÄSTERNORRLANDS LÄN</t>
        </is>
      </c>
      <c r="E3689" t="inlineStr">
        <is>
          <t>SOLLEFTEÅ</t>
        </is>
      </c>
      <c r="F3689" t="inlineStr">
        <is>
          <t>Kyrkan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18662-2021</t>
        </is>
      </c>
      <c r="B3690" s="1" t="n">
        <v>44306</v>
      </c>
      <c r="C3690" s="1" t="n">
        <v>45657</v>
      </c>
      <c r="D3690" t="inlineStr">
        <is>
          <t>VÄSTERNORRLANDS LÄN</t>
        </is>
      </c>
      <c r="E3690" t="inlineStr">
        <is>
          <t>SOLLEFTEÅ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18672-2021</t>
        </is>
      </c>
      <c r="B3691" s="1" t="n">
        <v>44306</v>
      </c>
      <c r="C3691" s="1" t="n">
        <v>45657</v>
      </c>
      <c r="D3691" t="inlineStr">
        <is>
          <t>VÄSTERNORRLANDS LÄN</t>
        </is>
      </c>
      <c r="E3691" t="inlineStr">
        <is>
          <t>SUNDSVALL</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18766-2021</t>
        </is>
      </c>
      <c r="B3692" s="1" t="n">
        <v>44307</v>
      </c>
      <c r="C3692" s="1" t="n">
        <v>45657</v>
      </c>
      <c r="D3692" t="inlineStr">
        <is>
          <t>VÄSTERNORRLANDS LÄN</t>
        </is>
      </c>
      <c r="E3692" t="inlineStr">
        <is>
          <t>SOLLEFTEÅ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18761-2021</t>
        </is>
      </c>
      <c r="B3693" s="1" t="n">
        <v>44307</v>
      </c>
      <c r="C3693" s="1" t="n">
        <v>45657</v>
      </c>
      <c r="D3693" t="inlineStr">
        <is>
          <t>VÄSTERNORRLANDS LÄN</t>
        </is>
      </c>
      <c r="E3693" t="inlineStr">
        <is>
          <t>SOLLEFTEÅ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18774-2021</t>
        </is>
      </c>
      <c r="B3694" s="1" t="n">
        <v>44307</v>
      </c>
      <c r="C3694" s="1" t="n">
        <v>45657</v>
      </c>
      <c r="D3694" t="inlineStr">
        <is>
          <t>VÄSTERNORRLANDS LÄN</t>
        </is>
      </c>
      <c r="E3694" t="inlineStr">
        <is>
          <t>SUNDSVALL</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18873-2021</t>
        </is>
      </c>
      <c r="B3695" s="1" t="n">
        <v>44308</v>
      </c>
      <c r="C3695" s="1" t="n">
        <v>45657</v>
      </c>
      <c r="D3695" t="inlineStr">
        <is>
          <t>VÄSTERNORRLANDS LÄN</t>
        </is>
      </c>
      <c r="E3695" t="inlineStr">
        <is>
          <t>SOLLEFTEÅ</t>
        </is>
      </c>
      <c r="F3695" t="inlineStr">
        <is>
          <t>SCA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18878-2021</t>
        </is>
      </c>
      <c r="B3696" s="1" t="n">
        <v>44307</v>
      </c>
      <c r="C3696" s="1" t="n">
        <v>45657</v>
      </c>
      <c r="D3696" t="inlineStr">
        <is>
          <t>VÄSTERNORRLANDS LÄN</t>
        </is>
      </c>
      <c r="E3696" t="inlineStr">
        <is>
          <t>SOLLEFTEÅ</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18867-2021</t>
        </is>
      </c>
      <c r="B3697" s="1" t="n">
        <v>44307</v>
      </c>
      <c r="C3697" s="1" t="n">
        <v>45657</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18882-2021</t>
        </is>
      </c>
      <c r="B3698" s="1" t="n">
        <v>44308</v>
      </c>
      <c r="C3698" s="1" t="n">
        <v>45657</v>
      </c>
      <c r="D3698" t="inlineStr">
        <is>
          <t>VÄSTERNORRLANDS LÄN</t>
        </is>
      </c>
      <c r="E3698" t="inlineStr">
        <is>
          <t>SOLLEFTEÅ</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18875-2021</t>
        </is>
      </c>
      <c r="B3699" s="1" t="n">
        <v>44307</v>
      </c>
      <c r="C3699" s="1" t="n">
        <v>45657</v>
      </c>
      <c r="D3699" t="inlineStr">
        <is>
          <t>VÄSTERNORRLANDS LÄN</t>
        </is>
      </c>
      <c r="E3699" t="inlineStr">
        <is>
          <t>SOLLEFTEÅ</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18866-2021</t>
        </is>
      </c>
      <c r="B3700" s="1" t="n">
        <v>44308</v>
      </c>
      <c r="C3700" s="1" t="n">
        <v>45657</v>
      </c>
      <c r="D3700" t="inlineStr">
        <is>
          <t>VÄSTERNORRLANDS LÄN</t>
        </is>
      </c>
      <c r="E3700" t="inlineStr">
        <is>
          <t>SOLLEFTEÅ</t>
        </is>
      </c>
      <c r="F3700" t="inlineStr">
        <is>
          <t>SCA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18874-2021</t>
        </is>
      </c>
      <c r="B3701" s="1" t="n">
        <v>44308</v>
      </c>
      <c r="C3701" s="1" t="n">
        <v>45657</v>
      </c>
      <c r="D3701" t="inlineStr">
        <is>
          <t>VÄSTERNORRLANDS LÄN</t>
        </is>
      </c>
      <c r="E3701" t="inlineStr">
        <is>
          <t>SOLLEFTEÅ</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18879-2021</t>
        </is>
      </c>
      <c r="B3702" s="1" t="n">
        <v>44307</v>
      </c>
      <c r="C3702" s="1" t="n">
        <v>45657</v>
      </c>
      <c r="D3702" t="inlineStr">
        <is>
          <t>VÄSTERNORRLANDS LÄN</t>
        </is>
      </c>
      <c r="E3702" t="inlineStr">
        <is>
          <t>SOLLEFTEÅ</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18868-2021</t>
        </is>
      </c>
      <c r="B3703" s="1" t="n">
        <v>44307</v>
      </c>
      <c r="C3703" s="1" t="n">
        <v>45657</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18877-2021</t>
        </is>
      </c>
      <c r="B3704" s="1" t="n">
        <v>44308</v>
      </c>
      <c r="C3704" s="1" t="n">
        <v>45657</v>
      </c>
      <c r="D3704" t="inlineStr">
        <is>
          <t>VÄSTERNORRLANDS LÄN</t>
        </is>
      </c>
      <c r="E3704" t="inlineStr">
        <is>
          <t>SOLLEFTEÅ</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18889-2021</t>
        </is>
      </c>
      <c r="B3705" s="1" t="n">
        <v>44308</v>
      </c>
      <c r="C3705" s="1" t="n">
        <v>45657</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19079-2021</t>
        </is>
      </c>
      <c r="B3706" s="1" t="n">
        <v>44308</v>
      </c>
      <c r="C3706" s="1" t="n">
        <v>45657</v>
      </c>
      <c r="D3706" t="inlineStr">
        <is>
          <t>VÄSTERNORRLANDS LÄN</t>
        </is>
      </c>
      <c r="E3706" t="inlineStr">
        <is>
          <t>ÖRNSKÖLDSVIK</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19131-2021</t>
        </is>
      </c>
      <c r="B3707" s="1" t="n">
        <v>44308</v>
      </c>
      <c r="C3707" s="1" t="n">
        <v>45657</v>
      </c>
      <c r="D3707" t="inlineStr">
        <is>
          <t>VÄSTERNORRLANDS LÄN</t>
        </is>
      </c>
      <c r="E3707" t="inlineStr">
        <is>
          <t>KRAMFORS</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19208-2021</t>
        </is>
      </c>
      <c r="B3708" s="1" t="n">
        <v>44308</v>
      </c>
      <c r="C3708" s="1" t="n">
        <v>45657</v>
      </c>
      <c r="D3708" t="inlineStr">
        <is>
          <t>VÄSTERNORRLANDS LÄN</t>
        </is>
      </c>
      <c r="E3708" t="inlineStr">
        <is>
          <t>SUNDSVALL</t>
        </is>
      </c>
      <c r="G3708" t="n">
        <v>19.1</v>
      </c>
      <c r="H3708" t="n">
        <v>0</v>
      </c>
      <c r="I3708" t="n">
        <v>0</v>
      </c>
      <c r="J3708" t="n">
        <v>0</v>
      </c>
      <c r="K3708" t="n">
        <v>0</v>
      </c>
      <c r="L3708" t="n">
        <v>0</v>
      </c>
      <c r="M3708" t="n">
        <v>0</v>
      </c>
      <c r="N3708" t="n">
        <v>0</v>
      </c>
      <c r="O3708" t="n">
        <v>0</v>
      </c>
      <c r="P3708" t="n">
        <v>0</v>
      </c>
      <c r="Q3708" t="n">
        <v>0</v>
      </c>
      <c r="R3708" s="2" t="inlineStr"/>
    </row>
    <row r="3709" ht="15" customHeight="1">
      <c r="A3709" t="inlineStr">
        <is>
          <t>A 19122-2021</t>
        </is>
      </c>
      <c r="B3709" s="1" t="n">
        <v>44308</v>
      </c>
      <c r="C3709" s="1" t="n">
        <v>45657</v>
      </c>
      <c r="D3709" t="inlineStr">
        <is>
          <t>VÄSTERNORRLANDS LÄN</t>
        </is>
      </c>
      <c r="E3709" t="inlineStr">
        <is>
          <t>KRAMFORS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19128-2021</t>
        </is>
      </c>
      <c r="B3710" s="1" t="n">
        <v>44308</v>
      </c>
      <c r="C3710" s="1" t="n">
        <v>45657</v>
      </c>
      <c r="D3710" t="inlineStr">
        <is>
          <t>VÄSTERNORRLANDS LÄN</t>
        </is>
      </c>
      <c r="E3710" t="inlineStr">
        <is>
          <t>KRAMFORS</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19136-2021</t>
        </is>
      </c>
      <c r="B3711" s="1" t="n">
        <v>44308</v>
      </c>
      <c r="C3711" s="1" t="n">
        <v>45657</v>
      </c>
      <c r="D3711" t="inlineStr">
        <is>
          <t>VÄSTERNORRLANDS LÄN</t>
        </is>
      </c>
      <c r="E3711" t="inlineStr">
        <is>
          <t>KRAMFORS</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19102-2021</t>
        </is>
      </c>
      <c r="B3712" s="1" t="n">
        <v>44308</v>
      </c>
      <c r="C3712" s="1" t="n">
        <v>45657</v>
      </c>
      <c r="D3712" t="inlineStr">
        <is>
          <t>VÄSTERNORRLANDS LÄN</t>
        </is>
      </c>
      <c r="E3712" t="inlineStr">
        <is>
          <t>ÅNGE</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19200-2021</t>
        </is>
      </c>
      <c r="B3713" s="1" t="n">
        <v>44309</v>
      </c>
      <c r="C3713" s="1" t="n">
        <v>45657</v>
      </c>
      <c r="D3713" t="inlineStr">
        <is>
          <t>VÄSTERNORRLANDS LÄN</t>
        </is>
      </c>
      <c r="E3713" t="inlineStr">
        <is>
          <t>SOLLEFTEÅ</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19510-2021</t>
        </is>
      </c>
      <c r="B3714" s="1" t="n">
        <v>44308</v>
      </c>
      <c r="C3714" s="1" t="n">
        <v>45657</v>
      </c>
      <c r="D3714" t="inlineStr">
        <is>
          <t>VÄSTERNORRLANDS LÄN</t>
        </is>
      </c>
      <c r="E3714" t="inlineStr">
        <is>
          <t>SOLLEFTEÅ</t>
        </is>
      </c>
      <c r="F3714" t="inlineStr">
        <is>
          <t>Kyrkan</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19220-2021</t>
        </is>
      </c>
      <c r="B3715" s="1" t="n">
        <v>44309</v>
      </c>
      <c r="C3715" s="1" t="n">
        <v>45657</v>
      </c>
      <c r="D3715" t="inlineStr">
        <is>
          <t>VÄSTERNORRLANDS LÄN</t>
        </is>
      </c>
      <c r="E3715" t="inlineStr">
        <is>
          <t>SOLLEFTEÅ</t>
        </is>
      </c>
      <c r="F3715" t="inlineStr">
        <is>
          <t>Holmen skog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19227-2021</t>
        </is>
      </c>
      <c r="B3716" s="1" t="n">
        <v>44309</v>
      </c>
      <c r="C3716" s="1" t="n">
        <v>45657</v>
      </c>
      <c r="D3716" t="inlineStr">
        <is>
          <t>VÄSTERNORRLANDS LÄN</t>
        </is>
      </c>
      <c r="E3716" t="inlineStr">
        <is>
          <t>ÖRNSKÖLDSVIK</t>
        </is>
      </c>
      <c r="F3716" t="inlineStr">
        <is>
          <t>Holmen skog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19321-2021</t>
        </is>
      </c>
      <c r="B3717" s="1" t="n">
        <v>44309</v>
      </c>
      <c r="C3717" s="1" t="n">
        <v>45657</v>
      </c>
      <c r="D3717" t="inlineStr">
        <is>
          <t>VÄSTERNORRLANDS LÄN</t>
        </is>
      </c>
      <c r="E3717" t="inlineStr">
        <is>
          <t>ÖRNSKÖLDSVIK</t>
        </is>
      </c>
      <c r="F3717" t="inlineStr">
        <is>
          <t>Holmen skog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19418-2021</t>
        </is>
      </c>
      <c r="B3718" s="1" t="n">
        <v>44309</v>
      </c>
      <c r="C3718" s="1" t="n">
        <v>45657</v>
      </c>
      <c r="D3718" t="inlineStr">
        <is>
          <t>VÄSTERNORRLANDS LÄN</t>
        </is>
      </c>
      <c r="E3718" t="inlineStr">
        <is>
          <t>KRAMFORS</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19433-2021</t>
        </is>
      </c>
      <c r="B3719" s="1" t="n">
        <v>44310</v>
      </c>
      <c r="C3719" s="1" t="n">
        <v>45657</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19236-2021</t>
        </is>
      </c>
      <c r="B3720" s="1" t="n">
        <v>44309</v>
      </c>
      <c r="C3720" s="1" t="n">
        <v>45657</v>
      </c>
      <c r="D3720" t="inlineStr">
        <is>
          <t>VÄSTERNORRLANDS LÄN</t>
        </is>
      </c>
      <c r="E3720" t="inlineStr">
        <is>
          <t>SUNDSVALL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19412-2021</t>
        </is>
      </c>
      <c r="B3721" s="1" t="n">
        <v>44310</v>
      </c>
      <c r="C3721" s="1" t="n">
        <v>45657</v>
      </c>
      <c r="D3721" t="inlineStr">
        <is>
          <t>VÄSTERNORRLANDS LÄN</t>
        </is>
      </c>
      <c r="E3721" t="inlineStr">
        <is>
          <t>SOLLEFTEÅ</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19420-2021</t>
        </is>
      </c>
      <c r="B3722" s="1" t="n">
        <v>44310</v>
      </c>
      <c r="C3722" s="1" t="n">
        <v>45657</v>
      </c>
      <c r="D3722" t="inlineStr">
        <is>
          <t>VÄSTERNORRLANDS LÄN</t>
        </is>
      </c>
      <c r="E3722" t="inlineStr">
        <is>
          <t>KRAMFORS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19435-2021</t>
        </is>
      </c>
      <c r="B3723" s="1" t="n">
        <v>44310</v>
      </c>
      <c r="C3723" s="1" t="n">
        <v>45657</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19328-2021</t>
        </is>
      </c>
      <c r="B3724" s="1" t="n">
        <v>44309</v>
      </c>
      <c r="C3724" s="1" t="n">
        <v>45657</v>
      </c>
      <c r="D3724" t="inlineStr">
        <is>
          <t>VÄSTERNORRLANDS LÄN</t>
        </is>
      </c>
      <c r="E3724" t="inlineStr">
        <is>
          <t>ÖRNSKÖLDSVIK</t>
        </is>
      </c>
      <c r="F3724" t="inlineStr">
        <is>
          <t>Holmen skog AB</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19409-2021</t>
        </is>
      </c>
      <c r="B3725" s="1" t="n">
        <v>44310</v>
      </c>
      <c r="C3725" s="1" t="n">
        <v>45657</v>
      </c>
      <c r="D3725" t="inlineStr">
        <is>
          <t>VÄSTERNORRLANDS LÄN</t>
        </is>
      </c>
      <c r="E3725" t="inlineStr">
        <is>
          <t>ÖRNSKÖLDSVIK</t>
        </is>
      </c>
      <c r="F3725" t="inlineStr">
        <is>
          <t>SCA</t>
        </is>
      </c>
      <c r="G3725" t="n">
        <v>16.6</v>
      </c>
      <c r="H3725" t="n">
        <v>0</v>
      </c>
      <c r="I3725" t="n">
        <v>0</v>
      </c>
      <c r="J3725" t="n">
        <v>0</v>
      </c>
      <c r="K3725" t="n">
        <v>0</v>
      </c>
      <c r="L3725" t="n">
        <v>0</v>
      </c>
      <c r="M3725" t="n">
        <v>0</v>
      </c>
      <c r="N3725" t="n">
        <v>0</v>
      </c>
      <c r="O3725" t="n">
        <v>0</v>
      </c>
      <c r="P3725" t="n">
        <v>0</v>
      </c>
      <c r="Q3725" t="n">
        <v>0</v>
      </c>
      <c r="R3725" s="2" t="inlineStr"/>
    </row>
    <row r="3726" ht="15" customHeight="1">
      <c r="A3726" t="inlineStr">
        <is>
          <t>A 19425-2021</t>
        </is>
      </c>
      <c r="B3726" s="1" t="n">
        <v>44309</v>
      </c>
      <c r="C3726" s="1" t="n">
        <v>45657</v>
      </c>
      <c r="D3726" t="inlineStr">
        <is>
          <t>VÄSTERNORRLANDS LÄN</t>
        </is>
      </c>
      <c r="E3726" t="inlineStr">
        <is>
          <t>KRAMFORS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19516-2021</t>
        </is>
      </c>
      <c r="B3727" s="1" t="n">
        <v>44309</v>
      </c>
      <c r="C3727" s="1" t="n">
        <v>45657</v>
      </c>
      <c r="D3727" t="inlineStr">
        <is>
          <t>VÄSTERNORRLANDS LÄN</t>
        </is>
      </c>
      <c r="E3727" t="inlineStr">
        <is>
          <t>SOLLEFTEÅ</t>
        </is>
      </c>
      <c r="G3727" t="n">
        <v>15.6</v>
      </c>
      <c r="H3727" t="n">
        <v>0</v>
      </c>
      <c r="I3727" t="n">
        <v>0</v>
      </c>
      <c r="J3727" t="n">
        <v>0</v>
      </c>
      <c r="K3727" t="n">
        <v>0</v>
      </c>
      <c r="L3727" t="n">
        <v>0</v>
      </c>
      <c r="M3727" t="n">
        <v>0</v>
      </c>
      <c r="N3727" t="n">
        <v>0</v>
      </c>
      <c r="O3727" t="n">
        <v>0</v>
      </c>
      <c r="P3727" t="n">
        <v>0</v>
      </c>
      <c r="Q3727" t="n">
        <v>0</v>
      </c>
      <c r="R3727" s="2" t="inlineStr"/>
    </row>
    <row r="3728" ht="15" customHeight="1">
      <c r="A3728" t="inlineStr">
        <is>
          <t>A 19438-2021</t>
        </is>
      </c>
      <c r="B3728" s="1" t="n">
        <v>44310</v>
      </c>
      <c r="C3728" s="1" t="n">
        <v>45657</v>
      </c>
      <c r="D3728" t="inlineStr">
        <is>
          <t>VÄSTERNORRLANDS LÄN</t>
        </is>
      </c>
      <c r="E3728" t="inlineStr">
        <is>
          <t>KRAMFORS</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19440-2021</t>
        </is>
      </c>
      <c r="B3729" s="1" t="n">
        <v>44310</v>
      </c>
      <c r="C3729" s="1" t="n">
        <v>45657</v>
      </c>
      <c r="D3729" t="inlineStr">
        <is>
          <t>VÄSTERNORRLANDS LÄN</t>
        </is>
      </c>
      <c r="E3729" t="inlineStr">
        <is>
          <t>KRAMFORS</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19830-2021</t>
        </is>
      </c>
      <c r="B3730" s="1" t="n">
        <v>44312</v>
      </c>
      <c r="C3730" s="1" t="n">
        <v>45657</v>
      </c>
      <c r="D3730" t="inlineStr">
        <is>
          <t>VÄSTERNORRLANDS LÄN</t>
        </is>
      </c>
      <c r="E3730" t="inlineStr">
        <is>
          <t>SOLLEFTEÅ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20416-2021</t>
        </is>
      </c>
      <c r="B3731" s="1" t="n">
        <v>44312</v>
      </c>
      <c r="C3731" s="1" t="n">
        <v>45657</v>
      </c>
      <c r="D3731" t="inlineStr">
        <is>
          <t>VÄSTERNORRLANDS LÄN</t>
        </is>
      </c>
      <c r="E3731" t="inlineStr">
        <is>
          <t>SUNDSVALL</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19729-2021</t>
        </is>
      </c>
      <c r="B3732" s="1" t="n">
        <v>44312</v>
      </c>
      <c r="C3732" s="1" t="n">
        <v>45657</v>
      </c>
      <c r="D3732" t="inlineStr">
        <is>
          <t>VÄSTERNORRLANDS LÄN</t>
        </is>
      </c>
      <c r="E3732" t="inlineStr">
        <is>
          <t>SUNDSVALL</t>
        </is>
      </c>
      <c r="F3732" t="inlineStr">
        <is>
          <t>SCA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20354-2021</t>
        </is>
      </c>
      <c r="B3733" s="1" t="n">
        <v>44312</v>
      </c>
      <c r="C3733" s="1" t="n">
        <v>45657</v>
      </c>
      <c r="D3733" t="inlineStr">
        <is>
          <t>VÄSTERNORRLANDS LÄN</t>
        </is>
      </c>
      <c r="E3733" t="inlineStr">
        <is>
          <t>ÅNGE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19637-2021</t>
        </is>
      </c>
      <c r="B3734" s="1" t="n">
        <v>44312</v>
      </c>
      <c r="C3734" s="1" t="n">
        <v>45657</v>
      </c>
      <c r="D3734" t="inlineStr">
        <is>
          <t>VÄSTERNORRLANDS LÄN</t>
        </is>
      </c>
      <c r="E3734" t="inlineStr">
        <is>
          <t>SOLLEFTEÅ</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19943-2021</t>
        </is>
      </c>
      <c r="B3735" s="1" t="n">
        <v>44313</v>
      </c>
      <c r="C3735" s="1" t="n">
        <v>45657</v>
      </c>
      <c r="D3735" t="inlineStr">
        <is>
          <t>VÄSTERNORRLANDS LÄN</t>
        </is>
      </c>
      <c r="E3735" t="inlineStr">
        <is>
          <t>ÖRNSKÖLDSVIK</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19923-2021</t>
        </is>
      </c>
      <c r="B3736" s="1" t="n">
        <v>44313</v>
      </c>
      <c r="C3736" s="1" t="n">
        <v>45657</v>
      </c>
      <c r="D3736" t="inlineStr">
        <is>
          <t>VÄSTERNORRLANDS LÄN</t>
        </is>
      </c>
      <c r="E3736" t="inlineStr">
        <is>
          <t>ÖRNSKÖLDSVIK</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19940-2021</t>
        </is>
      </c>
      <c r="B3737" s="1" t="n">
        <v>44313</v>
      </c>
      <c r="C3737" s="1" t="n">
        <v>45657</v>
      </c>
      <c r="D3737" t="inlineStr">
        <is>
          <t>VÄSTERNORRLANDS LÄN</t>
        </is>
      </c>
      <c r="E3737" t="inlineStr">
        <is>
          <t>ÖRNSKÖLDSVIK</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20010-2021</t>
        </is>
      </c>
      <c r="B3738" s="1" t="n">
        <v>44313</v>
      </c>
      <c r="C3738" s="1" t="n">
        <v>45657</v>
      </c>
      <c r="D3738" t="inlineStr">
        <is>
          <t>VÄSTERNORRLANDS LÄN</t>
        </is>
      </c>
      <c r="E3738" t="inlineStr">
        <is>
          <t>SUNDSVALL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19970-2021</t>
        </is>
      </c>
      <c r="B3739" s="1" t="n">
        <v>44313</v>
      </c>
      <c r="C3739" s="1" t="n">
        <v>45657</v>
      </c>
      <c r="D3739" t="inlineStr">
        <is>
          <t>VÄSTERNORRLANDS LÄN</t>
        </is>
      </c>
      <c r="E3739" t="inlineStr">
        <is>
          <t>ÅNGE</t>
        </is>
      </c>
      <c r="F3739" t="inlineStr">
        <is>
          <t>Holmen skog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20011-2021</t>
        </is>
      </c>
      <c r="B3740" s="1" t="n">
        <v>44313</v>
      </c>
      <c r="C3740" s="1" t="n">
        <v>45657</v>
      </c>
      <c r="D3740" t="inlineStr">
        <is>
          <t>VÄSTERNORRLANDS LÄN</t>
        </is>
      </c>
      <c r="E3740" t="inlineStr">
        <is>
          <t>SUNDSVALL</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20115-2021</t>
        </is>
      </c>
      <c r="B3741" s="1" t="n">
        <v>44314</v>
      </c>
      <c r="C3741" s="1" t="n">
        <v>45657</v>
      </c>
      <c r="D3741" t="inlineStr">
        <is>
          <t>VÄSTERNORRLANDS LÄN</t>
        </is>
      </c>
      <c r="E3741" t="inlineStr">
        <is>
          <t>ÖRNSKÖLDSVIK</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20123-2021</t>
        </is>
      </c>
      <c r="B3742" s="1" t="n">
        <v>44314</v>
      </c>
      <c r="C3742" s="1" t="n">
        <v>45657</v>
      </c>
      <c r="D3742" t="inlineStr">
        <is>
          <t>VÄSTERNORRLANDS LÄN</t>
        </is>
      </c>
      <c r="E3742" t="inlineStr">
        <is>
          <t>ÖRNSKÖLDSVIK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20296-2021</t>
        </is>
      </c>
      <c r="B3743" s="1" t="n">
        <v>44314</v>
      </c>
      <c r="C3743" s="1" t="n">
        <v>45657</v>
      </c>
      <c r="D3743" t="inlineStr">
        <is>
          <t>VÄSTERNORRLANDS LÄN</t>
        </is>
      </c>
      <c r="E3743" t="inlineStr">
        <is>
          <t>KRAMFORS</t>
        </is>
      </c>
      <c r="F3743" t="inlineStr">
        <is>
          <t>SCA</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20186-2021</t>
        </is>
      </c>
      <c r="B3744" s="1" t="n">
        <v>44314</v>
      </c>
      <c r="C3744" s="1" t="n">
        <v>45657</v>
      </c>
      <c r="D3744" t="inlineStr">
        <is>
          <t>VÄSTERNORRLANDS LÄN</t>
        </is>
      </c>
      <c r="E3744" t="inlineStr">
        <is>
          <t>SUNDSVALL</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20394-2021</t>
        </is>
      </c>
      <c r="B3745" s="1" t="n">
        <v>44314</v>
      </c>
      <c r="C3745" s="1" t="n">
        <v>45657</v>
      </c>
      <c r="D3745" t="inlineStr">
        <is>
          <t>VÄSTERNORRLANDS LÄN</t>
        </is>
      </c>
      <c r="E3745" t="inlineStr">
        <is>
          <t>HÄRNÖSAND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20328-2021</t>
        </is>
      </c>
      <c r="B3746" s="1" t="n">
        <v>44315</v>
      </c>
      <c r="C3746" s="1" t="n">
        <v>45657</v>
      </c>
      <c r="D3746" t="inlineStr">
        <is>
          <t>VÄSTERNORRLANDS LÄN</t>
        </is>
      </c>
      <c r="E3746" t="inlineStr">
        <is>
          <t>ÖRNSKÖLDSVIK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20541-2021</t>
        </is>
      </c>
      <c r="B3747" s="1" t="n">
        <v>44316</v>
      </c>
      <c r="C3747" s="1" t="n">
        <v>45657</v>
      </c>
      <c r="D3747" t="inlineStr">
        <is>
          <t>VÄSTERNORRLANDS LÄN</t>
        </is>
      </c>
      <c r="E3747" t="inlineStr">
        <is>
          <t>KRAMFORS</t>
        </is>
      </c>
      <c r="F3747" t="inlineStr">
        <is>
          <t>SCA</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20545-2021</t>
        </is>
      </c>
      <c r="B3748" s="1" t="n">
        <v>44315</v>
      </c>
      <c r="C3748" s="1" t="n">
        <v>45657</v>
      </c>
      <c r="D3748" t="inlineStr">
        <is>
          <t>VÄSTERNORRLANDS LÄN</t>
        </is>
      </c>
      <c r="E3748" t="inlineStr">
        <is>
          <t>KRAMFORS</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20546-2021</t>
        </is>
      </c>
      <c r="B3749" s="1" t="n">
        <v>44316</v>
      </c>
      <c r="C3749" s="1" t="n">
        <v>45657</v>
      </c>
      <c r="D3749" t="inlineStr">
        <is>
          <t>VÄSTERNORRLANDS LÄN</t>
        </is>
      </c>
      <c r="E3749" t="inlineStr">
        <is>
          <t>KRAMFORS</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20487-2021</t>
        </is>
      </c>
      <c r="B3750" s="1" t="n">
        <v>44315</v>
      </c>
      <c r="C3750" s="1" t="n">
        <v>45657</v>
      </c>
      <c r="D3750" t="inlineStr">
        <is>
          <t>VÄSTERNORRLANDS LÄN</t>
        </is>
      </c>
      <c r="E3750" t="inlineStr">
        <is>
          <t>TIMRÅ</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20514-2021</t>
        </is>
      </c>
      <c r="B3751" s="1" t="n">
        <v>44315</v>
      </c>
      <c r="C3751" s="1" t="n">
        <v>45657</v>
      </c>
      <c r="D3751" t="inlineStr">
        <is>
          <t>VÄSTERNORRLANDS LÄN</t>
        </is>
      </c>
      <c r="E3751" t="inlineStr">
        <is>
          <t>SUNDSVALL</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20543-2021</t>
        </is>
      </c>
      <c r="B3752" s="1" t="n">
        <v>44315</v>
      </c>
      <c r="C3752" s="1" t="n">
        <v>45657</v>
      </c>
      <c r="D3752" t="inlineStr">
        <is>
          <t>VÄSTERNORRLANDS LÄN</t>
        </is>
      </c>
      <c r="E3752" t="inlineStr">
        <is>
          <t>KRAMFORS</t>
        </is>
      </c>
      <c r="F3752" t="inlineStr">
        <is>
          <t>SCA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20542-2021</t>
        </is>
      </c>
      <c r="B3753" s="1" t="n">
        <v>44316</v>
      </c>
      <c r="C3753" s="1" t="n">
        <v>45657</v>
      </c>
      <c r="D3753" t="inlineStr">
        <is>
          <t>VÄSTERNORRLANDS LÄN</t>
        </is>
      </c>
      <c r="E3753" t="inlineStr">
        <is>
          <t>KRAMFORS</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20520-2021</t>
        </is>
      </c>
      <c r="B3754" s="1" t="n">
        <v>44315</v>
      </c>
      <c r="C3754" s="1" t="n">
        <v>45657</v>
      </c>
      <c r="D3754" t="inlineStr">
        <is>
          <t>VÄSTERNORRLANDS LÄN</t>
        </is>
      </c>
      <c r="E3754" t="inlineStr">
        <is>
          <t>SUNDSVALL</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20540-2021</t>
        </is>
      </c>
      <c r="B3755" s="1" t="n">
        <v>44316</v>
      </c>
      <c r="C3755" s="1" t="n">
        <v>45657</v>
      </c>
      <c r="D3755" t="inlineStr">
        <is>
          <t>VÄSTERNORRLANDS LÄN</t>
        </is>
      </c>
      <c r="E3755" t="inlineStr">
        <is>
          <t>KRAMFORS</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20544-2021</t>
        </is>
      </c>
      <c r="B3756" s="1" t="n">
        <v>44316</v>
      </c>
      <c r="C3756" s="1" t="n">
        <v>45657</v>
      </c>
      <c r="D3756" t="inlineStr">
        <is>
          <t>VÄSTERNORRLANDS LÄN</t>
        </is>
      </c>
      <c r="E3756" t="inlineStr">
        <is>
          <t>KRAMFORS</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20554-2021</t>
        </is>
      </c>
      <c r="B3757" s="1" t="n">
        <v>44315</v>
      </c>
      <c r="C3757" s="1" t="n">
        <v>45657</v>
      </c>
      <c r="D3757" t="inlineStr">
        <is>
          <t>VÄSTERNORRLANDS LÄN</t>
        </is>
      </c>
      <c r="E3757" t="inlineStr">
        <is>
          <t>KRAMFORS</t>
        </is>
      </c>
      <c r="F3757" t="inlineStr">
        <is>
          <t>SCA</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20570-2021</t>
        </is>
      </c>
      <c r="B3758" s="1" t="n">
        <v>44316</v>
      </c>
      <c r="C3758" s="1" t="n">
        <v>45657</v>
      </c>
      <c r="D3758" t="inlineStr">
        <is>
          <t>VÄSTERNORRLANDS LÄN</t>
        </is>
      </c>
      <c r="E3758" t="inlineStr">
        <is>
          <t>ÖRNSKÖLDSVIK</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20698-2021</t>
        </is>
      </c>
      <c r="B3759" s="1" t="n">
        <v>44316</v>
      </c>
      <c r="C3759" s="1" t="n">
        <v>45657</v>
      </c>
      <c r="D3759" t="inlineStr">
        <is>
          <t>VÄSTERNORRLANDS LÄN</t>
        </is>
      </c>
      <c r="E3759" t="inlineStr">
        <is>
          <t>SUNDSVALL</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20713-2021</t>
        </is>
      </c>
      <c r="B3760" s="1" t="n">
        <v>44316</v>
      </c>
      <c r="C3760" s="1" t="n">
        <v>45657</v>
      </c>
      <c r="D3760" t="inlineStr">
        <is>
          <t>VÄSTERNORRLANDS LÄN</t>
        </is>
      </c>
      <c r="E3760" t="inlineStr">
        <is>
          <t>SUNDSVALL</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20576-2021</t>
        </is>
      </c>
      <c r="B3761" s="1" t="n">
        <v>44316</v>
      </c>
      <c r="C3761" s="1" t="n">
        <v>45657</v>
      </c>
      <c r="D3761" t="inlineStr">
        <is>
          <t>VÄSTERNORRLANDS LÄN</t>
        </is>
      </c>
      <c r="E3761" t="inlineStr">
        <is>
          <t>ÅNGE</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20660-2021</t>
        </is>
      </c>
      <c r="B3762" s="1" t="n">
        <v>44316</v>
      </c>
      <c r="C3762" s="1" t="n">
        <v>45657</v>
      </c>
      <c r="D3762" t="inlineStr">
        <is>
          <t>VÄSTERNORRLANDS LÄN</t>
        </is>
      </c>
      <c r="E3762" t="inlineStr">
        <is>
          <t>SUNDSVALL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20807-2021</t>
        </is>
      </c>
      <c r="B3763" s="1" t="n">
        <v>44317</v>
      </c>
      <c r="C3763" s="1" t="n">
        <v>45657</v>
      </c>
      <c r="D3763" t="inlineStr">
        <is>
          <t>VÄSTERNORRLANDS LÄN</t>
        </is>
      </c>
      <c r="E3763" t="inlineStr">
        <is>
          <t>ÅNGE</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20732-2021</t>
        </is>
      </c>
      <c r="B3764" s="1" t="n">
        <v>44316</v>
      </c>
      <c r="C3764" s="1" t="n">
        <v>45657</v>
      </c>
      <c r="D3764" t="inlineStr">
        <is>
          <t>VÄSTERNORRLANDS LÄN</t>
        </is>
      </c>
      <c r="E3764" t="inlineStr">
        <is>
          <t>TIMRÅ</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20837-2021</t>
        </is>
      </c>
      <c r="B3765" s="1" t="n">
        <v>44318</v>
      </c>
      <c r="C3765" s="1" t="n">
        <v>45657</v>
      </c>
      <c r="D3765" t="inlineStr">
        <is>
          <t>VÄSTERNORRLANDS LÄN</t>
        </is>
      </c>
      <c r="E3765" t="inlineStr">
        <is>
          <t>ÖRNSKÖLDSVIK</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20885-2021</t>
        </is>
      </c>
      <c r="B3766" s="1" t="n">
        <v>44319</v>
      </c>
      <c r="C3766" s="1" t="n">
        <v>45657</v>
      </c>
      <c r="D3766" t="inlineStr">
        <is>
          <t>VÄSTERNORRLANDS LÄN</t>
        </is>
      </c>
      <c r="E3766" t="inlineStr">
        <is>
          <t>ÖRNSKÖLDSVIK</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20902-2021</t>
        </is>
      </c>
      <c r="B3767" s="1" t="n">
        <v>44319</v>
      </c>
      <c r="C3767" s="1" t="n">
        <v>45657</v>
      </c>
      <c r="D3767" t="inlineStr">
        <is>
          <t>VÄSTERNORRLANDS LÄN</t>
        </is>
      </c>
      <c r="E3767" t="inlineStr">
        <is>
          <t>ÖRNSKÖLDSVIK</t>
        </is>
      </c>
      <c r="F3767" t="inlineStr">
        <is>
          <t>Holmen skog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21198-2021</t>
        </is>
      </c>
      <c r="B3768" s="1" t="n">
        <v>44319</v>
      </c>
      <c r="C3768" s="1" t="n">
        <v>45657</v>
      </c>
      <c r="D3768" t="inlineStr">
        <is>
          <t>VÄSTERNORRLANDS LÄN</t>
        </is>
      </c>
      <c r="E3768" t="inlineStr">
        <is>
          <t>KRAMFORS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21099-2021</t>
        </is>
      </c>
      <c r="B3769" s="1" t="n">
        <v>44319</v>
      </c>
      <c r="C3769" s="1" t="n">
        <v>45657</v>
      </c>
      <c r="D3769" t="inlineStr">
        <is>
          <t>VÄSTERNORRLANDS LÄN</t>
        </is>
      </c>
      <c r="E3769" t="inlineStr">
        <is>
          <t>SUNDSVALL</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21111-2021</t>
        </is>
      </c>
      <c r="B3770" s="1" t="n">
        <v>44319</v>
      </c>
      <c r="C3770" s="1" t="n">
        <v>45657</v>
      </c>
      <c r="D3770" t="inlineStr">
        <is>
          <t>VÄSTERNORRLANDS LÄN</t>
        </is>
      </c>
      <c r="E3770" t="inlineStr">
        <is>
          <t>KRAMFORS</t>
        </is>
      </c>
      <c r="F3770" t="inlineStr">
        <is>
          <t>Kommuner</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21102-2021</t>
        </is>
      </c>
      <c r="B3771" s="1" t="n">
        <v>44319</v>
      </c>
      <c r="C3771" s="1" t="n">
        <v>45657</v>
      </c>
      <c r="D3771" t="inlineStr">
        <is>
          <t>VÄSTERNORRLANDS LÄN</t>
        </is>
      </c>
      <c r="E3771" t="inlineStr">
        <is>
          <t>SUNDSVALL</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21119-2021</t>
        </is>
      </c>
      <c r="B3772" s="1" t="n">
        <v>44320</v>
      </c>
      <c r="C3772" s="1" t="n">
        <v>45657</v>
      </c>
      <c r="D3772" t="inlineStr">
        <is>
          <t>VÄSTERNORRLANDS LÄN</t>
        </is>
      </c>
      <c r="E3772" t="inlineStr">
        <is>
          <t>ÖRNSKÖLDSVIK</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21303-2021</t>
        </is>
      </c>
      <c r="B3773" s="1" t="n">
        <v>44320</v>
      </c>
      <c r="C3773" s="1" t="n">
        <v>45657</v>
      </c>
      <c r="D3773" t="inlineStr">
        <is>
          <t>VÄSTERNORRLANDS LÄN</t>
        </is>
      </c>
      <c r="E3773" t="inlineStr">
        <is>
          <t>ÖRNSKÖLDSVIK</t>
        </is>
      </c>
      <c r="F3773" t="inlineStr">
        <is>
          <t>Holmen skog AB</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21341-2021</t>
        </is>
      </c>
      <c r="B3774" s="1" t="n">
        <v>44321</v>
      </c>
      <c r="C3774" s="1" t="n">
        <v>45657</v>
      </c>
      <c r="D3774" t="inlineStr">
        <is>
          <t>VÄSTERNORRLANDS LÄN</t>
        </is>
      </c>
      <c r="E3774" t="inlineStr">
        <is>
          <t>SOLLEFTEÅ</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21189-2021</t>
        </is>
      </c>
      <c r="B3775" s="1" t="n">
        <v>44320</v>
      </c>
      <c r="C3775" s="1" t="n">
        <v>45657</v>
      </c>
      <c r="D3775" t="inlineStr">
        <is>
          <t>VÄSTERNORRLANDS LÄN</t>
        </is>
      </c>
      <c r="E3775" t="inlineStr">
        <is>
          <t>ÅNGE</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21257-2021</t>
        </is>
      </c>
      <c r="B3776" s="1" t="n">
        <v>44320</v>
      </c>
      <c r="C3776" s="1" t="n">
        <v>45657</v>
      </c>
      <c r="D3776" t="inlineStr">
        <is>
          <t>VÄSTERNORRLANDS LÄN</t>
        </is>
      </c>
      <c r="E3776" t="inlineStr">
        <is>
          <t>HÄRNÖSAND</t>
        </is>
      </c>
      <c r="G3776" t="n">
        <v>12.8</v>
      </c>
      <c r="H3776" t="n">
        <v>0</v>
      </c>
      <c r="I3776" t="n">
        <v>0</v>
      </c>
      <c r="J3776" t="n">
        <v>0</v>
      </c>
      <c r="K3776" t="n">
        <v>0</v>
      </c>
      <c r="L3776" t="n">
        <v>0</v>
      </c>
      <c r="M3776" t="n">
        <v>0</v>
      </c>
      <c r="N3776" t="n">
        <v>0</v>
      </c>
      <c r="O3776" t="n">
        <v>0</v>
      </c>
      <c r="P3776" t="n">
        <v>0</v>
      </c>
      <c r="Q3776" t="n">
        <v>0</v>
      </c>
      <c r="R3776" s="2" t="inlineStr"/>
    </row>
    <row r="3777" ht="15" customHeight="1">
      <c r="A3777" t="inlineStr">
        <is>
          <t>A 21268-2021</t>
        </is>
      </c>
      <c r="B3777" s="1" t="n">
        <v>44320</v>
      </c>
      <c r="C3777" s="1" t="n">
        <v>45657</v>
      </c>
      <c r="D3777" t="inlineStr">
        <is>
          <t>VÄSTERNORRLANDS LÄN</t>
        </is>
      </c>
      <c r="E3777" t="inlineStr">
        <is>
          <t>HÄRNÖSAND</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21301-2021</t>
        </is>
      </c>
      <c r="B3778" s="1" t="n">
        <v>44320</v>
      </c>
      <c r="C3778" s="1" t="n">
        <v>45657</v>
      </c>
      <c r="D3778" t="inlineStr">
        <is>
          <t>VÄSTERNORRLANDS LÄN</t>
        </is>
      </c>
      <c r="E3778" t="inlineStr">
        <is>
          <t>ÖRNSKÖLDSVIK</t>
        </is>
      </c>
      <c r="F3778" t="inlineStr">
        <is>
          <t>Holmen skog AB</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21304-2021</t>
        </is>
      </c>
      <c r="B3779" s="1" t="n">
        <v>44320</v>
      </c>
      <c r="C3779" s="1" t="n">
        <v>45657</v>
      </c>
      <c r="D3779" t="inlineStr">
        <is>
          <t>VÄSTERNORRLANDS LÄN</t>
        </is>
      </c>
      <c r="E3779" t="inlineStr">
        <is>
          <t>ÖRNSKÖLDSVIK</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21350-2021</t>
        </is>
      </c>
      <c r="B3780" s="1" t="n">
        <v>44321</v>
      </c>
      <c r="C3780" s="1" t="n">
        <v>45657</v>
      </c>
      <c r="D3780" t="inlineStr">
        <is>
          <t>VÄSTERNORRLANDS LÄN</t>
        </is>
      </c>
      <c r="E3780" t="inlineStr">
        <is>
          <t>SOLLEFTEÅ</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21358-2021</t>
        </is>
      </c>
      <c r="B3781" s="1" t="n">
        <v>44320</v>
      </c>
      <c r="C3781" s="1" t="n">
        <v>45657</v>
      </c>
      <c r="D3781" t="inlineStr">
        <is>
          <t>VÄSTERNORRLANDS LÄN</t>
        </is>
      </c>
      <c r="E3781" t="inlineStr">
        <is>
          <t>SOLLEFTEÅ</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21370-2021</t>
        </is>
      </c>
      <c r="B3782" s="1" t="n">
        <v>44320</v>
      </c>
      <c r="C3782" s="1" t="n">
        <v>45657</v>
      </c>
      <c r="D3782" t="inlineStr">
        <is>
          <t>VÄSTERNORRLANDS LÄN</t>
        </is>
      </c>
      <c r="E3782" t="inlineStr">
        <is>
          <t>SUNDSVALL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21427-2021</t>
        </is>
      </c>
      <c r="B3783" s="1" t="n">
        <v>44320</v>
      </c>
      <c r="C3783" s="1" t="n">
        <v>45657</v>
      </c>
      <c r="D3783" t="inlineStr">
        <is>
          <t>VÄSTERNORRLANDS LÄN</t>
        </is>
      </c>
      <c r="E3783" t="inlineStr">
        <is>
          <t>SUNDSVALL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21362-2021</t>
        </is>
      </c>
      <c r="B3784" s="1" t="n">
        <v>44321</v>
      </c>
      <c r="C3784" s="1" t="n">
        <v>45657</v>
      </c>
      <c r="D3784" t="inlineStr">
        <is>
          <t>VÄSTERNORRLANDS LÄN</t>
        </is>
      </c>
      <c r="E3784" t="inlineStr">
        <is>
          <t>SOLLEFTEÅ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21501-2021</t>
        </is>
      </c>
      <c r="B3785" s="1" t="n">
        <v>44320</v>
      </c>
      <c r="C3785" s="1" t="n">
        <v>45657</v>
      </c>
      <c r="D3785" t="inlineStr">
        <is>
          <t>VÄSTERNORRLANDS LÄN</t>
        </is>
      </c>
      <c r="E3785" t="inlineStr">
        <is>
          <t>KRAMFORS</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21531-2021</t>
        </is>
      </c>
      <c r="B3786" s="1" t="n">
        <v>44321</v>
      </c>
      <c r="C3786" s="1" t="n">
        <v>45657</v>
      </c>
      <c r="D3786" t="inlineStr">
        <is>
          <t>VÄSTERNORRLANDS LÄN</t>
        </is>
      </c>
      <c r="E3786" t="inlineStr">
        <is>
          <t>HÄRNÖSAND</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21542-2021</t>
        </is>
      </c>
      <c r="B3787" s="1" t="n">
        <v>44321</v>
      </c>
      <c r="C3787" s="1" t="n">
        <v>45657</v>
      </c>
      <c r="D3787" t="inlineStr">
        <is>
          <t>VÄSTERNORRLANDS LÄN</t>
        </is>
      </c>
      <c r="E3787" t="inlineStr">
        <is>
          <t>HÄRNÖSAND</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21532-2021</t>
        </is>
      </c>
      <c r="B3788" s="1" t="n">
        <v>44321</v>
      </c>
      <c r="C3788" s="1" t="n">
        <v>45657</v>
      </c>
      <c r="D3788" t="inlineStr">
        <is>
          <t>VÄSTERNORRLANDS LÄN</t>
        </is>
      </c>
      <c r="E3788" t="inlineStr">
        <is>
          <t>SOLLEFTEÅ</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21373-2021</t>
        </is>
      </c>
      <c r="B3789" s="1" t="n">
        <v>44321</v>
      </c>
      <c r="C3789" s="1" t="n">
        <v>45657</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21434-2021</t>
        </is>
      </c>
      <c r="B3790" s="1" t="n">
        <v>44321</v>
      </c>
      <c r="C3790" s="1" t="n">
        <v>45657</v>
      </c>
      <c r="D3790" t="inlineStr">
        <is>
          <t>VÄSTERNORRLANDS LÄN</t>
        </is>
      </c>
      <c r="E3790" t="inlineStr">
        <is>
          <t>ÖRNSKÖLDSVIK</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21619-2021</t>
        </is>
      </c>
      <c r="B3791" s="1" t="n">
        <v>44321</v>
      </c>
      <c r="C3791" s="1" t="n">
        <v>45657</v>
      </c>
      <c r="D3791" t="inlineStr">
        <is>
          <t>VÄSTERNORRLANDS LÄN</t>
        </is>
      </c>
      <c r="E3791" t="inlineStr">
        <is>
          <t>HÄRNÖSAND</t>
        </is>
      </c>
      <c r="G3791" t="n">
        <v>45.6</v>
      </c>
      <c r="H3791" t="n">
        <v>0</v>
      </c>
      <c r="I3791" t="n">
        <v>0</v>
      </c>
      <c r="J3791" t="n">
        <v>0</v>
      </c>
      <c r="K3791" t="n">
        <v>0</v>
      </c>
      <c r="L3791" t="n">
        <v>0</v>
      </c>
      <c r="M3791" t="n">
        <v>0</v>
      </c>
      <c r="N3791" t="n">
        <v>0</v>
      </c>
      <c r="O3791" t="n">
        <v>0</v>
      </c>
      <c r="P3791" t="n">
        <v>0</v>
      </c>
      <c r="Q3791" t="n">
        <v>0</v>
      </c>
      <c r="R3791" s="2" t="inlineStr"/>
    </row>
    <row r="3792" ht="15" customHeight="1">
      <c r="A3792" t="inlineStr">
        <is>
          <t>A 21642-2021</t>
        </is>
      </c>
      <c r="B3792" s="1" t="n">
        <v>44322</v>
      </c>
      <c r="C3792" s="1" t="n">
        <v>45657</v>
      </c>
      <c r="D3792" t="inlineStr">
        <is>
          <t>VÄSTERNORRLANDS LÄN</t>
        </is>
      </c>
      <c r="E3792" t="inlineStr">
        <is>
          <t>ÅNGE</t>
        </is>
      </c>
      <c r="F3792" t="inlineStr">
        <is>
          <t>SCA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21589-2021</t>
        </is>
      </c>
      <c r="B3793" s="1" t="n">
        <v>44321</v>
      </c>
      <c r="C3793" s="1" t="n">
        <v>45657</v>
      </c>
      <c r="D3793" t="inlineStr">
        <is>
          <t>VÄSTERNORRLANDS LÄN</t>
        </is>
      </c>
      <c r="E3793" t="inlineStr">
        <is>
          <t>SOLLEFTEÅ</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21644-2021</t>
        </is>
      </c>
      <c r="B3794" s="1" t="n">
        <v>44321</v>
      </c>
      <c r="C3794" s="1" t="n">
        <v>45657</v>
      </c>
      <c r="D3794" t="inlineStr">
        <is>
          <t>VÄSTERNORRLANDS LÄN</t>
        </is>
      </c>
      <c r="E3794" t="inlineStr">
        <is>
          <t>KRAMFORS</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21625-2021</t>
        </is>
      </c>
      <c r="B3795" s="1" t="n">
        <v>44322</v>
      </c>
      <c r="C3795" s="1" t="n">
        <v>45657</v>
      </c>
      <c r="D3795" t="inlineStr">
        <is>
          <t>VÄSTERNORRLANDS LÄN</t>
        </is>
      </c>
      <c r="E3795" t="inlineStr">
        <is>
          <t>ÅNGE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22266-2021</t>
        </is>
      </c>
      <c r="B3796" s="1" t="n">
        <v>44321</v>
      </c>
      <c r="C3796" s="1" t="n">
        <v>45657</v>
      </c>
      <c r="D3796" t="inlineStr">
        <is>
          <t>VÄSTERNORRLANDS LÄN</t>
        </is>
      </c>
      <c r="E3796" t="inlineStr">
        <is>
          <t>HÄRNÖSAND</t>
        </is>
      </c>
      <c r="G3796" t="n">
        <v>37.5</v>
      </c>
      <c r="H3796" t="n">
        <v>0</v>
      </c>
      <c r="I3796" t="n">
        <v>0</v>
      </c>
      <c r="J3796" t="n">
        <v>0</v>
      </c>
      <c r="K3796" t="n">
        <v>0</v>
      </c>
      <c r="L3796" t="n">
        <v>0</v>
      </c>
      <c r="M3796" t="n">
        <v>0</v>
      </c>
      <c r="N3796" t="n">
        <v>0</v>
      </c>
      <c r="O3796" t="n">
        <v>0</v>
      </c>
      <c r="P3796" t="n">
        <v>0</v>
      </c>
      <c r="Q3796" t="n">
        <v>0</v>
      </c>
      <c r="R3796" s="2" t="inlineStr"/>
    </row>
    <row r="3797" ht="15" customHeight="1">
      <c r="A3797" t="inlineStr">
        <is>
          <t>A 22662-2021</t>
        </is>
      </c>
      <c r="B3797" s="1" t="n">
        <v>44321</v>
      </c>
      <c r="C3797" s="1" t="n">
        <v>45657</v>
      </c>
      <c r="D3797" t="inlineStr">
        <is>
          <t>VÄSTERNORRLANDS LÄN</t>
        </is>
      </c>
      <c r="E3797" t="inlineStr">
        <is>
          <t>HÄRNÖSAND</t>
        </is>
      </c>
      <c r="G3797" t="n">
        <v>12.7</v>
      </c>
      <c r="H3797" t="n">
        <v>0</v>
      </c>
      <c r="I3797" t="n">
        <v>0</v>
      </c>
      <c r="J3797" t="n">
        <v>0</v>
      </c>
      <c r="K3797" t="n">
        <v>0</v>
      </c>
      <c r="L3797" t="n">
        <v>0</v>
      </c>
      <c r="M3797" t="n">
        <v>0</v>
      </c>
      <c r="N3797" t="n">
        <v>0</v>
      </c>
      <c r="O3797" t="n">
        <v>0</v>
      </c>
      <c r="P3797" t="n">
        <v>0</v>
      </c>
      <c r="Q3797" t="n">
        <v>0</v>
      </c>
      <c r="R3797" s="2" t="inlineStr"/>
    </row>
    <row r="3798" ht="15" customHeight="1">
      <c r="A3798" t="inlineStr">
        <is>
          <t>A 21630-2021</t>
        </is>
      </c>
      <c r="B3798" s="1" t="n">
        <v>44321</v>
      </c>
      <c r="C3798" s="1" t="n">
        <v>45657</v>
      </c>
      <c r="D3798" t="inlineStr">
        <is>
          <t>VÄSTERNORRLANDS LÄN</t>
        </is>
      </c>
      <c r="E3798" t="inlineStr">
        <is>
          <t>ÖRNSKÖLDSVIK</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21711-2021</t>
        </is>
      </c>
      <c r="B3799" s="1" t="n">
        <v>44322</v>
      </c>
      <c r="C3799" s="1" t="n">
        <v>45657</v>
      </c>
      <c r="D3799" t="inlineStr">
        <is>
          <t>VÄSTERNORRLANDS LÄN</t>
        </is>
      </c>
      <c r="E3799" t="inlineStr">
        <is>
          <t>SOLLEFTEÅ</t>
        </is>
      </c>
      <c r="F3799" t="inlineStr">
        <is>
          <t>Kyrkan</t>
        </is>
      </c>
      <c r="G3799" t="n">
        <v>22.2</v>
      </c>
      <c r="H3799" t="n">
        <v>0</v>
      </c>
      <c r="I3799" t="n">
        <v>0</v>
      </c>
      <c r="J3799" t="n">
        <v>0</v>
      </c>
      <c r="K3799" t="n">
        <v>0</v>
      </c>
      <c r="L3799" t="n">
        <v>0</v>
      </c>
      <c r="M3799" t="n">
        <v>0</v>
      </c>
      <c r="N3799" t="n">
        <v>0</v>
      </c>
      <c r="O3799" t="n">
        <v>0</v>
      </c>
      <c r="P3799" t="n">
        <v>0</v>
      </c>
      <c r="Q3799" t="n">
        <v>0</v>
      </c>
      <c r="R3799" s="2" t="inlineStr"/>
    </row>
    <row r="3800" ht="15" customHeight="1">
      <c r="A3800" t="inlineStr">
        <is>
          <t>A 21924-2021</t>
        </is>
      </c>
      <c r="B3800" s="1" t="n">
        <v>44323</v>
      </c>
      <c r="C3800" s="1" t="n">
        <v>45657</v>
      </c>
      <c r="D3800" t="inlineStr">
        <is>
          <t>VÄSTERNORRLANDS LÄN</t>
        </is>
      </c>
      <c r="E3800" t="inlineStr">
        <is>
          <t>SOLLEFTEÅ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21960-2021</t>
        </is>
      </c>
      <c r="B3801" s="1" t="n">
        <v>44323</v>
      </c>
      <c r="C3801" s="1" t="n">
        <v>45657</v>
      </c>
      <c r="D3801" t="inlineStr">
        <is>
          <t>VÄSTERNORRLANDS LÄN</t>
        </is>
      </c>
      <c r="E3801" t="inlineStr">
        <is>
          <t>ÅNGE</t>
        </is>
      </c>
      <c r="F3801" t="inlineStr">
        <is>
          <t>Holmen skog AB</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22317-2021</t>
        </is>
      </c>
      <c r="B3802" s="1" t="n">
        <v>44323</v>
      </c>
      <c r="C3802" s="1" t="n">
        <v>45657</v>
      </c>
      <c r="D3802" t="inlineStr">
        <is>
          <t>VÄSTERNORRLANDS LÄN</t>
        </is>
      </c>
      <c r="E3802" t="inlineStr">
        <is>
          <t>KRAMFORS</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22447-2021</t>
        </is>
      </c>
      <c r="B3803" s="1" t="n">
        <v>44323</v>
      </c>
      <c r="C3803" s="1" t="n">
        <v>45657</v>
      </c>
      <c r="D3803" t="inlineStr">
        <is>
          <t>VÄSTERNORRLANDS LÄN</t>
        </is>
      </c>
      <c r="E3803" t="inlineStr">
        <is>
          <t>SOLLEFTEÅ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22441-2021</t>
        </is>
      </c>
      <c r="B3804" s="1" t="n">
        <v>44323</v>
      </c>
      <c r="C3804" s="1" t="n">
        <v>45657</v>
      </c>
      <c r="D3804" t="inlineStr">
        <is>
          <t>VÄSTERNORRLANDS LÄN</t>
        </is>
      </c>
      <c r="E3804" t="inlineStr">
        <is>
          <t>SOLLEFTEÅ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22224-2021</t>
        </is>
      </c>
      <c r="B3805" s="1" t="n">
        <v>44326</v>
      </c>
      <c r="C3805" s="1" t="n">
        <v>45657</v>
      </c>
      <c r="D3805" t="inlineStr">
        <is>
          <t>VÄSTERNORRLANDS LÄN</t>
        </is>
      </c>
      <c r="E3805" t="inlineStr">
        <is>
          <t>SOLLEFTEÅ</t>
        </is>
      </c>
      <c r="F3805" t="inlineStr">
        <is>
          <t>Kommuner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22336-2021</t>
        </is>
      </c>
      <c r="B3806" s="1" t="n">
        <v>44326</v>
      </c>
      <c r="C3806" s="1" t="n">
        <v>45657</v>
      </c>
      <c r="D3806" t="inlineStr">
        <is>
          <t>VÄSTERNORRLANDS LÄN</t>
        </is>
      </c>
      <c r="E3806" t="inlineStr">
        <is>
          <t>SUNDSVALL</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22351-2021</t>
        </is>
      </c>
      <c r="B3807" s="1" t="n">
        <v>44326</v>
      </c>
      <c r="C3807" s="1" t="n">
        <v>45657</v>
      </c>
      <c r="D3807" t="inlineStr">
        <is>
          <t>VÄSTERNORRLANDS LÄN</t>
        </is>
      </c>
      <c r="E3807" t="inlineStr">
        <is>
          <t>ÖRNSKÖLDSVIK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22237-2021</t>
        </is>
      </c>
      <c r="B3808" s="1" t="n">
        <v>44326</v>
      </c>
      <c r="C3808" s="1" t="n">
        <v>45657</v>
      </c>
      <c r="D3808" t="inlineStr">
        <is>
          <t>VÄSTERNORRLANDS LÄN</t>
        </is>
      </c>
      <c r="E3808" t="inlineStr">
        <is>
          <t>ÅNGE</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22344-2021</t>
        </is>
      </c>
      <c r="B3809" s="1" t="n">
        <v>44326</v>
      </c>
      <c r="C3809" s="1" t="n">
        <v>45657</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22254-2021</t>
        </is>
      </c>
      <c r="B3810" s="1" t="n">
        <v>44326</v>
      </c>
      <c r="C3810" s="1" t="n">
        <v>45657</v>
      </c>
      <c r="D3810" t="inlineStr">
        <is>
          <t>VÄSTERNORRLANDS LÄN</t>
        </is>
      </c>
      <c r="E3810" t="inlineStr">
        <is>
          <t>ÖRNSKÖLDSVIK</t>
        </is>
      </c>
      <c r="F3810" t="inlineStr">
        <is>
          <t>Holmen skog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22253-2021</t>
        </is>
      </c>
      <c r="B3811" s="1" t="n">
        <v>44326</v>
      </c>
      <c r="C3811" s="1" t="n">
        <v>45657</v>
      </c>
      <c r="D3811" t="inlineStr">
        <is>
          <t>VÄSTERNORRLANDS LÄN</t>
        </is>
      </c>
      <c r="E3811" t="inlineStr">
        <is>
          <t>ÖRNSKÖLDSVIK</t>
        </is>
      </c>
      <c r="F3811" t="inlineStr">
        <is>
          <t>Holmen skog AB</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22928-2021</t>
        </is>
      </c>
      <c r="B3812" s="1" t="n">
        <v>44326</v>
      </c>
      <c r="C3812" s="1" t="n">
        <v>45657</v>
      </c>
      <c r="D3812" t="inlineStr">
        <is>
          <t>VÄSTERNORRLANDS LÄN</t>
        </is>
      </c>
      <c r="E3812" t="inlineStr">
        <is>
          <t>ÖRNSKÖLDSVIK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22597-2021</t>
        </is>
      </c>
      <c r="B3813" s="1" t="n">
        <v>44326</v>
      </c>
      <c r="C3813" s="1" t="n">
        <v>45657</v>
      </c>
      <c r="D3813" t="inlineStr">
        <is>
          <t>VÄSTERNORRLANDS LÄN</t>
        </is>
      </c>
      <c r="E3813" t="inlineStr">
        <is>
          <t>ÅNGE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22806-2021</t>
        </is>
      </c>
      <c r="B3814" s="1" t="n">
        <v>44327</v>
      </c>
      <c r="C3814" s="1" t="n">
        <v>45657</v>
      </c>
      <c r="D3814" t="inlineStr">
        <is>
          <t>VÄSTERNORRLANDS LÄN</t>
        </is>
      </c>
      <c r="E3814" t="inlineStr">
        <is>
          <t>ÖRNSKÖLDSVIK</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22934-2021</t>
        </is>
      </c>
      <c r="B3815" s="1" t="n">
        <v>44328</v>
      </c>
      <c r="C3815" s="1" t="n">
        <v>45657</v>
      </c>
      <c r="D3815" t="inlineStr">
        <is>
          <t>VÄSTERNORRLANDS LÄN</t>
        </is>
      </c>
      <c r="E3815" t="inlineStr">
        <is>
          <t>SOLLEFTEÅ</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23002-2021</t>
        </is>
      </c>
      <c r="B3816" s="1" t="n">
        <v>44328</v>
      </c>
      <c r="C3816" s="1" t="n">
        <v>45657</v>
      </c>
      <c r="D3816" t="inlineStr">
        <is>
          <t>VÄSTERNORRLANDS LÄN</t>
        </is>
      </c>
      <c r="E3816" t="inlineStr">
        <is>
          <t>ÖRNSKÖLDSVIK</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23018-2021</t>
        </is>
      </c>
      <c r="B3817" s="1" t="n">
        <v>44328</v>
      </c>
      <c r="C3817" s="1" t="n">
        <v>45657</v>
      </c>
      <c r="D3817" t="inlineStr">
        <is>
          <t>VÄSTERNORRLANDS LÄN</t>
        </is>
      </c>
      <c r="E3817" t="inlineStr">
        <is>
          <t>ÅNGE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23033-2021</t>
        </is>
      </c>
      <c r="B3818" s="1" t="n">
        <v>44329</v>
      </c>
      <c r="C3818" s="1" t="n">
        <v>45657</v>
      </c>
      <c r="D3818" t="inlineStr">
        <is>
          <t>VÄSTERNORRLANDS LÄN</t>
        </is>
      </c>
      <c r="E3818" t="inlineStr">
        <is>
          <t>SOLLEFTEÅ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22910-2021</t>
        </is>
      </c>
      <c r="B3819" s="1" t="n">
        <v>44328</v>
      </c>
      <c r="C3819" s="1" t="n">
        <v>45657</v>
      </c>
      <c r="D3819" t="inlineStr">
        <is>
          <t>VÄSTERNORRLANDS LÄN</t>
        </is>
      </c>
      <c r="E3819" t="inlineStr">
        <is>
          <t>KRAMFORS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23001-2021</t>
        </is>
      </c>
      <c r="B3820" s="1" t="n">
        <v>44328</v>
      </c>
      <c r="C3820" s="1" t="n">
        <v>45657</v>
      </c>
      <c r="D3820" t="inlineStr">
        <is>
          <t>VÄSTERNORRLANDS LÄN</t>
        </is>
      </c>
      <c r="E3820" t="inlineStr">
        <is>
          <t>ÖRNSKÖLDSVIK</t>
        </is>
      </c>
      <c r="F3820" t="inlineStr">
        <is>
          <t>Holmen skog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23017-2021</t>
        </is>
      </c>
      <c r="B3821" s="1" t="n">
        <v>44329</v>
      </c>
      <c r="C3821" s="1" t="n">
        <v>45657</v>
      </c>
      <c r="D3821" t="inlineStr">
        <is>
          <t>VÄSTERNORRLANDS LÄN</t>
        </is>
      </c>
      <c r="E3821" t="inlineStr">
        <is>
          <t>ÅNGE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23032-2021</t>
        </is>
      </c>
      <c r="B3822" s="1" t="n">
        <v>44329</v>
      </c>
      <c r="C3822" s="1" t="n">
        <v>45657</v>
      </c>
      <c r="D3822" t="inlineStr">
        <is>
          <t>VÄSTERNORRLANDS LÄN</t>
        </is>
      </c>
      <c r="E3822" t="inlineStr">
        <is>
          <t>SOLLEFTEÅ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23034-2021</t>
        </is>
      </c>
      <c r="B3823" s="1" t="n">
        <v>44329</v>
      </c>
      <c r="C3823" s="1" t="n">
        <v>45657</v>
      </c>
      <c r="D3823" t="inlineStr">
        <is>
          <t>VÄSTERNORRLANDS LÄN</t>
        </is>
      </c>
      <c r="E3823" t="inlineStr">
        <is>
          <t>SOLLEFTEÅ</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23000-2021</t>
        </is>
      </c>
      <c r="B3824" s="1" t="n">
        <v>44328</v>
      </c>
      <c r="C3824" s="1" t="n">
        <v>45657</v>
      </c>
      <c r="D3824" t="inlineStr">
        <is>
          <t>VÄSTERNORRLANDS LÄN</t>
        </is>
      </c>
      <c r="E3824" t="inlineStr">
        <is>
          <t>ÖRNSKÖLDSVIK</t>
        </is>
      </c>
      <c r="F3824" t="inlineStr">
        <is>
          <t>Holmen skog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23016-2021</t>
        </is>
      </c>
      <c r="B3825" s="1" t="n">
        <v>44329</v>
      </c>
      <c r="C3825" s="1" t="n">
        <v>45657</v>
      </c>
      <c r="D3825" t="inlineStr">
        <is>
          <t>VÄSTERNORRLANDS LÄN</t>
        </is>
      </c>
      <c r="E3825" t="inlineStr">
        <is>
          <t>ÅNGE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23030-2021</t>
        </is>
      </c>
      <c r="B3826" s="1" t="n">
        <v>44329</v>
      </c>
      <c r="C3826" s="1" t="n">
        <v>45657</v>
      </c>
      <c r="D3826" t="inlineStr">
        <is>
          <t>VÄSTERNORRLANDS LÄN</t>
        </is>
      </c>
      <c r="E3826" t="inlineStr">
        <is>
          <t>SOLLEFTEÅ</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23069-2021</t>
        </is>
      </c>
      <c r="B3827" s="1" t="n">
        <v>44330</v>
      </c>
      <c r="C3827" s="1" t="n">
        <v>45657</v>
      </c>
      <c r="D3827" t="inlineStr">
        <is>
          <t>VÄSTERNORRLANDS LÄN</t>
        </is>
      </c>
      <c r="E3827" t="inlineStr">
        <is>
          <t>SOLLEFTEÅ</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23052-2021</t>
        </is>
      </c>
      <c r="B3828" s="1" t="n">
        <v>44329</v>
      </c>
      <c r="C3828" s="1" t="n">
        <v>45657</v>
      </c>
      <c r="D3828" t="inlineStr">
        <is>
          <t>VÄSTERNORRLANDS LÄN</t>
        </is>
      </c>
      <c r="E3828" t="inlineStr">
        <is>
          <t>SUNDSVALL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23207-2021</t>
        </is>
      </c>
      <c r="B3829" s="1" t="n">
        <v>44333</v>
      </c>
      <c r="C3829" s="1" t="n">
        <v>45657</v>
      </c>
      <c r="D3829" t="inlineStr">
        <is>
          <t>VÄSTERNORRLANDS LÄN</t>
        </is>
      </c>
      <c r="E3829" t="inlineStr">
        <is>
          <t>ÖRNSKÖLDSVIK</t>
        </is>
      </c>
      <c r="F3829" t="inlineStr">
        <is>
          <t>Holmen skog AB</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23394-2021</t>
        </is>
      </c>
      <c r="B3830" s="1" t="n">
        <v>44333</v>
      </c>
      <c r="C3830" s="1" t="n">
        <v>45657</v>
      </c>
      <c r="D3830" t="inlineStr">
        <is>
          <t>VÄSTERNORRLANDS LÄN</t>
        </is>
      </c>
      <c r="E3830" t="inlineStr">
        <is>
          <t>SOLLEFTEÅ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23482-2021</t>
        </is>
      </c>
      <c r="B3831" s="1" t="n">
        <v>44334</v>
      </c>
      <c r="C3831" s="1" t="n">
        <v>45657</v>
      </c>
      <c r="D3831" t="inlineStr">
        <is>
          <t>VÄSTERNORRLANDS LÄN</t>
        </is>
      </c>
      <c r="E3831" t="inlineStr">
        <is>
          <t>KRAMFORS</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23483-2021</t>
        </is>
      </c>
      <c r="B3832" s="1" t="n">
        <v>44333</v>
      </c>
      <c r="C3832" s="1" t="n">
        <v>45657</v>
      </c>
      <c r="D3832" t="inlineStr">
        <is>
          <t>VÄSTERNORRLANDS LÄN</t>
        </is>
      </c>
      <c r="E3832" t="inlineStr">
        <is>
          <t>KRAMFORS</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23480-2021</t>
        </is>
      </c>
      <c r="B3833" s="1" t="n">
        <v>44333</v>
      </c>
      <c r="C3833" s="1" t="n">
        <v>45657</v>
      </c>
      <c r="D3833" t="inlineStr">
        <is>
          <t>VÄSTERNORRLANDS LÄN</t>
        </is>
      </c>
      <c r="E3833" t="inlineStr">
        <is>
          <t>SUNDSVALL</t>
        </is>
      </c>
      <c r="F3833" t="inlineStr">
        <is>
          <t>SCA</t>
        </is>
      </c>
      <c r="G3833" t="n">
        <v>10.5</v>
      </c>
      <c r="H3833" t="n">
        <v>0</v>
      </c>
      <c r="I3833" t="n">
        <v>0</v>
      </c>
      <c r="J3833" t="n">
        <v>0</v>
      </c>
      <c r="K3833" t="n">
        <v>0</v>
      </c>
      <c r="L3833" t="n">
        <v>0</v>
      </c>
      <c r="M3833" t="n">
        <v>0</v>
      </c>
      <c r="N3833" t="n">
        <v>0</v>
      </c>
      <c r="O3833" t="n">
        <v>0</v>
      </c>
      <c r="P3833" t="n">
        <v>0</v>
      </c>
      <c r="Q3833" t="n">
        <v>0</v>
      </c>
      <c r="R3833" s="2" t="inlineStr"/>
    </row>
    <row r="3834" ht="15" customHeight="1">
      <c r="A3834" t="inlineStr">
        <is>
          <t>A 23503-2021</t>
        </is>
      </c>
      <c r="B3834" s="1" t="n">
        <v>44334</v>
      </c>
      <c r="C3834" s="1" t="n">
        <v>45657</v>
      </c>
      <c r="D3834" t="inlineStr">
        <is>
          <t>VÄSTERNORRLANDS LÄN</t>
        </is>
      </c>
      <c r="E3834" t="inlineStr">
        <is>
          <t>KRAMFORS</t>
        </is>
      </c>
      <c r="F3834" t="inlineStr">
        <is>
          <t>SCA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23477-2021</t>
        </is>
      </c>
      <c r="B3835" s="1" t="n">
        <v>44334</v>
      </c>
      <c r="C3835" s="1" t="n">
        <v>45657</v>
      </c>
      <c r="D3835" t="inlineStr">
        <is>
          <t>VÄSTERNORRLANDS LÄN</t>
        </is>
      </c>
      <c r="E3835" t="inlineStr">
        <is>
          <t>KRAMFORS</t>
        </is>
      </c>
      <c r="F3835" t="inlineStr">
        <is>
          <t>SCA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23639-2021</t>
        </is>
      </c>
      <c r="B3836" s="1" t="n">
        <v>44334</v>
      </c>
      <c r="C3836" s="1" t="n">
        <v>45657</v>
      </c>
      <c r="D3836" t="inlineStr">
        <is>
          <t>VÄSTERNORRLANDS LÄN</t>
        </is>
      </c>
      <c r="E3836" t="inlineStr">
        <is>
          <t>SOLLEFTEÅ</t>
        </is>
      </c>
      <c r="F3836" t="inlineStr">
        <is>
          <t>Kyrkan</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23574-2021</t>
        </is>
      </c>
      <c r="B3837" s="1" t="n">
        <v>44334</v>
      </c>
      <c r="C3837" s="1" t="n">
        <v>45657</v>
      </c>
      <c r="D3837" t="inlineStr">
        <is>
          <t>VÄSTERNORRLANDS LÄN</t>
        </is>
      </c>
      <c r="E3837" t="inlineStr">
        <is>
          <t>ÖRNSKÖLDSVIK</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23611-2021</t>
        </is>
      </c>
      <c r="B3838" s="1" t="n">
        <v>44334</v>
      </c>
      <c r="C3838" s="1" t="n">
        <v>45657</v>
      </c>
      <c r="D3838" t="inlineStr">
        <is>
          <t>VÄSTERNORRLANDS LÄN</t>
        </is>
      </c>
      <c r="E3838" t="inlineStr">
        <is>
          <t>TIMRÅ</t>
        </is>
      </c>
      <c r="G3838" t="n">
        <v>13.7</v>
      </c>
      <c r="H3838" t="n">
        <v>0</v>
      </c>
      <c r="I3838" t="n">
        <v>0</v>
      </c>
      <c r="J3838" t="n">
        <v>0</v>
      </c>
      <c r="K3838" t="n">
        <v>0</v>
      </c>
      <c r="L3838" t="n">
        <v>0</v>
      </c>
      <c r="M3838" t="n">
        <v>0</v>
      </c>
      <c r="N3838" t="n">
        <v>0</v>
      </c>
      <c r="O3838" t="n">
        <v>0</v>
      </c>
      <c r="P3838" t="n">
        <v>0</v>
      </c>
      <c r="Q3838" t="n">
        <v>0</v>
      </c>
      <c r="R3838" s="2" t="inlineStr"/>
    </row>
    <row r="3839" ht="15" customHeight="1">
      <c r="A3839" t="inlineStr">
        <is>
          <t>A 23755-2021</t>
        </is>
      </c>
      <c r="B3839" s="1" t="n">
        <v>44334</v>
      </c>
      <c r="C3839" s="1" t="n">
        <v>45657</v>
      </c>
      <c r="D3839" t="inlineStr">
        <is>
          <t>VÄSTERNORRLANDS LÄN</t>
        </is>
      </c>
      <c r="E3839" t="inlineStr">
        <is>
          <t>KRAMFORS</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23689-2021</t>
        </is>
      </c>
      <c r="B3840" s="1" t="n">
        <v>44334</v>
      </c>
      <c r="C3840" s="1" t="n">
        <v>45657</v>
      </c>
      <c r="D3840" t="inlineStr">
        <is>
          <t>VÄSTERNORRLANDS LÄN</t>
        </is>
      </c>
      <c r="E3840" t="inlineStr">
        <is>
          <t>SOLLEFTEÅ</t>
        </is>
      </c>
      <c r="G3840" t="n">
        <v>14.9</v>
      </c>
      <c r="H3840" t="n">
        <v>0</v>
      </c>
      <c r="I3840" t="n">
        <v>0</v>
      </c>
      <c r="J3840" t="n">
        <v>0</v>
      </c>
      <c r="K3840" t="n">
        <v>0</v>
      </c>
      <c r="L3840" t="n">
        <v>0</v>
      </c>
      <c r="M3840" t="n">
        <v>0</v>
      </c>
      <c r="N3840" t="n">
        <v>0</v>
      </c>
      <c r="O3840" t="n">
        <v>0</v>
      </c>
      <c r="P3840" t="n">
        <v>0</v>
      </c>
      <c r="Q3840" t="n">
        <v>0</v>
      </c>
      <c r="R3840" s="2" t="inlineStr"/>
    </row>
    <row r="3841" ht="15" customHeight="1">
      <c r="A3841" t="inlineStr">
        <is>
          <t>A 23770-2021</t>
        </is>
      </c>
      <c r="B3841" s="1" t="n">
        <v>44335</v>
      </c>
      <c r="C3841" s="1" t="n">
        <v>45657</v>
      </c>
      <c r="D3841" t="inlineStr">
        <is>
          <t>VÄSTERNORRLANDS LÄN</t>
        </is>
      </c>
      <c r="E3841" t="inlineStr">
        <is>
          <t>SOLLEFTEÅ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23673-2021</t>
        </is>
      </c>
      <c r="B3842" s="1" t="n">
        <v>44334</v>
      </c>
      <c r="C3842" s="1" t="n">
        <v>45657</v>
      </c>
      <c r="D3842" t="inlineStr">
        <is>
          <t>VÄSTERNORRLANDS LÄN</t>
        </is>
      </c>
      <c r="E3842" t="inlineStr">
        <is>
          <t>ÖRNSKÖLDSVIK</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23706-2021</t>
        </is>
      </c>
      <c r="B3843" s="1" t="n">
        <v>44334</v>
      </c>
      <c r="C3843" s="1" t="n">
        <v>45657</v>
      </c>
      <c r="D3843" t="inlineStr">
        <is>
          <t>VÄSTERNORRLANDS LÄN</t>
        </is>
      </c>
      <c r="E3843" t="inlineStr">
        <is>
          <t>ÖRNSKÖLDSVIK</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23753-2021</t>
        </is>
      </c>
      <c r="B3844" s="1" t="n">
        <v>44334</v>
      </c>
      <c r="C3844" s="1" t="n">
        <v>45657</v>
      </c>
      <c r="D3844" t="inlineStr">
        <is>
          <t>VÄSTERNORRLANDS LÄN</t>
        </is>
      </c>
      <c r="E3844" t="inlineStr">
        <is>
          <t>SOLLEFTEÅ</t>
        </is>
      </c>
      <c r="G3844" t="n">
        <v>14.8</v>
      </c>
      <c r="H3844" t="n">
        <v>0</v>
      </c>
      <c r="I3844" t="n">
        <v>0</v>
      </c>
      <c r="J3844" t="n">
        <v>0</v>
      </c>
      <c r="K3844" t="n">
        <v>0</v>
      </c>
      <c r="L3844" t="n">
        <v>0</v>
      </c>
      <c r="M3844" t="n">
        <v>0</v>
      </c>
      <c r="N3844" t="n">
        <v>0</v>
      </c>
      <c r="O3844" t="n">
        <v>0</v>
      </c>
      <c r="P3844" t="n">
        <v>0</v>
      </c>
      <c r="Q3844" t="n">
        <v>0</v>
      </c>
      <c r="R3844" s="2" t="inlineStr"/>
    </row>
    <row r="3845" ht="15" customHeight="1">
      <c r="A3845" t="inlineStr">
        <is>
          <t>A 23814-2021</t>
        </is>
      </c>
      <c r="B3845" s="1" t="n">
        <v>44335</v>
      </c>
      <c r="C3845" s="1" t="n">
        <v>45657</v>
      </c>
      <c r="D3845" t="inlineStr">
        <is>
          <t>VÄSTERNORRLANDS LÄN</t>
        </is>
      </c>
      <c r="E3845" t="inlineStr">
        <is>
          <t>SOLLEFTEÅ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23882-2021</t>
        </is>
      </c>
      <c r="B3846" s="1" t="n">
        <v>44335</v>
      </c>
      <c r="C3846" s="1" t="n">
        <v>45657</v>
      </c>
      <c r="D3846" t="inlineStr">
        <is>
          <t>VÄSTERNORRLANDS LÄN</t>
        </is>
      </c>
      <c r="E3846" t="inlineStr">
        <is>
          <t>ÖRNSKÖLDSVIK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23951-2021</t>
        </is>
      </c>
      <c r="B3847" s="1" t="n">
        <v>44335</v>
      </c>
      <c r="C3847" s="1" t="n">
        <v>45657</v>
      </c>
      <c r="D3847" t="inlineStr">
        <is>
          <t>VÄSTERNORRLANDS LÄN</t>
        </is>
      </c>
      <c r="E3847" t="inlineStr">
        <is>
          <t>SUNDSVALL</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23950-2021</t>
        </is>
      </c>
      <c r="B3848" s="1" t="n">
        <v>44335</v>
      </c>
      <c r="C3848" s="1" t="n">
        <v>45657</v>
      </c>
      <c r="D3848" t="inlineStr">
        <is>
          <t>VÄSTERNORRLANDS LÄN</t>
        </is>
      </c>
      <c r="E3848" t="inlineStr">
        <is>
          <t>ÖRNSKÖLDSVIK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23972-2021</t>
        </is>
      </c>
      <c r="B3849" s="1" t="n">
        <v>44335</v>
      </c>
      <c r="C3849" s="1" t="n">
        <v>45657</v>
      </c>
      <c r="D3849" t="inlineStr">
        <is>
          <t>VÄSTERNORRLANDS LÄN</t>
        </is>
      </c>
      <c r="E3849" t="inlineStr">
        <is>
          <t>ÖRNSKÖLDSVIK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24164-2021</t>
        </is>
      </c>
      <c r="B3850" s="1" t="n">
        <v>44336</v>
      </c>
      <c r="C3850" s="1" t="n">
        <v>45657</v>
      </c>
      <c r="D3850" t="inlineStr">
        <is>
          <t>VÄSTERNORRLANDS LÄN</t>
        </is>
      </c>
      <c r="E3850" t="inlineStr">
        <is>
          <t>ÖRNSKÖLDSVIK</t>
        </is>
      </c>
      <c r="F3850" t="inlineStr">
        <is>
          <t>Holmen skog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24068-2021</t>
        </is>
      </c>
      <c r="B3851" s="1" t="n">
        <v>44336</v>
      </c>
      <c r="C3851" s="1" t="n">
        <v>45657</v>
      </c>
      <c r="D3851" t="inlineStr">
        <is>
          <t>VÄSTERNORRLANDS LÄN</t>
        </is>
      </c>
      <c r="E3851" t="inlineStr">
        <is>
          <t>SUNDSVALL</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24243-2021</t>
        </is>
      </c>
      <c r="B3852" s="1" t="n">
        <v>44336</v>
      </c>
      <c r="C3852" s="1" t="n">
        <v>45657</v>
      </c>
      <c r="D3852" t="inlineStr">
        <is>
          <t>VÄSTERNORRLANDS LÄN</t>
        </is>
      </c>
      <c r="E3852" t="inlineStr">
        <is>
          <t>SOLLEFTEÅ</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24233-2021</t>
        </is>
      </c>
      <c r="B3853" s="1" t="n">
        <v>44336</v>
      </c>
      <c r="C3853" s="1" t="n">
        <v>45657</v>
      </c>
      <c r="D3853" t="inlineStr">
        <is>
          <t>VÄSTERNORRLANDS LÄN</t>
        </is>
      </c>
      <c r="E3853" t="inlineStr">
        <is>
          <t>ÅNGE</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24255-2021</t>
        </is>
      </c>
      <c r="B3854" s="1" t="n">
        <v>44336</v>
      </c>
      <c r="C3854" s="1" t="n">
        <v>45657</v>
      </c>
      <c r="D3854" t="inlineStr">
        <is>
          <t>VÄSTERNORRLANDS LÄN</t>
        </is>
      </c>
      <c r="E3854" t="inlineStr">
        <is>
          <t>KRAMFORS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24244-2021</t>
        </is>
      </c>
      <c r="B3855" s="1" t="n">
        <v>44337</v>
      </c>
      <c r="C3855" s="1" t="n">
        <v>45657</v>
      </c>
      <c r="D3855" t="inlineStr">
        <is>
          <t>VÄSTERNORRLANDS LÄN</t>
        </is>
      </c>
      <c r="E3855" t="inlineStr">
        <is>
          <t>SOLLEFTEÅ</t>
        </is>
      </c>
      <c r="F3855" t="inlineStr">
        <is>
          <t>SCA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24277-2021</t>
        </is>
      </c>
      <c r="B3856" s="1" t="n">
        <v>44336</v>
      </c>
      <c r="C3856" s="1" t="n">
        <v>45657</v>
      </c>
      <c r="D3856" t="inlineStr">
        <is>
          <t>VÄSTERNORRLANDS LÄN</t>
        </is>
      </c>
      <c r="E3856" t="inlineStr">
        <is>
          <t>ÖRNSKÖLDSVIK</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24309-2021</t>
        </is>
      </c>
      <c r="B3857" s="1" t="n">
        <v>44336</v>
      </c>
      <c r="C3857" s="1" t="n">
        <v>45657</v>
      </c>
      <c r="D3857" t="inlineStr">
        <is>
          <t>VÄSTERNORRLANDS LÄN</t>
        </is>
      </c>
      <c r="E3857" t="inlineStr">
        <is>
          <t>ÖRNSKÖLDSVIK</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24311-2021</t>
        </is>
      </c>
      <c r="B3858" s="1" t="n">
        <v>44336</v>
      </c>
      <c r="C3858" s="1" t="n">
        <v>45657</v>
      </c>
      <c r="D3858" t="inlineStr">
        <is>
          <t>VÄSTERNORRLANDS LÄN</t>
        </is>
      </c>
      <c r="E3858" t="inlineStr">
        <is>
          <t>ÖRNSKÖLDSVIK</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24293-2021</t>
        </is>
      </c>
      <c r="B3859" s="1" t="n">
        <v>44337</v>
      </c>
      <c r="C3859" s="1" t="n">
        <v>45657</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24342-2021</t>
        </is>
      </c>
      <c r="B3860" s="1" t="n">
        <v>44337</v>
      </c>
      <c r="C3860" s="1" t="n">
        <v>45657</v>
      </c>
      <c r="D3860" t="inlineStr">
        <is>
          <t>VÄSTERNORRLANDS LÄN</t>
        </is>
      </c>
      <c r="E3860" t="inlineStr">
        <is>
          <t>SUNDSVALL</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24433-2021</t>
        </is>
      </c>
      <c r="B3861" s="1" t="n">
        <v>44337</v>
      </c>
      <c r="C3861" s="1" t="n">
        <v>45657</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24505-2021</t>
        </is>
      </c>
      <c r="B3862" s="1" t="n">
        <v>44338</v>
      </c>
      <c r="C3862" s="1" t="n">
        <v>45657</v>
      </c>
      <c r="D3862" t="inlineStr">
        <is>
          <t>VÄSTERNORRLANDS LÄN</t>
        </is>
      </c>
      <c r="E3862" t="inlineStr">
        <is>
          <t>SUNDSVALL</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24513-2021</t>
        </is>
      </c>
      <c r="B3863" s="1" t="n">
        <v>44338</v>
      </c>
      <c r="C3863" s="1" t="n">
        <v>45657</v>
      </c>
      <c r="D3863" t="inlineStr">
        <is>
          <t>VÄSTERNORRLANDS LÄN</t>
        </is>
      </c>
      <c r="E3863" t="inlineStr">
        <is>
          <t>TIMRÅ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24720-2021</t>
        </is>
      </c>
      <c r="B3864" s="1" t="n">
        <v>44340</v>
      </c>
      <c r="C3864" s="1" t="n">
        <v>45657</v>
      </c>
      <c r="D3864" t="inlineStr">
        <is>
          <t>VÄSTERNORRLANDS LÄN</t>
        </is>
      </c>
      <c r="E3864" t="inlineStr">
        <is>
          <t>SOLLEFTEÅ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24731-2021</t>
        </is>
      </c>
      <c r="B3865" s="1" t="n">
        <v>44340</v>
      </c>
      <c r="C3865" s="1" t="n">
        <v>45657</v>
      </c>
      <c r="D3865" t="inlineStr">
        <is>
          <t>VÄSTERNORRLANDS LÄN</t>
        </is>
      </c>
      <c r="E3865" t="inlineStr">
        <is>
          <t>SOLLEFTEÅ</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24850-2021</t>
        </is>
      </c>
      <c r="B3866" s="1" t="n">
        <v>44340</v>
      </c>
      <c r="C3866" s="1" t="n">
        <v>45657</v>
      </c>
      <c r="D3866" t="inlineStr">
        <is>
          <t>VÄSTERNORRLANDS LÄN</t>
        </is>
      </c>
      <c r="E3866" t="inlineStr">
        <is>
          <t>ÖRNSKÖLDSVIK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24819-2021</t>
        </is>
      </c>
      <c r="B3867" s="1" t="n">
        <v>44340</v>
      </c>
      <c r="C3867" s="1" t="n">
        <v>45657</v>
      </c>
      <c r="D3867" t="inlineStr">
        <is>
          <t>VÄSTERNORRLANDS LÄN</t>
        </is>
      </c>
      <c r="E3867" t="inlineStr">
        <is>
          <t>ÅNGE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24831-2021</t>
        </is>
      </c>
      <c r="B3868" s="1" t="n">
        <v>44340</v>
      </c>
      <c r="C3868" s="1" t="n">
        <v>45657</v>
      </c>
      <c r="D3868" t="inlineStr">
        <is>
          <t>VÄSTERNORRLANDS LÄN</t>
        </is>
      </c>
      <c r="E3868" t="inlineStr">
        <is>
          <t>ÅNGE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24853-2021</t>
        </is>
      </c>
      <c r="B3869" s="1" t="n">
        <v>44340</v>
      </c>
      <c r="C3869" s="1" t="n">
        <v>45657</v>
      </c>
      <c r="D3869" t="inlineStr">
        <is>
          <t>VÄSTERNORRLANDS LÄN</t>
        </is>
      </c>
      <c r="E3869" t="inlineStr">
        <is>
          <t>SUNDSVALL</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25020-2021</t>
        </is>
      </c>
      <c r="B3870" s="1" t="n">
        <v>44341</v>
      </c>
      <c r="C3870" s="1" t="n">
        <v>45657</v>
      </c>
      <c r="D3870" t="inlineStr">
        <is>
          <t>VÄSTERNORRLANDS LÄN</t>
        </is>
      </c>
      <c r="E3870" t="inlineStr">
        <is>
          <t>ÅNGE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25093-2021</t>
        </is>
      </c>
      <c r="B3871" s="1" t="n">
        <v>44341</v>
      </c>
      <c r="C3871" s="1" t="n">
        <v>45657</v>
      </c>
      <c r="D3871" t="inlineStr">
        <is>
          <t>VÄSTERNORRLANDS LÄN</t>
        </is>
      </c>
      <c r="E3871" t="inlineStr">
        <is>
          <t>ÖRNSKÖLDSVIK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25045-2021</t>
        </is>
      </c>
      <c r="B3872" s="1" t="n">
        <v>44341</v>
      </c>
      <c r="C3872" s="1" t="n">
        <v>45657</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24953-2021</t>
        </is>
      </c>
      <c r="B3873" s="1" t="n">
        <v>44341</v>
      </c>
      <c r="C3873" s="1" t="n">
        <v>45657</v>
      </c>
      <c r="D3873" t="inlineStr">
        <is>
          <t>VÄSTERNORRLANDS LÄN</t>
        </is>
      </c>
      <c r="E3873" t="inlineStr">
        <is>
          <t>ÅNGE</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24977-2021</t>
        </is>
      </c>
      <c r="B3874" s="1" t="n">
        <v>44341</v>
      </c>
      <c r="C3874" s="1" t="n">
        <v>45657</v>
      </c>
      <c r="D3874" t="inlineStr">
        <is>
          <t>VÄSTERNORRLANDS LÄN</t>
        </is>
      </c>
      <c r="E3874" t="inlineStr">
        <is>
          <t>ÅNGE</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25025-2021</t>
        </is>
      </c>
      <c r="B3875" s="1" t="n">
        <v>44341</v>
      </c>
      <c r="C3875" s="1" t="n">
        <v>45657</v>
      </c>
      <c r="D3875" t="inlineStr">
        <is>
          <t>VÄSTERNORRLANDS LÄN</t>
        </is>
      </c>
      <c r="E3875" t="inlineStr">
        <is>
          <t>ÖRNSKÖLDSVIK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24991-2021</t>
        </is>
      </c>
      <c r="B3876" s="1" t="n">
        <v>44341</v>
      </c>
      <c r="C3876" s="1" t="n">
        <v>45657</v>
      </c>
      <c r="D3876" t="inlineStr">
        <is>
          <t>VÄSTERNORRLANDS LÄN</t>
        </is>
      </c>
      <c r="E3876" t="inlineStr">
        <is>
          <t>KRAMFORS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25089-2021</t>
        </is>
      </c>
      <c r="B3877" s="1" t="n">
        <v>44341</v>
      </c>
      <c r="C3877" s="1" t="n">
        <v>45657</v>
      </c>
      <c r="D3877" t="inlineStr">
        <is>
          <t>VÄSTERNORRLANDS LÄN</t>
        </is>
      </c>
      <c r="E3877" t="inlineStr">
        <is>
          <t>ÖRNSKÖLDSVIK</t>
        </is>
      </c>
      <c r="F3877" t="inlineStr">
        <is>
          <t>Holmen skog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25091-2021</t>
        </is>
      </c>
      <c r="B3878" s="1" t="n">
        <v>44341</v>
      </c>
      <c r="C3878" s="1" t="n">
        <v>45657</v>
      </c>
      <c r="D3878" t="inlineStr">
        <is>
          <t>VÄSTERNORRLANDS LÄN</t>
        </is>
      </c>
      <c r="E3878" t="inlineStr">
        <is>
          <t>ÖRNSKÖLDSVIK</t>
        </is>
      </c>
      <c r="F3878" t="inlineStr">
        <is>
          <t>Holmen skog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25147-2021</t>
        </is>
      </c>
      <c r="B3879" s="1" t="n">
        <v>44341</v>
      </c>
      <c r="C3879" s="1" t="n">
        <v>45657</v>
      </c>
      <c r="D3879" t="inlineStr">
        <is>
          <t>VÄSTERNORRLANDS LÄN</t>
        </is>
      </c>
      <c r="E3879" t="inlineStr">
        <is>
          <t>SUNDSVALL</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25183-2021</t>
        </is>
      </c>
      <c r="B3880" s="1" t="n">
        <v>44341</v>
      </c>
      <c r="C3880" s="1" t="n">
        <v>45657</v>
      </c>
      <c r="D3880" t="inlineStr">
        <is>
          <t>VÄSTERNORRLANDS LÄN</t>
        </is>
      </c>
      <c r="E3880" t="inlineStr">
        <is>
          <t>SOLLEFTEÅ</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25156-2021</t>
        </is>
      </c>
      <c r="B3881" s="1" t="n">
        <v>44341</v>
      </c>
      <c r="C3881" s="1" t="n">
        <v>45657</v>
      </c>
      <c r="D3881" t="inlineStr">
        <is>
          <t>VÄSTERNORRLANDS LÄN</t>
        </is>
      </c>
      <c r="E3881" t="inlineStr">
        <is>
          <t>SOLLEFTEÅ</t>
        </is>
      </c>
      <c r="F3881" t="inlineStr">
        <is>
          <t>SCA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25152-2021</t>
        </is>
      </c>
      <c r="B3882" s="1" t="n">
        <v>44341</v>
      </c>
      <c r="C3882" s="1" t="n">
        <v>45657</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25080-2021</t>
        </is>
      </c>
      <c r="B3883" s="1" t="n">
        <v>44341</v>
      </c>
      <c r="C3883" s="1" t="n">
        <v>45657</v>
      </c>
      <c r="D3883" t="inlineStr">
        <is>
          <t>VÄSTERNORRLANDS LÄN</t>
        </is>
      </c>
      <c r="E3883" t="inlineStr">
        <is>
          <t>ÖRNSKÖLDSVIK</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25095-2021</t>
        </is>
      </c>
      <c r="B3884" s="1" t="n">
        <v>44341</v>
      </c>
      <c r="C3884" s="1" t="n">
        <v>45657</v>
      </c>
      <c r="D3884" t="inlineStr">
        <is>
          <t>VÄSTERNORRLANDS LÄN</t>
        </is>
      </c>
      <c r="E3884" t="inlineStr">
        <is>
          <t>ÖRNSKÖLDSVIK</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25148-2021</t>
        </is>
      </c>
      <c r="B3885" s="1" t="n">
        <v>44341</v>
      </c>
      <c r="C3885" s="1" t="n">
        <v>45657</v>
      </c>
      <c r="D3885" t="inlineStr">
        <is>
          <t>VÄSTERNORRLANDS LÄN</t>
        </is>
      </c>
      <c r="E3885" t="inlineStr">
        <is>
          <t>SUNDSVALL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25171-2021</t>
        </is>
      </c>
      <c r="B3886" s="1" t="n">
        <v>44341</v>
      </c>
      <c r="C3886" s="1" t="n">
        <v>45657</v>
      </c>
      <c r="D3886" t="inlineStr">
        <is>
          <t>VÄSTERNORRLANDS LÄN</t>
        </is>
      </c>
      <c r="E3886" t="inlineStr">
        <is>
          <t>ÖRNSKÖLDSVIK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25329-2021</t>
        </is>
      </c>
      <c r="B3887" s="1" t="n">
        <v>44342</v>
      </c>
      <c r="C3887" s="1" t="n">
        <v>45657</v>
      </c>
      <c r="D3887" t="inlineStr">
        <is>
          <t>VÄSTERNORRLANDS LÄN</t>
        </is>
      </c>
      <c r="E3887" t="inlineStr">
        <is>
          <t>SOLLEFTEÅ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25178-2021</t>
        </is>
      </c>
      <c r="B3888" s="1" t="n">
        <v>44342</v>
      </c>
      <c r="C3888" s="1" t="n">
        <v>45657</v>
      </c>
      <c r="D3888" t="inlineStr">
        <is>
          <t>VÄSTERNORRLANDS LÄN</t>
        </is>
      </c>
      <c r="E3888" t="inlineStr">
        <is>
          <t>ÖRNSKÖLDSVIK</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25295-2021</t>
        </is>
      </c>
      <c r="B3889" s="1" t="n">
        <v>44342</v>
      </c>
      <c r="C3889" s="1" t="n">
        <v>45657</v>
      </c>
      <c r="D3889" t="inlineStr">
        <is>
          <t>VÄSTERNORRLANDS LÄN</t>
        </is>
      </c>
      <c r="E3889" t="inlineStr">
        <is>
          <t>ÖRNSKÖLDSVIK</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25371-2021</t>
        </is>
      </c>
      <c r="B3890" s="1" t="n">
        <v>44342</v>
      </c>
      <c r="C3890" s="1" t="n">
        <v>45657</v>
      </c>
      <c r="D3890" t="inlineStr">
        <is>
          <t>VÄSTERNORRLANDS LÄN</t>
        </is>
      </c>
      <c r="E3890" t="inlineStr">
        <is>
          <t>SUNDSVALL</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25321-2021</t>
        </is>
      </c>
      <c r="B3891" s="1" t="n">
        <v>44342</v>
      </c>
      <c r="C3891" s="1" t="n">
        <v>45657</v>
      </c>
      <c r="D3891" t="inlineStr">
        <is>
          <t>VÄSTERNORRLANDS LÄN</t>
        </is>
      </c>
      <c r="E3891" t="inlineStr">
        <is>
          <t>ÖRNSKÖLDSVIK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25345-2021</t>
        </is>
      </c>
      <c r="B3892" s="1" t="n">
        <v>44342</v>
      </c>
      <c r="C3892" s="1" t="n">
        <v>45657</v>
      </c>
      <c r="D3892" t="inlineStr">
        <is>
          <t>VÄSTERNORRLANDS LÄN</t>
        </is>
      </c>
      <c r="E3892" t="inlineStr">
        <is>
          <t>SOLLEFTEÅ</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25522-2021</t>
        </is>
      </c>
      <c r="B3893" s="1" t="n">
        <v>44342</v>
      </c>
      <c r="C3893" s="1" t="n">
        <v>45657</v>
      </c>
      <c r="D3893" t="inlineStr">
        <is>
          <t>VÄSTERNORRLANDS LÄN</t>
        </is>
      </c>
      <c r="E3893" t="inlineStr">
        <is>
          <t>SOLLEFTEÅ</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25560-2021</t>
        </is>
      </c>
      <c r="B3894" s="1" t="n">
        <v>44342</v>
      </c>
      <c r="C3894" s="1" t="n">
        <v>45657</v>
      </c>
      <c r="D3894" t="inlineStr">
        <is>
          <t>VÄSTERNORRLANDS LÄN</t>
        </is>
      </c>
      <c r="E3894" t="inlineStr">
        <is>
          <t>ÖRNSKÖLDSVIK</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25449-2021</t>
        </is>
      </c>
      <c r="B3895" s="1" t="n">
        <v>44342</v>
      </c>
      <c r="C3895" s="1" t="n">
        <v>45657</v>
      </c>
      <c r="D3895" t="inlineStr">
        <is>
          <t>VÄSTERNORRLANDS LÄN</t>
        </is>
      </c>
      <c r="E3895" t="inlineStr">
        <is>
          <t>ÖRNSKÖLDSVIK</t>
        </is>
      </c>
      <c r="F3895" t="inlineStr">
        <is>
          <t>Holmen skog AB</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25484-2021</t>
        </is>
      </c>
      <c r="B3896" s="1" t="n">
        <v>44342</v>
      </c>
      <c r="C3896" s="1" t="n">
        <v>45657</v>
      </c>
      <c r="D3896" t="inlineStr">
        <is>
          <t>VÄSTERNORRLANDS LÄN</t>
        </is>
      </c>
      <c r="E3896" t="inlineStr">
        <is>
          <t>SUNDSVALL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25489-2021</t>
        </is>
      </c>
      <c r="B3897" s="1" t="n">
        <v>44342</v>
      </c>
      <c r="C3897" s="1" t="n">
        <v>45657</v>
      </c>
      <c r="D3897" t="inlineStr">
        <is>
          <t>VÄSTERNORRLANDS LÄN</t>
        </is>
      </c>
      <c r="E3897" t="inlineStr">
        <is>
          <t>ÖRNSKÖLDSVIK</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25531-2021</t>
        </is>
      </c>
      <c r="B3898" s="1" t="n">
        <v>44343</v>
      </c>
      <c r="C3898" s="1" t="n">
        <v>45657</v>
      </c>
      <c r="D3898" t="inlineStr">
        <is>
          <t>VÄSTERNORRLANDS LÄN</t>
        </is>
      </c>
      <c r="E3898" t="inlineStr">
        <is>
          <t>KRAMFORS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25609-2021</t>
        </is>
      </c>
      <c r="B3899" s="1" t="n">
        <v>44343</v>
      </c>
      <c r="C3899" s="1" t="n">
        <v>45657</v>
      </c>
      <c r="D3899" t="inlineStr">
        <is>
          <t>VÄSTERNORRLANDS LÄN</t>
        </is>
      </c>
      <c r="E3899" t="inlineStr">
        <is>
          <t>ÖRNSKÖLDSVIK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25623-2021</t>
        </is>
      </c>
      <c r="B3900" s="1" t="n">
        <v>44343</v>
      </c>
      <c r="C3900" s="1" t="n">
        <v>45657</v>
      </c>
      <c r="D3900" t="inlineStr">
        <is>
          <t>VÄSTERNORRLANDS LÄN</t>
        </is>
      </c>
      <c r="E3900" t="inlineStr">
        <is>
          <t>ÖRNSKÖLDSVIK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25705-2021</t>
        </is>
      </c>
      <c r="B3901" s="1" t="n">
        <v>44343</v>
      </c>
      <c r="C3901" s="1" t="n">
        <v>45657</v>
      </c>
      <c r="D3901" t="inlineStr">
        <is>
          <t>VÄSTERNORRLANDS LÄN</t>
        </is>
      </c>
      <c r="E3901" t="inlineStr">
        <is>
          <t>ÖRNSKÖLDSVIK</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25562-2021</t>
        </is>
      </c>
      <c r="B3902" s="1" t="n">
        <v>44343</v>
      </c>
      <c r="C3902" s="1" t="n">
        <v>45657</v>
      </c>
      <c r="D3902" t="inlineStr">
        <is>
          <t>VÄSTERNORRLANDS LÄN</t>
        </is>
      </c>
      <c r="E3902" t="inlineStr">
        <is>
          <t>KRAMFORS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25592-2021</t>
        </is>
      </c>
      <c r="B3903" s="1" t="n">
        <v>44343</v>
      </c>
      <c r="C3903" s="1" t="n">
        <v>45657</v>
      </c>
      <c r="D3903" t="inlineStr">
        <is>
          <t>VÄSTERNORRLANDS LÄN</t>
        </is>
      </c>
      <c r="E3903" t="inlineStr">
        <is>
          <t>KRAMFORS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25615-2021</t>
        </is>
      </c>
      <c r="B3904" s="1" t="n">
        <v>44343</v>
      </c>
      <c r="C3904" s="1" t="n">
        <v>45657</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25747-2021</t>
        </is>
      </c>
      <c r="B3905" s="1" t="n">
        <v>44343</v>
      </c>
      <c r="C3905" s="1" t="n">
        <v>45657</v>
      </c>
      <c r="D3905" t="inlineStr">
        <is>
          <t>VÄSTERNORRLANDS LÄN</t>
        </is>
      </c>
      <c r="E3905" t="inlineStr">
        <is>
          <t>SUNDSVALL</t>
        </is>
      </c>
      <c r="F3905" t="inlineStr">
        <is>
          <t>Kyrkan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25539-2021</t>
        </is>
      </c>
      <c r="B3906" s="1" t="n">
        <v>44343</v>
      </c>
      <c r="C3906" s="1" t="n">
        <v>45657</v>
      </c>
      <c r="D3906" t="inlineStr">
        <is>
          <t>VÄSTERNORRLANDS LÄN</t>
        </is>
      </c>
      <c r="E3906" t="inlineStr">
        <is>
          <t>SUNDSVALL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25672-2021</t>
        </is>
      </c>
      <c r="B3907" s="1" t="n">
        <v>44343</v>
      </c>
      <c r="C3907" s="1" t="n">
        <v>45657</v>
      </c>
      <c r="D3907" t="inlineStr">
        <is>
          <t>VÄSTERNORRLANDS LÄN</t>
        </is>
      </c>
      <c r="E3907" t="inlineStr">
        <is>
          <t>ÖRNSKÖLDSVIK</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25748-2021</t>
        </is>
      </c>
      <c r="B3908" s="1" t="n">
        <v>44343</v>
      </c>
      <c r="C3908" s="1" t="n">
        <v>45657</v>
      </c>
      <c r="D3908" t="inlineStr">
        <is>
          <t>VÄSTERNORRLANDS LÄN</t>
        </is>
      </c>
      <c r="E3908" t="inlineStr">
        <is>
          <t>SUNDSVALL</t>
        </is>
      </c>
      <c r="F3908" t="inlineStr">
        <is>
          <t>Kyrkan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25999-2021</t>
        </is>
      </c>
      <c r="B3909" s="1" t="n">
        <v>44344</v>
      </c>
      <c r="C3909" s="1" t="n">
        <v>45657</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25877-2021</t>
        </is>
      </c>
      <c r="B3910" s="1" t="n">
        <v>44344</v>
      </c>
      <c r="C3910" s="1" t="n">
        <v>45657</v>
      </c>
      <c r="D3910" t="inlineStr">
        <is>
          <t>VÄSTERNORRLANDS LÄN</t>
        </is>
      </c>
      <c r="E3910" t="inlineStr">
        <is>
          <t>SOLLEFTEÅ</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25921-2021</t>
        </is>
      </c>
      <c r="B3911" s="1" t="n">
        <v>44344</v>
      </c>
      <c r="C3911" s="1" t="n">
        <v>45657</v>
      </c>
      <c r="D3911" t="inlineStr">
        <is>
          <t>VÄSTERNORRLANDS LÄN</t>
        </is>
      </c>
      <c r="E3911" t="inlineStr">
        <is>
          <t>ÖRNSKÖLDSVIK</t>
        </is>
      </c>
      <c r="F3911" t="inlineStr">
        <is>
          <t>Holmen skog AB</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25985-2021</t>
        </is>
      </c>
      <c r="B3912" s="1" t="n">
        <v>44344</v>
      </c>
      <c r="C3912" s="1" t="n">
        <v>45657</v>
      </c>
      <c r="D3912" t="inlineStr">
        <is>
          <t>VÄSTERNORRLANDS LÄN</t>
        </is>
      </c>
      <c r="E3912" t="inlineStr">
        <is>
          <t>KRAMFORS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25980-2021</t>
        </is>
      </c>
      <c r="B3913" s="1" t="n">
        <v>44344</v>
      </c>
      <c r="C3913" s="1" t="n">
        <v>45657</v>
      </c>
      <c r="D3913" t="inlineStr">
        <is>
          <t>VÄSTERNORRLANDS LÄN</t>
        </is>
      </c>
      <c r="E3913" t="inlineStr">
        <is>
          <t>SUNDSVALL</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25989-2021</t>
        </is>
      </c>
      <c r="B3914" s="1" t="n">
        <v>44344</v>
      </c>
      <c r="C3914" s="1" t="n">
        <v>45657</v>
      </c>
      <c r="D3914" t="inlineStr">
        <is>
          <t>VÄSTERNORRLANDS LÄN</t>
        </is>
      </c>
      <c r="E3914" t="inlineStr">
        <is>
          <t>SOLLEFTEÅ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26021-2021</t>
        </is>
      </c>
      <c r="B3915" s="1" t="n">
        <v>44344</v>
      </c>
      <c r="C3915" s="1" t="n">
        <v>45657</v>
      </c>
      <c r="D3915" t="inlineStr">
        <is>
          <t>VÄSTERNORRLANDS LÄN</t>
        </is>
      </c>
      <c r="E3915" t="inlineStr">
        <is>
          <t>ÖRNSKÖLDSVIK</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26088-2021</t>
        </is>
      </c>
      <c r="B3916" s="1" t="n">
        <v>44345</v>
      </c>
      <c r="C3916" s="1" t="n">
        <v>45657</v>
      </c>
      <c r="D3916" t="inlineStr">
        <is>
          <t>VÄSTERNORRLANDS LÄN</t>
        </is>
      </c>
      <c r="E3916" t="inlineStr">
        <is>
          <t>ÅNGE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26089-2021</t>
        </is>
      </c>
      <c r="B3917" s="1" t="n">
        <v>44344</v>
      </c>
      <c r="C3917" s="1" t="n">
        <v>45657</v>
      </c>
      <c r="D3917" t="inlineStr">
        <is>
          <t>VÄSTERNORRLANDS LÄN</t>
        </is>
      </c>
      <c r="E3917" t="inlineStr">
        <is>
          <t>SUNDSVALL</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26108-2021</t>
        </is>
      </c>
      <c r="B3918" s="1" t="n">
        <v>44344</v>
      </c>
      <c r="C3918" s="1" t="n">
        <v>45657</v>
      </c>
      <c r="D3918" t="inlineStr">
        <is>
          <t>VÄSTERNORRLANDS LÄN</t>
        </is>
      </c>
      <c r="E3918" t="inlineStr">
        <is>
          <t>SUNDSVALL</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26193-2021</t>
        </is>
      </c>
      <c r="B3919" s="1" t="n">
        <v>44347</v>
      </c>
      <c r="C3919" s="1" t="n">
        <v>45657</v>
      </c>
      <c r="D3919" t="inlineStr">
        <is>
          <t>VÄSTERNORRLANDS LÄN</t>
        </is>
      </c>
      <c r="E3919" t="inlineStr">
        <is>
          <t>ÅNGE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26189-2021</t>
        </is>
      </c>
      <c r="B3920" s="1" t="n">
        <v>44347</v>
      </c>
      <c r="C3920" s="1" t="n">
        <v>45657</v>
      </c>
      <c r="D3920" t="inlineStr">
        <is>
          <t>VÄSTERNORRLANDS LÄN</t>
        </is>
      </c>
      <c r="E3920" t="inlineStr">
        <is>
          <t>HÄRNÖSAND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26203-2021</t>
        </is>
      </c>
      <c r="B3921" s="1" t="n">
        <v>44347</v>
      </c>
      <c r="C3921" s="1" t="n">
        <v>45657</v>
      </c>
      <c r="D3921" t="inlineStr">
        <is>
          <t>VÄSTERNORRLANDS LÄN</t>
        </is>
      </c>
      <c r="E3921" t="inlineStr">
        <is>
          <t>HÄRNÖSAND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26276-2021</t>
        </is>
      </c>
      <c r="B3922" s="1" t="n">
        <v>44347</v>
      </c>
      <c r="C3922" s="1" t="n">
        <v>45657</v>
      </c>
      <c r="D3922" t="inlineStr">
        <is>
          <t>VÄSTERNORRLANDS LÄN</t>
        </is>
      </c>
      <c r="E3922" t="inlineStr">
        <is>
          <t>HÄRNÖSAND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26190-2021</t>
        </is>
      </c>
      <c r="B3923" s="1" t="n">
        <v>44347</v>
      </c>
      <c r="C3923" s="1" t="n">
        <v>45657</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26320-2021</t>
        </is>
      </c>
      <c r="B3924" s="1" t="n">
        <v>44347</v>
      </c>
      <c r="C3924" s="1" t="n">
        <v>45657</v>
      </c>
      <c r="D3924" t="inlineStr">
        <is>
          <t>VÄSTERNORRLANDS LÄN</t>
        </is>
      </c>
      <c r="E3924" t="inlineStr">
        <is>
          <t>KRAMFORS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26349-2021</t>
        </is>
      </c>
      <c r="B3925" s="1" t="n">
        <v>44347</v>
      </c>
      <c r="C3925" s="1" t="n">
        <v>45657</v>
      </c>
      <c r="D3925" t="inlineStr">
        <is>
          <t>VÄSTERNORRLANDS LÄN</t>
        </is>
      </c>
      <c r="E3925" t="inlineStr">
        <is>
          <t>ÖRNSKÖLDSVIK</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26387-2021</t>
        </is>
      </c>
      <c r="B3926" s="1" t="n">
        <v>44347</v>
      </c>
      <c r="C3926" s="1" t="n">
        <v>45657</v>
      </c>
      <c r="D3926" t="inlineStr">
        <is>
          <t>VÄSTERNORRLANDS LÄN</t>
        </is>
      </c>
      <c r="E3926" t="inlineStr">
        <is>
          <t>ÖRNSKÖLDSVIK</t>
        </is>
      </c>
      <c r="F3926" t="inlineStr">
        <is>
          <t>Holmen skog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26406-2021</t>
        </is>
      </c>
      <c r="B3927" s="1" t="n">
        <v>44347</v>
      </c>
      <c r="C3927" s="1" t="n">
        <v>45657</v>
      </c>
      <c r="D3927" t="inlineStr">
        <is>
          <t>VÄSTERNORRLANDS LÄN</t>
        </is>
      </c>
      <c r="E3927" t="inlineStr">
        <is>
          <t>SOLLEFTEÅ</t>
        </is>
      </c>
      <c r="F3927" t="inlineStr">
        <is>
          <t>SCA</t>
        </is>
      </c>
      <c r="G3927" t="n">
        <v>12.2</v>
      </c>
      <c r="H3927" t="n">
        <v>0</v>
      </c>
      <c r="I3927" t="n">
        <v>0</v>
      </c>
      <c r="J3927" t="n">
        <v>0</v>
      </c>
      <c r="K3927" t="n">
        <v>0</v>
      </c>
      <c r="L3927" t="n">
        <v>0</v>
      </c>
      <c r="M3927" t="n">
        <v>0</v>
      </c>
      <c r="N3927" t="n">
        <v>0</v>
      </c>
      <c r="O3927" t="n">
        <v>0</v>
      </c>
      <c r="P3927" t="n">
        <v>0</v>
      </c>
      <c r="Q3927" t="n">
        <v>0</v>
      </c>
      <c r="R3927" s="2" t="inlineStr"/>
    </row>
    <row r="3928" ht="15" customHeight="1">
      <c r="A3928" t="inlineStr">
        <is>
          <t>A 26401-2021</t>
        </is>
      </c>
      <c r="B3928" s="1" t="n">
        <v>44348</v>
      </c>
      <c r="C3928" s="1" t="n">
        <v>45657</v>
      </c>
      <c r="D3928" t="inlineStr">
        <is>
          <t>VÄSTERNORRLANDS LÄN</t>
        </is>
      </c>
      <c r="E3928" t="inlineStr">
        <is>
          <t>SOLLEFTEÅ</t>
        </is>
      </c>
      <c r="F3928" t="inlineStr">
        <is>
          <t>SCA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26481-2021</t>
        </is>
      </c>
      <c r="B3929" s="1" t="n">
        <v>44347</v>
      </c>
      <c r="C3929" s="1" t="n">
        <v>45657</v>
      </c>
      <c r="D3929" t="inlineStr">
        <is>
          <t>VÄSTERNORRLANDS LÄN</t>
        </is>
      </c>
      <c r="E3929" t="inlineStr">
        <is>
          <t>ÖRNSKÖLDSVIK</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26424-2021</t>
        </is>
      </c>
      <c r="B3930" s="1" t="n">
        <v>44347</v>
      </c>
      <c r="C3930" s="1" t="n">
        <v>45657</v>
      </c>
      <c r="D3930" t="inlineStr">
        <is>
          <t>VÄSTERNORRLANDS LÄN</t>
        </is>
      </c>
      <c r="E3930" t="inlineStr">
        <is>
          <t>SUNDSVALL</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26396-2021</t>
        </is>
      </c>
      <c r="B3931" s="1" t="n">
        <v>44347</v>
      </c>
      <c r="C3931" s="1" t="n">
        <v>45657</v>
      </c>
      <c r="D3931" t="inlineStr">
        <is>
          <t>VÄSTERNORRLANDS LÄN</t>
        </is>
      </c>
      <c r="E3931" t="inlineStr">
        <is>
          <t>SUNDSVALL</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26498-2021</t>
        </is>
      </c>
      <c r="B3932" s="1" t="n">
        <v>44348</v>
      </c>
      <c r="C3932" s="1" t="n">
        <v>45657</v>
      </c>
      <c r="D3932" t="inlineStr">
        <is>
          <t>VÄSTERNORRLANDS LÄN</t>
        </is>
      </c>
      <c r="E3932" t="inlineStr">
        <is>
          <t>SOLLEFTEÅ</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26471-2021</t>
        </is>
      </c>
      <c r="B3933" s="1" t="n">
        <v>44348</v>
      </c>
      <c r="C3933" s="1" t="n">
        <v>45657</v>
      </c>
      <c r="D3933" t="inlineStr">
        <is>
          <t>VÄSTERNORRLANDS LÄN</t>
        </is>
      </c>
      <c r="E3933" t="inlineStr">
        <is>
          <t>ÖRNSKÖLDSVIK</t>
        </is>
      </c>
      <c r="F3933" t="inlineStr">
        <is>
          <t>Holmen skog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26559-2021</t>
        </is>
      </c>
      <c r="B3934" s="1" t="n">
        <v>44348</v>
      </c>
      <c r="C3934" s="1" t="n">
        <v>45657</v>
      </c>
      <c r="D3934" t="inlineStr">
        <is>
          <t>VÄSTERNORRLANDS LÄN</t>
        </is>
      </c>
      <c r="E3934" t="inlineStr">
        <is>
          <t>SOLLEFTEÅ</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26588-2021</t>
        </is>
      </c>
      <c r="B3935" s="1" t="n">
        <v>44348</v>
      </c>
      <c r="C3935" s="1" t="n">
        <v>45657</v>
      </c>
      <c r="D3935" t="inlineStr">
        <is>
          <t>VÄSTERNORRLANDS LÄN</t>
        </is>
      </c>
      <c r="E3935" t="inlineStr">
        <is>
          <t>TIMRÅ</t>
        </is>
      </c>
      <c r="F3935" t="inlineStr">
        <is>
          <t>Kyrkan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26669-2021</t>
        </is>
      </c>
      <c r="B3936" s="1" t="n">
        <v>44349</v>
      </c>
      <c r="C3936" s="1" t="n">
        <v>45657</v>
      </c>
      <c r="D3936" t="inlineStr">
        <is>
          <t>VÄSTERNORRLANDS LÄN</t>
        </is>
      </c>
      <c r="E3936" t="inlineStr">
        <is>
          <t>SOLLEFTEÅ</t>
        </is>
      </c>
      <c r="F3936" t="inlineStr">
        <is>
          <t>SCA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26832-2021</t>
        </is>
      </c>
      <c r="B3937" s="1" t="n">
        <v>44349</v>
      </c>
      <c r="C3937" s="1" t="n">
        <v>45657</v>
      </c>
      <c r="D3937" t="inlineStr">
        <is>
          <t>VÄSTERNORRLANDS LÄN</t>
        </is>
      </c>
      <c r="E3937" t="inlineStr">
        <is>
          <t>KRAMFORS</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26839-2021</t>
        </is>
      </c>
      <c r="B3938" s="1" t="n">
        <v>44349</v>
      </c>
      <c r="C3938" s="1" t="n">
        <v>45657</v>
      </c>
      <c r="D3938" t="inlineStr">
        <is>
          <t>VÄSTERNORRLANDS LÄN</t>
        </is>
      </c>
      <c r="E3938" t="inlineStr">
        <is>
          <t>KRAMFORS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26814-2021</t>
        </is>
      </c>
      <c r="B3939" s="1" t="n">
        <v>44349</v>
      </c>
      <c r="C3939" s="1" t="n">
        <v>45657</v>
      </c>
      <c r="D3939" t="inlineStr">
        <is>
          <t>VÄSTERNORRLANDS LÄN</t>
        </is>
      </c>
      <c r="E3939" t="inlineStr">
        <is>
          <t>KRAMFORS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26849-2021</t>
        </is>
      </c>
      <c r="B3940" s="1" t="n">
        <v>44349</v>
      </c>
      <c r="C3940" s="1" t="n">
        <v>45657</v>
      </c>
      <c r="D3940" t="inlineStr">
        <is>
          <t>VÄSTERNORRLANDS LÄN</t>
        </is>
      </c>
      <c r="E3940" t="inlineStr">
        <is>
          <t>ÖRNSKÖLDSVIK</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26892-2021</t>
        </is>
      </c>
      <c r="B3941" s="1" t="n">
        <v>44349</v>
      </c>
      <c r="C3941" s="1" t="n">
        <v>45657</v>
      </c>
      <c r="D3941" t="inlineStr">
        <is>
          <t>VÄSTERNORRLANDS LÄN</t>
        </is>
      </c>
      <c r="E3941" t="inlineStr">
        <is>
          <t>KRAMFORS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26921-2021</t>
        </is>
      </c>
      <c r="B3942" s="1" t="n">
        <v>44349</v>
      </c>
      <c r="C3942" s="1" t="n">
        <v>45657</v>
      </c>
      <c r="D3942" t="inlineStr">
        <is>
          <t>VÄSTERNORRLANDS LÄN</t>
        </is>
      </c>
      <c r="E3942" t="inlineStr">
        <is>
          <t>TIMRÅ</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26936-2021</t>
        </is>
      </c>
      <c r="B3943" s="1" t="n">
        <v>44349</v>
      </c>
      <c r="C3943" s="1" t="n">
        <v>45657</v>
      </c>
      <c r="D3943" t="inlineStr">
        <is>
          <t>VÄSTERNORRLANDS LÄN</t>
        </is>
      </c>
      <c r="E3943" t="inlineStr">
        <is>
          <t>TIMRÅ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26966-2021</t>
        </is>
      </c>
      <c r="B3944" s="1" t="n">
        <v>44350</v>
      </c>
      <c r="C3944" s="1" t="n">
        <v>45657</v>
      </c>
      <c r="D3944" t="inlineStr">
        <is>
          <t>VÄSTERNORRLANDS LÄN</t>
        </is>
      </c>
      <c r="E3944" t="inlineStr">
        <is>
          <t>ÅNGE</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26972-2021</t>
        </is>
      </c>
      <c r="B3945" s="1" t="n">
        <v>44350</v>
      </c>
      <c r="C3945" s="1" t="n">
        <v>45657</v>
      </c>
      <c r="D3945" t="inlineStr">
        <is>
          <t>VÄSTERNORRLANDS LÄN</t>
        </is>
      </c>
      <c r="E3945" t="inlineStr">
        <is>
          <t>SUNDSVALL</t>
        </is>
      </c>
      <c r="F3945" t="inlineStr">
        <is>
          <t>SCA</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26950-2021</t>
        </is>
      </c>
      <c r="B3946" s="1" t="n">
        <v>44349</v>
      </c>
      <c r="C3946" s="1" t="n">
        <v>45657</v>
      </c>
      <c r="D3946" t="inlineStr">
        <is>
          <t>VÄSTERNORRLANDS LÄN</t>
        </is>
      </c>
      <c r="E3946" t="inlineStr">
        <is>
          <t>SUNDSVALL</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26969-2021</t>
        </is>
      </c>
      <c r="B3947" s="1" t="n">
        <v>44350</v>
      </c>
      <c r="C3947" s="1" t="n">
        <v>45657</v>
      </c>
      <c r="D3947" t="inlineStr">
        <is>
          <t>VÄSTERNORRLANDS LÄN</t>
        </is>
      </c>
      <c r="E3947" t="inlineStr">
        <is>
          <t>ÅNGE</t>
        </is>
      </c>
      <c r="F3947" t="inlineStr">
        <is>
          <t>SCA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27015-2021</t>
        </is>
      </c>
      <c r="B3948" s="1" t="n">
        <v>44349</v>
      </c>
      <c r="C3948" s="1" t="n">
        <v>45657</v>
      </c>
      <c r="D3948" t="inlineStr">
        <is>
          <t>VÄSTERNORRLANDS LÄN</t>
        </is>
      </c>
      <c r="E3948" t="inlineStr">
        <is>
          <t>SUNDSVALL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27170-2021</t>
        </is>
      </c>
      <c r="B3949" s="1" t="n">
        <v>44350</v>
      </c>
      <c r="C3949" s="1" t="n">
        <v>45657</v>
      </c>
      <c r="D3949" t="inlineStr">
        <is>
          <t>VÄSTERNORRLANDS LÄN</t>
        </is>
      </c>
      <c r="E3949" t="inlineStr">
        <is>
          <t>SUNDSVALL</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27076-2021</t>
        </is>
      </c>
      <c r="B3950" s="1" t="n">
        <v>44350</v>
      </c>
      <c r="C3950" s="1" t="n">
        <v>45657</v>
      </c>
      <c r="D3950" t="inlineStr">
        <is>
          <t>VÄSTERNORRLANDS LÄN</t>
        </is>
      </c>
      <c r="E3950" t="inlineStr">
        <is>
          <t>ÖRNSKÖLDSVIK</t>
        </is>
      </c>
      <c r="F3950" t="inlineStr">
        <is>
          <t>Holmen skog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27243-2021</t>
        </is>
      </c>
      <c r="B3951" s="1" t="n">
        <v>44350</v>
      </c>
      <c r="C3951" s="1" t="n">
        <v>45657</v>
      </c>
      <c r="D3951" t="inlineStr">
        <is>
          <t>VÄSTERNORRLANDS LÄN</t>
        </is>
      </c>
      <c r="E3951" t="inlineStr">
        <is>
          <t>TIMRÅ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27238-2021</t>
        </is>
      </c>
      <c r="B3952" s="1" t="n">
        <v>44350</v>
      </c>
      <c r="C3952" s="1" t="n">
        <v>45657</v>
      </c>
      <c r="D3952" t="inlineStr">
        <is>
          <t>VÄSTERNORRLANDS LÄN</t>
        </is>
      </c>
      <c r="E3952" t="inlineStr">
        <is>
          <t>SUNDSVALL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27288-2021</t>
        </is>
      </c>
      <c r="B3953" s="1" t="n">
        <v>44351</v>
      </c>
      <c r="C3953" s="1" t="n">
        <v>45657</v>
      </c>
      <c r="D3953" t="inlineStr">
        <is>
          <t>VÄSTERNORRLANDS LÄN</t>
        </is>
      </c>
      <c r="E3953" t="inlineStr">
        <is>
          <t>ÅNGE</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27366-2021</t>
        </is>
      </c>
      <c r="B3954" s="1" t="n">
        <v>44351</v>
      </c>
      <c r="C3954" s="1" t="n">
        <v>45657</v>
      </c>
      <c r="D3954" t="inlineStr">
        <is>
          <t>VÄSTERNORRLANDS LÄN</t>
        </is>
      </c>
      <c r="E3954" t="inlineStr">
        <is>
          <t>SUNDSVALL</t>
        </is>
      </c>
      <c r="G3954" t="n">
        <v>15.9</v>
      </c>
      <c r="H3954" t="n">
        <v>0</v>
      </c>
      <c r="I3954" t="n">
        <v>0</v>
      </c>
      <c r="J3954" t="n">
        <v>0</v>
      </c>
      <c r="K3954" t="n">
        <v>0</v>
      </c>
      <c r="L3954" t="n">
        <v>0</v>
      </c>
      <c r="M3954" t="n">
        <v>0</v>
      </c>
      <c r="N3954" t="n">
        <v>0</v>
      </c>
      <c r="O3954" t="n">
        <v>0</v>
      </c>
      <c r="P3954" t="n">
        <v>0</v>
      </c>
      <c r="Q3954" t="n">
        <v>0</v>
      </c>
      <c r="R3954" s="2" t="inlineStr"/>
    </row>
    <row r="3955" ht="15" customHeight="1">
      <c r="A3955" t="inlineStr">
        <is>
          <t>A 27297-2021</t>
        </is>
      </c>
      <c r="B3955" s="1" t="n">
        <v>44351</v>
      </c>
      <c r="C3955" s="1" t="n">
        <v>45657</v>
      </c>
      <c r="D3955" t="inlineStr">
        <is>
          <t>VÄSTERNORRLANDS LÄN</t>
        </is>
      </c>
      <c r="E3955" t="inlineStr">
        <is>
          <t>ÖRNSKÖLDSVIK</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27407-2021</t>
        </is>
      </c>
      <c r="B3956" s="1" t="n">
        <v>44351</v>
      </c>
      <c r="C3956" s="1" t="n">
        <v>45657</v>
      </c>
      <c r="D3956" t="inlineStr">
        <is>
          <t>VÄSTERNORRLANDS LÄN</t>
        </is>
      </c>
      <c r="E3956" t="inlineStr">
        <is>
          <t>ÖRNSKÖLDSVIK</t>
        </is>
      </c>
      <c r="F3956" t="inlineStr">
        <is>
          <t>Holmen skog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27398-2021</t>
        </is>
      </c>
      <c r="B3957" s="1" t="n">
        <v>44351</v>
      </c>
      <c r="C3957" s="1" t="n">
        <v>45657</v>
      </c>
      <c r="D3957" t="inlineStr">
        <is>
          <t>VÄSTERNORRLANDS LÄN</t>
        </is>
      </c>
      <c r="E3957" t="inlineStr">
        <is>
          <t>ÖRNSKÖLDSVIK</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27490-2021</t>
        </is>
      </c>
      <c r="B3958" s="1" t="n">
        <v>44351</v>
      </c>
      <c r="C3958" s="1" t="n">
        <v>45657</v>
      </c>
      <c r="D3958" t="inlineStr">
        <is>
          <t>VÄSTERNORRLANDS LÄN</t>
        </is>
      </c>
      <c r="E3958" t="inlineStr">
        <is>
          <t>ÖRNSKÖLDSVIK</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27519-2021</t>
        </is>
      </c>
      <c r="B3959" s="1" t="n">
        <v>44351</v>
      </c>
      <c r="C3959" s="1" t="n">
        <v>45657</v>
      </c>
      <c r="D3959" t="inlineStr">
        <is>
          <t>VÄSTERNORRLANDS LÄN</t>
        </is>
      </c>
      <c r="E3959" t="inlineStr">
        <is>
          <t>ÖRNSKÖLDSVIK</t>
        </is>
      </c>
      <c r="F3959" t="inlineStr">
        <is>
          <t>Holmen skog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27633-2021</t>
        </is>
      </c>
      <c r="B3960" s="1" t="n">
        <v>44351</v>
      </c>
      <c r="C3960" s="1" t="n">
        <v>45657</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27522-2021</t>
        </is>
      </c>
      <c r="B3961" s="1" t="n">
        <v>44351</v>
      </c>
      <c r="C3961" s="1" t="n">
        <v>45657</v>
      </c>
      <c r="D3961" t="inlineStr">
        <is>
          <t>VÄSTERNORRLANDS LÄN</t>
        </is>
      </c>
      <c r="E3961" t="inlineStr">
        <is>
          <t>ÖRNSKÖLDSVIK</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27556-2021</t>
        </is>
      </c>
      <c r="B3962" s="1" t="n">
        <v>44352</v>
      </c>
      <c r="C3962" s="1" t="n">
        <v>45657</v>
      </c>
      <c r="D3962" t="inlineStr">
        <is>
          <t>VÄSTERNORRLANDS LÄN</t>
        </is>
      </c>
      <c r="E3962" t="inlineStr">
        <is>
          <t>SUNDSVALL</t>
        </is>
      </c>
      <c r="F3962" t="inlineStr">
        <is>
          <t>SCA</t>
        </is>
      </c>
      <c r="G3962" t="n">
        <v>9.4</v>
      </c>
      <c r="H3962" t="n">
        <v>0</v>
      </c>
      <c r="I3962" t="n">
        <v>0</v>
      </c>
      <c r="J3962" t="n">
        <v>0</v>
      </c>
      <c r="K3962" t="n">
        <v>0</v>
      </c>
      <c r="L3962" t="n">
        <v>0</v>
      </c>
      <c r="M3962" t="n">
        <v>0</v>
      </c>
      <c r="N3962" t="n">
        <v>0</v>
      </c>
      <c r="O3962" t="n">
        <v>0</v>
      </c>
      <c r="P3962" t="n">
        <v>0</v>
      </c>
      <c r="Q3962" t="n">
        <v>0</v>
      </c>
      <c r="R3962" s="2" t="inlineStr"/>
    </row>
    <row r="3963" ht="15" customHeight="1">
      <c r="A3963" t="inlineStr">
        <is>
          <t>A 27610-2021</t>
        </is>
      </c>
      <c r="B3963" s="1" t="n">
        <v>44354</v>
      </c>
      <c r="C3963" s="1" t="n">
        <v>45657</v>
      </c>
      <c r="D3963" t="inlineStr">
        <is>
          <t>VÄSTERNORRLANDS LÄN</t>
        </is>
      </c>
      <c r="E3963" t="inlineStr">
        <is>
          <t>ÖRNSKÖLDSVIK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27809-2021</t>
        </is>
      </c>
      <c r="B3964" s="1" t="n">
        <v>44354</v>
      </c>
      <c r="C3964" s="1" t="n">
        <v>45657</v>
      </c>
      <c r="D3964" t="inlineStr">
        <is>
          <t>VÄSTERNORRLANDS LÄN</t>
        </is>
      </c>
      <c r="E3964" t="inlineStr">
        <is>
          <t>SOLLEFTEÅ</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27842-2021</t>
        </is>
      </c>
      <c r="B3965" s="1" t="n">
        <v>44354</v>
      </c>
      <c r="C3965" s="1" t="n">
        <v>45657</v>
      </c>
      <c r="D3965" t="inlineStr">
        <is>
          <t>VÄSTERNORRLANDS LÄN</t>
        </is>
      </c>
      <c r="E3965" t="inlineStr">
        <is>
          <t>ÖRNSKÖLDSVIK</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27951-2021</t>
        </is>
      </c>
      <c r="B3966" s="1" t="n">
        <v>44354</v>
      </c>
      <c r="C3966" s="1" t="n">
        <v>45657</v>
      </c>
      <c r="D3966" t="inlineStr">
        <is>
          <t>VÄSTERNORRLANDS LÄN</t>
        </is>
      </c>
      <c r="E3966" t="inlineStr">
        <is>
          <t>ÅNGE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27953-2021</t>
        </is>
      </c>
      <c r="B3967" s="1" t="n">
        <v>44355</v>
      </c>
      <c r="C3967" s="1" t="n">
        <v>45657</v>
      </c>
      <c r="D3967" t="inlineStr">
        <is>
          <t>VÄSTERNORRLANDS LÄN</t>
        </is>
      </c>
      <c r="E3967" t="inlineStr">
        <is>
          <t>ÅNGE</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27957-2021</t>
        </is>
      </c>
      <c r="B3968" s="1" t="n">
        <v>44354</v>
      </c>
      <c r="C3968" s="1" t="n">
        <v>45657</v>
      </c>
      <c r="D3968" t="inlineStr">
        <is>
          <t>VÄSTERNORRLANDS LÄN</t>
        </is>
      </c>
      <c r="E3968" t="inlineStr">
        <is>
          <t>ÅNGE</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27959-2021</t>
        </is>
      </c>
      <c r="B3969" s="1" t="n">
        <v>44354</v>
      </c>
      <c r="C3969" s="1" t="n">
        <v>45657</v>
      </c>
      <c r="D3969" t="inlineStr">
        <is>
          <t>VÄSTERNORRLANDS LÄN</t>
        </is>
      </c>
      <c r="E3969" t="inlineStr">
        <is>
          <t>SUNDSVALL</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27972-2021</t>
        </is>
      </c>
      <c r="B3970" s="1" t="n">
        <v>44355</v>
      </c>
      <c r="C3970" s="1" t="n">
        <v>45657</v>
      </c>
      <c r="D3970" t="inlineStr">
        <is>
          <t>VÄSTERNORRLANDS LÄN</t>
        </is>
      </c>
      <c r="E3970" t="inlineStr">
        <is>
          <t>SOLLEFTEÅ</t>
        </is>
      </c>
      <c r="F3970" t="inlineStr">
        <is>
          <t>SCA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28172-2021</t>
        </is>
      </c>
      <c r="B3971" s="1" t="n">
        <v>44355</v>
      </c>
      <c r="C3971" s="1" t="n">
        <v>45657</v>
      </c>
      <c r="D3971" t="inlineStr">
        <is>
          <t>VÄSTERNORRLANDS LÄN</t>
        </is>
      </c>
      <c r="E3971" t="inlineStr">
        <is>
          <t>KRAMFORS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28223-2021</t>
        </is>
      </c>
      <c r="B3972" s="1" t="n">
        <v>44355</v>
      </c>
      <c r="C3972" s="1" t="n">
        <v>45657</v>
      </c>
      <c r="D3972" t="inlineStr">
        <is>
          <t>VÄSTERNORRLANDS LÄN</t>
        </is>
      </c>
      <c r="E3972" t="inlineStr">
        <is>
          <t>ÖRNSKÖLDSVIK</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28238-2021</t>
        </is>
      </c>
      <c r="B3973" s="1" t="n">
        <v>44355</v>
      </c>
      <c r="C3973" s="1" t="n">
        <v>45657</v>
      </c>
      <c r="D3973" t="inlineStr">
        <is>
          <t>VÄSTERNORRLANDS LÄN</t>
        </is>
      </c>
      <c r="E3973" t="inlineStr">
        <is>
          <t>SUNDSVALL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28264-2021</t>
        </is>
      </c>
      <c r="B3974" s="1" t="n">
        <v>44355</v>
      </c>
      <c r="C3974" s="1" t="n">
        <v>45657</v>
      </c>
      <c r="D3974" t="inlineStr">
        <is>
          <t>VÄSTERNORRLANDS LÄN</t>
        </is>
      </c>
      <c r="E3974" t="inlineStr">
        <is>
          <t>SUNDSVALL</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28288-2021</t>
        </is>
      </c>
      <c r="B3975" s="1" t="n">
        <v>44355</v>
      </c>
      <c r="C3975" s="1" t="n">
        <v>45657</v>
      </c>
      <c r="D3975" t="inlineStr">
        <is>
          <t>VÄSTERNORRLANDS LÄN</t>
        </is>
      </c>
      <c r="E3975" t="inlineStr">
        <is>
          <t>SOLLEFTEÅ</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28491-2021</t>
        </is>
      </c>
      <c r="B3976" s="1" t="n">
        <v>44356</v>
      </c>
      <c r="C3976" s="1" t="n">
        <v>45657</v>
      </c>
      <c r="D3976" t="inlineStr">
        <is>
          <t>VÄSTERNORRLANDS LÄN</t>
        </is>
      </c>
      <c r="E3976" t="inlineStr">
        <is>
          <t>KRAMFORS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28341-2021</t>
        </is>
      </c>
      <c r="B3977" s="1" t="n">
        <v>44356</v>
      </c>
      <c r="C3977" s="1" t="n">
        <v>45657</v>
      </c>
      <c r="D3977" t="inlineStr">
        <is>
          <t>VÄSTERNORRLANDS LÄN</t>
        </is>
      </c>
      <c r="E3977" t="inlineStr">
        <is>
          <t>SUNDSVALL</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28456-2021</t>
        </is>
      </c>
      <c r="B3978" s="1" t="n">
        <v>44356</v>
      </c>
      <c r="C3978" s="1" t="n">
        <v>45657</v>
      </c>
      <c r="D3978" t="inlineStr">
        <is>
          <t>VÄSTERNORRLANDS LÄN</t>
        </is>
      </c>
      <c r="E3978" t="inlineStr">
        <is>
          <t>ÖRNSKÖLDSVIK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28519-2021</t>
        </is>
      </c>
      <c r="B3979" s="1" t="n">
        <v>44356</v>
      </c>
      <c r="C3979" s="1" t="n">
        <v>45657</v>
      </c>
      <c r="D3979" t="inlineStr">
        <is>
          <t>VÄSTERNORRLANDS LÄN</t>
        </is>
      </c>
      <c r="E3979" t="inlineStr">
        <is>
          <t>KRAMFORS</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28564-2021</t>
        </is>
      </c>
      <c r="B3980" s="1" t="n">
        <v>44356</v>
      </c>
      <c r="C3980" s="1" t="n">
        <v>45657</v>
      </c>
      <c r="D3980" t="inlineStr">
        <is>
          <t>VÄSTERNORRLANDS LÄN</t>
        </is>
      </c>
      <c r="E3980" t="inlineStr">
        <is>
          <t>ÖRNSKÖLDSVIK</t>
        </is>
      </c>
      <c r="F3980" t="inlineStr">
        <is>
          <t>Holmen skog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28595-2021</t>
        </is>
      </c>
      <c r="B3981" s="1" t="n">
        <v>44356</v>
      </c>
      <c r="C3981" s="1" t="n">
        <v>45657</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28723-2021</t>
        </is>
      </c>
      <c r="B3982" s="1" t="n">
        <v>44356</v>
      </c>
      <c r="C3982" s="1" t="n">
        <v>45657</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28615-2021</t>
        </is>
      </c>
      <c r="B3983" s="1" t="n">
        <v>44357</v>
      </c>
      <c r="C3983" s="1" t="n">
        <v>45657</v>
      </c>
      <c r="D3983" t="inlineStr">
        <is>
          <t>VÄSTERNORRLANDS LÄN</t>
        </is>
      </c>
      <c r="E3983" t="inlineStr">
        <is>
          <t>SOLLEFTEÅ</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28651-2021</t>
        </is>
      </c>
      <c r="B3984" s="1" t="n">
        <v>44356</v>
      </c>
      <c r="C3984" s="1" t="n">
        <v>45657</v>
      </c>
      <c r="D3984" t="inlineStr">
        <is>
          <t>VÄSTERNORRLANDS LÄN</t>
        </is>
      </c>
      <c r="E3984" t="inlineStr">
        <is>
          <t>KRAMFORS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28594-2021</t>
        </is>
      </c>
      <c r="B3985" s="1" t="n">
        <v>44356</v>
      </c>
      <c r="C3985" s="1" t="n">
        <v>45657</v>
      </c>
      <c r="D3985" t="inlineStr">
        <is>
          <t>VÄSTERNORRLANDS LÄN</t>
        </is>
      </c>
      <c r="E3985" t="inlineStr">
        <is>
          <t>SUNDSVALL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28695-2021</t>
        </is>
      </c>
      <c r="B3986" s="1" t="n">
        <v>44357</v>
      </c>
      <c r="C3986" s="1" t="n">
        <v>45657</v>
      </c>
      <c r="D3986" t="inlineStr">
        <is>
          <t>VÄSTERNORRLANDS LÄN</t>
        </is>
      </c>
      <c r="E3986" t="inlineStr">
        <is>
          <t>TIMRÅ</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28706-2021</t>
        </is>
      </c>
      <c r="B3987" s="1" t="n">
        <v>44357</v>
      </c>
      <c r="C3987" s="1" t="n">
        <v>45657</v>
      </c>
      <c r="D3987" t="inlineStr">
        <is>
          <t>VÄSTERNORRLANDS LÄN</t>
        </is>
      </c>
      <c r="E3987" t="inlineStr">
        <is>
          <t>TIMRÅ</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28701-2021</t>
        </is>
      </c>
      <c r="B3988" s="1" t="n">
        <v>44357</v>
      </c>
      <c r="C3988" s="1" t="n">
        <v>45657</v>
      </c>
      <c r="D3988" t="inlineStr">
        <is>
          <t>VÄSTERNORRLANDS LÄN</t>
        </is>
      </c>
      <c r="E3988" t="inlineStr">
        <is>
          <t>KRAMFORS</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28650-2021</t>
        </is>
      </c>
      <c r="B3989" s="1" t="n">
        <v>44357</v>
      </c>
      <c r="C3989" s="1" t="n">
        <v>45657</v>
      </c>
      <c r="D3989" t="inlineStr">
        <is>
          <t>VÄSTERNORRLANDS LÄN</t>
        </is>
      </c>
      <c r="E3989" t="inlineStr">
        <is>
          <t>TIMRÅ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28684-2021</t>
        </is>
      </c>
      <c r="B3990" s="1" t="n">
        <v>44357</v>
      </c>
      <c r="C3990" s="1" t="n">
        <v>45657</v>
      </c>
      <c r="D3990" t="inlineStr">
        <is>
          <t>VÄSTERNORRLANDS LÄN</t>
        </is>
      </c>
      <c r="E3990" t="inlineStr">
        <is>
          <t>SUNDSVALL</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28702-2021</t>
        </is>
      </c>
      <c r="B3991" s="1" t="n">
        <v>44357</v>
      </c>
      <c r="C3991" s="1" t="n">
        <v>45657</v>
      </c>
      <c r="D3991" t="inlineStr">
        <is>
          <t>VÄSTERNORRLANDS LÄN</t>
        </is>
      </c>
      <c r="E3991" t="inlineStr">
        <is>
          <t>TIMRÅ</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28737-2021</t>
        </is>
      </c>
      <c r="B3992" s="1" t="n">
        <v>44357</v>
      </c>
      <c r="C3992" s="1" t="n">
        <v>45657</v>
      </c>
      <c r="D3992" t="inlineStr">
        <is>
          <t>VÄSTERNORRLANDS LÄN</t>
        </is>
      </c>
      <c r="E3992" t="inlineStr">
        <is>
          <t>ÖRNSKÖLDSVIK</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28825-2021</t>
        </is>
      </c>
      <c r="B3993" s="1" t="n">
        <v>44357</v>
      </c>
      <c r="C3993" s="1" t="n">
        <v>45657</v>
      </c>
      <c r="D3993" t="inlineStr">
        <is>
          <t>VÄSTERNORRLANDS LÄN</t>
        </is>
      </c>
      <c r="E3993" t="inlineStr">
        <is>
          <t>SUNDSVALL</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28829-2021</t>
        </is>
      </c>
      <c r="B3994" s="1" t="n">
        <v>44357</v>
      </c>
      <c r="C3994" s="1" t="n">
        <v>45657</v>
      </c>
      <c r="D3994" t="inlineStr">
        <is>
          <t>VÄSTERNORRLANDS LÄN</t>
        </is>
      </c>
      <c r="E3994" t="inlineStr">
        <is>
          <t>SUNDSVALL</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28911-2021</t>
        </is>
      </c>
      <c r="B3995" s="1" t="n">
        <v>44357</v>
      </c>
      <c r="C3995" s="1" t="n">
        <v>45657</v>
      </c>
      <c r="D3995" t="inlineStr">
        <is>
          <t>VÄSTERNORRLANDS LÄN</t>
        </is>
      </c>
      <c r="E3995" t="inlineStr">
        <is>
          <t>HÄRNÖSAND</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29048-2021</t>
        </is>
      </c>
      <c r="B3996" s="1" t="n">
        <v>44358</v>
      </c>
      <c r="C3996" s="1" t="n">
        <v>45657</v>
      </c>
      <c r="D3996" t="inlineStr">
        <is>
          <t>VÄSTERNORRLANDS LÄN</t>
        </is>
      </c>
      <c r="E3996" t="inlineStr">
        <is>
          <t>ÅNGE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28939-2021</t>
        </is>
      </c>
      <c r="B3997" s="1" t="n">
        <v>44358</v>
      </c>
      <c r="C3997" s="1" t="n">
        <v>45657</v>
      </c>
      <c r="D3997" t="inlineStr">
        <is>
          <t>VÄSTERNORRLANDS LÄN</t>
        </is>
      </c>
      <c r="E3997" t="inlineStr">
        <is>
          <t>SOLLEFTEÅ</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29012-2021</t>
        </is>
      </c>
      <c r="B3998" s="1" t="n">
        <v>44358</v>
      </c>
      <c r="C3998" s="1" t="n">
        <v>45657</v>
      </c>
      <c r="D3998" t="inlineStr">
        <is>
          <t>VÄSTERNORRLANDS LÄN</t>
        </is>
      </c>
      <c r="E3998" t="inlineStr">
        <is>
          <t>ÖRNSKÖLDSVIK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29180-2021</t>
        </is>
      </c>
      <c r="B3999" s="1" t="n">
        <v>44358</v>
      </c>
      <c r="C3999" s="1" t="n">
        <v>45657</v>
      </c>
      <c r="D3999" t="inlineStr">
        <is>
          <t>VÄSTERNORRLANDS LÄN</t>
        </is>
      </c>
      <c r="E3999" t="inlineStr">
        <is>
          <t>ÅNGE</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29187-2021</t>
        </is>
      </c>
      <c r="B4000" s="1" t="n">
        <v>44358</v>
      </c>
      <c r="C4000" s="1" t="n">
        <v>45657</v>
      </c>
      <c r="D4000" t="inlineStr">
        <is>
          <t>VÄSTERNORRLANDS LÄN</t>
        </is>
      </c>
      <c r="E4000" t="inlineStr">
        <is>
          <t>ÅNGE</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29292-2021</t>
        </is>
      </c>
      <c r="B4001" s="1" t="n">
        <v>44358</v>
      </c>
      <c r="C4001" s="1" t="n">
        <v>45657</v>
      </c>
      <c r="D4001" t="inlineStr">
        <is>
          <t>VÄSTERNORRLANDS LÄN</t>
        </is>
      </c>
      <c r="E4001" t="inlineStr">
        <is>
          <t>SUNDSVALL</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29164-2021</t>
        </is>
      </c>
      <c r="B4002" s="1" t="n">
        <v>44358</v>
      </c>
      <c r="C4002" s="1" t="n">
        <v>45657</v>
      </c>
      <c r="D4002" t="inlineStr">
        <is>
          <t>VÄSTERNORRLANDS LÄN</t>
        </is>
      </c>
      <c r="E4002" t="inlineStr">
        <is>
          <t>ÖRNSKÖLDSVIK</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29248-2021</t>
        </is>
      </c>
      <c r="B4003" s="1" t="n">
        <v>44358</v>
      </c>
      <c r="C4003" s="1" t="n">
        <v>45657</v>
      </c>
      <c r="D4003" t="inlineStr">
        <is>
          <t>VÄSTERNORRLANDS LÄN</t>
        </is>
      </c>
      <c r="E4003" t="inlineStr">
        <is>
          <t>ÖRNSKÖLDSVIK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29191-2021</t>
        </is>
      </c>
      <c r="B4004" s="1" t="n">
        <v>44358</v>
      </c>
      <c r="C4004" s="1" t="n">
        <v>45657</v>
      </c>
      <c r="D4004" t="inlineStr">
        <is>
          <t>VÄSTERNORRLANDS LÄN</t>
        </is>
      </c>
      <c r="E4004" t="inlineStr">
        <is>
          <t>ÅNGE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29202-2021</t>
        </is>
      </c>
      <c r="B4005" s="1" t="n">
        <v>44359</v>
      </c>
      <c r="C4005" s="1" t="n">
        <v>45657</v>
      </c>
      <c r="D4005" t="inlineStr">
        <is>
          <t>VÄSTERNORRLANDS LÄN</t>
        </is>
      </c>
      <c r="E4005" t="inlineStr">
        <is>
          <t>ÖRNSKÖLDSVIK</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29256-2021</t>
        </is>
      </c>
      <c r="B4006" s="1" t="n">
        <v>44361</v>
      </c>
      <c r="C4006" s="1" t="n">
        <v>45657</v>
      </c>
      <c r="D4006" t="inlineStr">
        <is>
          <t>VÄSTERNORRLANDS LÄN</t>
        </is>
      </c>
      <c r="E4006" t="inlineStr">
        <is>
          <t>SUNDSVALL</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29322-2021</t>
        </is>
      </c>
      <c r="B4007" s="1" t="n">
        <v>44361</v>
      </c>
      <c r="C4007" s="1" t="n">
        <v>45657</v>
      </c>
      <c r="D4007" t="inlineStr">
        <is>
          <t>VÄSTERNORRLANDS LÄN</t>
        </is>
      </c>
      <c r="E4007" t="inlineStr">
        <is>
          <t>SUNDSVALL</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29425-2021</t>
        </is>
      </c>
      <c r="B4008" s="1" t="n">
        <v>44361</v>
      </c>
      <c r="C4008" s="1" t="n">
        <v>45657</v>
      </c>
      <c r="D4008" t="inlineStr">
        <is>
          <t>VÄSTERNORRLANDS LÄN</t>
        </is>
      </c>
      <c r="E4008" t="inlineStr">
        <is>
          <t>ÖRNSKÖLDSVIK</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29301-2021</t>
        </is>
      </c>
      <c r="B4009" s="1" t="n">
        <v>44361</v>
      </c>
      <c r="C4009" s="1" t="n">
        <v>45657</v>
      </c>
      <c r="D4009" t="inlineStr">
        <is>
          <t>VÄSTERNORRLANDS LÄN</t>
        </is>
      </c>
      <c r="E4009" t="inlineStr">
        <is>
          <t>SUNDSVALL</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29341-2021</t>
        </is>
      </c>
      <c r="B4010" s="1" t="n">
        <v>44361</v>
      </c>
      <c r="C4010" s="1" t="n">
        <v>45657</v>
      </c>
      <c r="D4010" t="inlineStr">
        <is>
          <t>VÄSTERNORRLANDS LÄN</t>
        </is>
      </c>
      <c r="E4010" t="inlineStr">
        <is>
          <t>ÖRNSKÖLDSVIK</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29420-2021</t>
        </is>
      </c>
      <c r="B4011" s="1" t="n">
        <v>44361</v>
      </c>
      <c r="C4011" s="1" t="n">
        <v>45657</v>
      </c>
      <c r="D4011" t="inlineStr">
        <is>
          <t>VÄSTERNORRLANDS LÄN</t>
        </is>
      </c>
      <c r="E4011" t="inlineStr">
        <is>
          <t>ÖRNSKÖLDSVIK</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29390-2021</t>
        </is>
      </c>
      <c r="B4012" s="1" t="n">
        <v>44361</v>
      </c>
      <c r="C4012" s="1" t="n">
        <v>45657</v>
      </c>
      <c r="D4012" t="inlineStr">
        <is>
          <t>VÄSTERNORRLANDS LÄN</t>
        </is>
      </c>
      <c r="E4012" t="inlineStr">
        <is>
          <t>ÅNGE</t>
        </is>
      </c>
      <c r="F4012" t="inlineStr">
        <is>
          <t>Holmen skog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29403-2021</t>
        </is>
      </c>
      <c r="B4013" s="1" t="n">
        <v>44361</v>
      </c>
      <c r="C4013" s="1" t="n">
        <v>45657</v>
      </c>
      <c r="D4013" t="inlineStr">
        <is>
          <t>VÄSTERNORRLANDS LÄN</t>
        </is>
      </c>
      <c r="E4013" t="inlineStr">
        <is>
          <t>SUNDSVALL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29519-2021</t>
        </is>
      </c>
      <c r="B4014" s="1" t="n">
        <v>44361</v>
      </c>
      <c r="C4014" s="1" t="n">
        <v>45657</v>
      </c>
      <c r="D4014" t="inlineStr">
        <is>
          <t>VÄSTERNORRLANDS LÄN</t>
        </is>
      </c>
      <c r="E4014" t="inlineStr">
        <is>
          <t>ÖRNSKÖLDSVIK</t>
        </is>
      </c>
      <c r="F4014" t="inlineStr">
        <is>
          <t>Holmen skog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29468-2021</t>
        </is>
      </c>
      <c r="B4015" s="1" t="n">
        <v>44361</v>
      </c>
      <c r="C4015" s="1" t="n">
        <v>45657</v>
      </c>
      <c r="D4015" t="inlineStr">
        <is>
          <t>VÄSTERNORRLANDS LÄN</t>
        </is>
      </c>
      <c r="E4015" t="inlineStr">
        <is>
          <t>SUNDSVALL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29484-2021</t>
        </is>
      </c>
      <c r="B4016" s="1" t="n">
        <v>44361</v>
      </c>
      <c r="C4016" s="1" t="n">
        <v>45657</v>
      </c>
      <c r="D4016" t="inlineStr">
        <is>
          <t>VÄSTERNORRLANDS LÄN</t>
        </is>
      </c>
      <c r="E4016" t="inlineStr">
        <is>
          <t>SUNDSVALL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29509-2021</t>
        </is>
      </c>
      <c r="B4017" s="1" t="n">
        <v>44361</v>
      </c>
      <c r="C4017" s="1" t="n">
        <v>45657</v>
      </c>
      <c r="D4017" t="inlineStr">
        <is>
          <t>VÄSTERNORRLANDS LÄN</t>
        </is>
      </c>
      <c r="E4017" t="inlineStr">
        <is>
          <t>ÅNGE</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29535-2021</t>
        </is>
      </c>
      <c r="B4018" s="1" t="n">
        <v>44361</v>
      </c>
      <c r="C4018" s="1" t="n">
        <v>45657</v>
      </c>
      <c r="D4018" t="inlineStr">
        <is>
          <t>VÄSTERNORRLANDS LÄN</t>
        </is>
      </c>
      <c r="E4018" t="inlineStr">
        <is>
          <t>SUNDSVALL</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29576-2021</t>
        </is>
      </c>
      <c r="B4019" s="1" t="n">
        <v>44361</v>
      </c>
      <c r="C4019" s="1" t="n">
        <v>45657</v>
      </c>
      <c r="D4019" t="inlineStr">
        <is>
          <t>VÄSTERNORRLANDS LÄN</t>
        </is>
      </c>
      <c r="E4019" t="inlineStr">
        <is>
          <t>SUNDSVALL</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29577-2021</t>
        </is>
      </c>
      <c r="B4020" s="1" t="n">
        <v>44361</v>
      </c>
      <c r="C4020" s="1" t="n">
        <v>45657</v>
      </c>
      <c r="D4020" t="inlineStr">
        <is>
          <t>VÄSTERNORRLANDS LÄN</t>
        </is>
      </c>
      <c r="E4020" t="inlineStr">
        <is>
          <t>SUNDSVALL</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29584-2021</t>
        </is>
      </c>
      <c r="B4021" s="1" t="n">
        <v>44361</v>
      </c>
      <c r="C4021" s="1" t="n">
        <v>45657</v>
      </c>
      <c r="D4021" t="inlineStr">
        <is>
          <t>VÄSTERNORRLANDS LÄN</t>
        </is>
      </c>
      <c r="E4021" t="inlineStr">
        <is>
          <t>SUNDSVALL</t>
        </is>
      </c>
      <c r="G4021" t="n">
        <v>14.6</v>
      </c>
      <c r="H4021" t="n">
        <v>0</v>
      </c>
      <c r="I4021" t="n">
        <v>0</v>
      </c>
      <c r="J4021" t="n">
        <v>0</v>
      </c>
      <c r="K4021" t="n">
        <v>0</v>
      </c>
      <c r="L4021" t="n">
        <v>0</v>
      </c>
      <c r="M4021" t="n">
        <v>0</v>
      </c>
      <c r="N4021" t="n">
        <v>0</v>
      </c>
      <c r="O4021" t="n">
        <v>0</v>
      </c>
      <c r="P4021" t="n">
        <v>0</v>
      </c>
      <c r="Q4021" t="n">
        <v>0</v>
      </c>
      <c r="R4021" s="2" t="inlineStr"/>
    </row>
    <row r="4022" ht="15" customHeight="1">
      <c r="A4022" t="inlineStr">
        <is>
          <t>A 29623-2021</t>
        </is>
      </c>
      <c r="B4022" s="1" t="n">
        <v>44361</v>
      </c>
      <c r="C4022" s="1" t="n">
        <v>45657</v>
      </c>
      <c r="D4022" t="inlineStr">
        <is>
          <t>VÄSTERNORRLANDS LÄN</t>
        </is>
      </c>
      <c r="E4022" t="inlineStr">
        <is>
          <t>SOLLEFTEÅ</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29602-2021</t>
        </is>
      </c>
      <c r="B4023" s="1" t="n">
        <v>44362</v>
      </c>
      <c r="C4023" s="1" t="n">
        <v>45657</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29643-2021</t>
        </is>
      </c>
      <c r="B4024" s="1" t="n">
        <v>44361</v>
      </c>
      <c r="C4024" s="1" t="n">
        <v>45657</v>
      </c>
      <c r="D4024" t="inlineStr">
        <is>
          <t>VÄSTERNORRLANDS LÄN</t>
        </is>
      </c>
      <c r="E4024" t="inlineStr">
        <is>
          <t>SUNDSVALL</t>
        </is>
      </c>
      <c r="F4024" t="inlineStr">
        <is>
          <t>SCA</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29682-2021</t>
        </is>
      </c>
      <c r="B4025" s="1" t="n">
        <v>44362</v>
      </c>
      <c r="C4025" s="1" t="n">
        <v>45657</v>
      </c>
      <c r="D4025" t="inlineStr">
        <is>
          <t>VÄSTERNORRLANDS LÄN</t>
        </is>
      </c>
      <c r="E4025" t="inlineStr">
        <is>
          <t>ÖRNSKÖLDSVIK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29760-2021</t>
        </is>
      </c>
      <c r="B4026" s="1" t="n">
        <v>44362</v>
      </c>
      <c r="C4026" s="1" t="n">
        <v>45657</v>
      </c>
      <c r="D4026" t="inlineStr">
        <is>
          <t>VÄSTERNORRLANDS LÄN</t>
        </is>
      </c>
      <c r="E4026" t="inlineStr">
        <is>
          <t>ÖRNSKÖLDSVIK</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29829-2021</t>
        </is>
      </c>
      <c r="B4027" s="1" t="n">
        <v>44362</v>
      </c>
      <c r="C4027" s="1" t="n">
        <v>45657</v>
      </c>
      <c r="D4027" t="inlineStr">
        <is>
          <t>VÄSTERNORRLANDS LÄN</t>
        </is>
      </c>
      <c r="E4027" t="inlineStr">
        <is>
          <t>SOLLEFTEÅ</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29727-2021</t>
        </is>
      </c>
      <c r="B4028" s="1" t="n">
        <v>44362</v>
      </c>
      <c r="C4028" s="1" t="n">
        <v>45657</v>
      </c>
      <c r="D4028" t="inlineStr">
        <is>
          <t>VÄSTERNORRLANDS LÄN</t>
        </is>
      </c>
      <c r="E4028" t="inlineStr">
        <is>
          <t>ÖRNSKÖLDSVIK</t>
        </is>
      </c>
      <c r="F4028" t="inlineStr">
        <is>
          <t>Holmen skog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29852-2021</t>
        </is>
      </c>
      <c r="B4029" s="1" t="n">
        <v>44362</v>
      </c>
      <c r="C4029" s="1" t="n">
        <v>45657</v>
      </c>
      <c r="D4029" t="inlineStr">
        <is>
          <t>VÄSTERNORRLANDS LÄN</t>
        </is>
      </c>
      <c r="E4029" t="inlineStr">
        <is>
          <t>ÖRNSKÖLDSVIK</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29904-2021</t>
        </is>
      </c>
      <c r="B4030" s="1" t="n">
        <v>44363</v>
      </c>
      <c r="C4030" s="1" t="n">
        <v>45657</v>
      </c>
      <c r="D4030" t="inlineStr">
        <is>
          <t>VÄSTERNORRLANDS LÄN</t>
        </is>
      </c>
      <c r="E4030" t="inlineStr">
        <is>
          <t>KRAMFORS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29831-2021</t>
        </is>
      </c>
      <c r="B4031" s="1" t="n">
        <v>44362</v>
      </c>
      <c r="C4031" s="1" t="n">
        <v>45657</v>
      </c>
      <c r="D4031" t="inlineStr">
        <is>
          <t>VÄSTERNORRLANDS LÄN</t>
        </is>
      </c>
      <c r="E4031" t="inlineStr">
        <is>
          <t>ÖRNSKÖLDSVIK</t>
        </is>
      </c>
      <c r="F4031" t="inlineStr">
        <is>
          <t>Holmen skog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29844-2021</t>
        </is>
      </c>
      <c r="B4032" s="1" t="n">
        <v>44362</v>
      </c>
      <c r="C4032" s="1" t="n">
        <v>45657</v>
      </c>
      <c r="D4032" t="inlineStr">
        <is>
          <t>VÄSTERNORRLANDS LÄN</t>
        </is>
      </c>
      <c r="E4032" t="inlineStr">
        <is>
          <t>ÖRNSKÖLDSVIK</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29853-2021</t>
        </is>
      </c>
      <c r="B4033" s="1" t="n">
        <v>44362</v>
      </c>
      <c r="C4033" s="1" t="n">
        <v>45657</v>
      </c>
      <c r="D4033" t="inlineStr">
        <is>
          <t>VÄSTERNORRLANDS LÄN</t>
        </is>
      </c>
      <c r="E4033" t="inlineStr">
        <is>
          <t>ÖRNSKÖLDSVIK</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29925-2021</t>
        </is>
      </c>
      <c r="B4034" s="1" t="n">
        <v>44363</v>
      </c>
      <c r="C4034" s="1" t="n">
        <v>45657</v>
      </c>
      <c r="D4034" t="inlineStr">
        <is>
          <t>VÄSTERNORRLANDS LÄN</t>
        </is>
      </c>
      <c r="E4034" t="inlineStr">
        <is>
          <t>SUNDSVALL</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29941-2021</t>
        </is>
      </c>
      <c r="B4035" s="1" t="n">
        <v>44362</v>
      </c>
      <c r="C4035" s="1" t="n">
        <v>45657</v>
      </c>
      <c r="D4035" t="inlineStr">
        <is>
          <t>VÄSTERNORRLANDS LÄN</t>
        </is>
      </c>
      <c r="E4035" t="inlineStr">
        <is>
          <t>ÖRNSKÖLDSVIK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29959-2021</t>
        </is>
      </c>
      <c r="B4036" s="1" t="n">
        <v>44362</v>
      </c>
      <c r="C4036" s="1" t="n">
        <v>45657</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29926-2021</t>
        </is>
      </c>
      <c r="B4037" s="1" t="n">
        <v>44363</v>
      </c>
      <c r="C4037" s="1" t="n">
        <v>45657</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29933-2021</t>
        </is>
      </c>
      <c r="B4038" s="1" t="n">
        <v>44362</v>
      </c>
      <c r="C4038" s="1" t="n">
        <v>45657</v>
      </c>
      <c r="D4038" t="inlineStr">
        <is>
          <t>VÄSTERNORRLANDS LÄN</t>
        </is>
      </c>
      <c r="E4038" t="inlineStr">
        <is>
          <t>KRAMFORS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29934-2021</t>
        </is>
      </c>
      <c r="B4039" s="1" t="n">
        <v>44362</v>
      </c>
      <c r="C4039" s="1" t="n">
        <v>45657</v>
      </c>
      <c r="D4039" t="inlineStr">
        <is>
          <t>VÄSTERNORRLANDS LÄN</t>
        </is>
      </c>
      <c r="E4039" t="inlineStr">
        <is>
          <t>KRAMFORS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29935-2021</t>
        </is>
      </c>
      <c r="B4040" s="1" t="n">
        <v>44362</v>
      </c>
      <c r="C4040" s="1" t="n">
        <v>45657</v>
      </c>
      <c r="D4040" t="inlineStr">
        <is>
          <t>VÄSTERNORRLANDS LÄN</t>
        </is>
      </c>
      <c r="E4040" t="inlineStr">
        <is>
          <t>ÖRNSKÖLDSVIK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30064-2021</t>
        </is>
      </c>
      <c r="B4041" s="1" t="n">
        <v>44363</v>
      </c>
      <c r="C4041" s="1" t="n">
        <v>45657</v>
      </c>
      <c r="D4041" t="inlineStr">
        <is>
          <t>VÄSTERNORRLANDS LÄN</t>
        </is>
      </c>
      <c r="E4041" t="inlineStr">
        <is>
          <t>ÖRNSKÖLDSVIK</t>
        </is>
      </c>
      <c r="F4041" t="inlineStr">
        <is>
          <t>Holmen skog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30098-2021</t>
        </is>
      </c>
      <c r="B4042" s="1" t="n">
        <v>44363</v>
      </c>
      <c r="C4042" s="1" t="n">
        <v>45657</v>
      </c>
      <c r="D4042" t="inlineStr">
        <is>
          <t>VÄSTERNORRLANDS LÄN</t>
        </is>
      </c>
      <c r="E4042" t="inlineStr">
        <is>
          <t>TIMRÅ</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30118-2021</t>
        </is>
      </c>
      <c r="B4043" s="1" t="n">
        <v>44363</v>
      </c>
      <c r="C4043" s="1" t="n">
        <v>45657</v>
      </c>
      <c r="D4043" t="inlineStr">
        <is>
          <t>VÄSTERNORRLANDS LÄN</t>
        </is>
      </c>
      <c r="E4043" t="inlineStr">
        <is>
          <t>ÖRNSKÖLDSVIK</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30152-2021</t>
        </is>
      </c>
      <c r="B4044" s="1" t="n">
        <v>44363</v>
      </c>
      <c r="C4044" s="1" t="n">
        <v>45657</v>
      </c>
      <c r="D4044" t="inlineStr">
        <is>
          <t>VÄSTERNORRLANDS LÄN</t>
        </is>
      </c>
      <c r="E4044" t="inlineStr">
        <is>
          <t>ÖRNSKÖLDSVIK</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30019-2021</t>
        </is>
      </c>
      <c r="B4045" s="1" t="n">
        <v>44363</v>
      </c>
      <c r="C4045" s="1" t="n">
        <v>45657</v>
      </c>
      <c r="D4045" t="inlineStr">
        <is>
          <t>VÄSTERNORRLANDS LÄN</t>
        </is>
      </c>
      <c r="E4045" t="inlineStr">
        <is>
          <t>SUNDSVALL</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30091-2021</t>
        </is>
      </c>
      <c r="B4046" s="1" t="n">
        <v>44363</v>
      </c>
      <c r="C4046" s="1" t="n">
        <v>45657</v>
      </c>
      <c r="D4046" t="inlineStr">
        <is>
          <t>VÄSTERNORRLANDS LÄN</t>
        </is>
      </c>
      <c r="E4046" t="inlineStr">
        <is>
          <t>TIMRÅ</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30286-2021</t>
        </is>
      </c>
      <c r="B4047" s="1" t="n">
        <v>44363</v>
      </c>
      <c r="C4047" s="1" t="n">
        <v>45657</v>
      </c>
      <c r="D4047" t="inlineStr">
        <is>
          <t>VÄSTERNORRLANDS LÄN</t>
        </is>
      </c>
      <c r="E4047" t="inlineStr">
        <is>
          <t>ÅNGE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30339-2021</t>
        </is>
      </c>
      <c r="B4048" s="1" t="n">
        <v>44364</v>
      </c>
      <c r="C4048" s="1" t="n">
        <v>45657</v>
      </c>
      <c r="D4048" t="inlineStr">
        <is>
          <t>VÄSTERNORRLANDS LÄN</t>
        </is>
      </c>
      <c r="E4048" t="inlineStr">
        <is>
          <t>ÅNGE</t>
        </is>
      </c>
      <c r="G4048" t="n">
        <v>23.8</v>
      </c>
      <c r="H4048" t="n">
        <v>0</v>
      </c>
      <c r="I4048" t="n">
        <v>0</v>
      </c>
      <c r="J4048" t="n">
        <v>0</v>
      </c>
      <c r="K4048" t="n">
        <v>0</v>
      </c>
      <c r="L4048" t="n">
        <v>0</v>
      </c>
      <c r="M4048" t="n">
        <v>0</v>
      </c>
      <c r="N4048" t="n">
        <v>0</v>
      </c>
      <c r="O4048" t="n">
        <v>0</v>
      </c>
      <c r="P4048" t="n">
        <v>0</v>
      </c>
      <c r="Q4048" t="n">
        <v>0</v>
      </c>
      <c r="R4048" s="2" t="inlineStr"/>
    </row>
    <row r="4049" ht="15" customHeight="1">
      <c r="A4049" t="inlineStr">
        <is>
          <t>A 30345-2021</t>
        </is>
      </c>
      <c r="B4049" s="1" t="n">
        <v>44364</v>
      </c>
      <c r="C4049" s="1" t="n">
        <v>45657</v>
      </c>
      <c r="D4049" t="inlineStr">
        <is>
          <t>VÄSTERNORRLANDS LÄN</t>
        </is>
      </c>
      <c r="E4049" t="inlineStr">
        <is>
          <t>ÅNGE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30365-2021</t>
        </is>
      </c>
      <c r="B4050" s="1" t="n">
        <v>44364</v>
      </c>
      <c r="C4050" s="1" t="n">
        <v>45657</v>
      </c>
      <c r="D4050" t="inlineStr">
        <is>
          <t>VÄSTERNORRLANDS LÄN</t>
        </is>
      </c>
      <c r="E4050" t="inlineStr">
        <is>
          <t>ÅNGE</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30282-2021</t>
        </is>
      </c>
      <c r="B4051" s="1" t="n">
        <v>44364</v>
      </c>
      <c r="C4051" s="1" t="n">
        <v>45657</v>
      </c>
      <c r="D4051" t="inlineStr">
        <is>
          <t>VÄSTERNORRLANDS LÄN</t>
        </is>
      </c>
      <c r="E4051" t="inlineStr">
        <is>
          <t>ÖRNSKÖLDSVIK</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30450-2021</t>
        </is>
      </c>
      <c r="B4052" s="1" t="n">
        <v>44364</v>
      </c>
      <c r="C4052" s="1" t="n">
        <v>45657</v>
      </c>
      <c r="D4052" t="inlineStr">
        <is>
          <t>VÄSTERNORRLANDS LÄN</t>
        </is>
      </c>
      <c r="E4052" t="inlineStr">
        <is>
          <t>SUNDSVALL</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30470-2021</t>
        </is>
      </c>
      <c r="B4053" s="1" t="n">
        <v>44364</v>
      </c>
      <c r="C4053" s="1" t="n">
        <v>45657</v>
      </c>
      <c r="D4053" t="inlineStr">
        <is>
          <t>VÄSTERNORRLANDS LÄN</t>
        </is>
      </c>
      <c r="E4053" t="inlineStr">
        <is>
          <t>KRAMFORS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30501-2021</t>
        </is>
      </c>
      <c r="B4054" s="1" t="n">
        <v>44364</v>
      </c>
      <c r="C4054" s="1" t="n">
        <v>45657</v>
      </c>
      <c r="D4054" t="inlineStr">
        <is>
          <t>VÄSTERNORRLANDS LÄN</t>
        </is>
      </c>
      <c r="E4054" t="inlineStr">
        <is>
          <t>ÖRNSKÖLDSVIK</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30418-2021</t>
        </is>
      </c>
      <c r="B4055" s="1" t="n">
        <v>44364</v>
      </c>
      <c r="C4055" s="1" t="n">
        <v>45657</v>
      </c>
      <c r="D4055" t="inlineStr">
        <is>
          <t>VÄSTERNORRLANDS LÄN</t>
        </is>
      </c>
      <c r="E4055" t="inlineStr">
        <is>
          <t>KRAMFORS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30460-2021</t>
        </is>
      </c>
      <c r="B4056" s="1" t="n">
        <v>44364</v>
      </c>
      <c r="C4056" s="1" t="n">
        <v>45657</v>
      </c>
      <c r="D4056" t="inlineStr">
        <is>
          <t>VÄSTERNORRLANDS LÄN</t>
        </is>
      </c>
      <c r="E4056" t="inlineStr">
        <is>
          <t>SUNDSVALL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30522-2021</t>
        </is>
      </c>
      <c r="B4057" s="1" t="n">
        <v>44364</v>
      </c>
      <c r="C4057" s="1" t="n">
        <v>45657</v>
      </c>
      <c r="D4057" t="inlineStr">
        <is>
          <t>VÄSTERNORRLANDS LÄN</t>
        </is>
      </c>
      <c r="E4057" t="inlineStr">
        <is>
          <t>ÖRNSKÖLDSVIK</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30591-2021</t>
        </is>
      </c>
      <c r="B4058" s="1" t="n">
        <v>44364</v>
      </c>
      <c r="C4058" s="1" t="n">
        <v>45657</v>
      </c>
      <c r="D4058" t="inlineStr">
        <is>
          <t>VÄSTERNORRLANDS LÄN</t>
        </is>
      </c>
      <c r="E4058" t="inlineStr">
        <is>
          <t>TIMRÅ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30606-2021</t>
        </is>
      </c>
      <c r="B4059" s="1" t="n">
        <v>44364</v>
      </c>
      <c r="C4059" s="1" t="n">
        <v>45657</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30604-2021</t>
        </is>
      </c>
      <c r="B4060" s="1" t="n">
        <v>44364</v>
      </c>
      <c r="C4060" s="1" t="n">
        <v>45657</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30598-2021</t>
        </is>
      </c>
      <c r="B4061" s="1" t="n">
        <v>44364</v>
      </c>
      <c r="C4061" s="1" t="n">
        <v>45657</v>
      </c>
      <c r="D4061" t="inlineStr">
        <is>
          <t>VÄSTERNORRLANDS LÄN</t>
        </is>
      </c>
      <c r="E4061" t="inlineStr">
        <is>
          <t>ÖRNSKÖLDSVIK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30692-2021</t>
        </is>
      </c>
      <c r="B4062" s="1" t="n">
        <v>44365</v>
      </c>
      <c r="C4062" s="1" t="n">
        <v>45657</v>
      </c>
      <c r="D4062" t="inlineStr">
        <is>
          <t>VÄSTERNORRLANDS LÄN</t>
        </is>
      </c>
      <c r="E4062" t="inlineStr">
        <is>
          <t>SOLLEFTEÅ</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30815-2021</t>
        </is>
      </c>
      <c r="B4063" s="1" t="n">
        <v>44365</v>
      </c>
      <c r="C4063" s="1" t="n">
        <v>45657</v>
      </c>
      <c r="D4063" t="inlineStr">
        <is>
          <t>VÄSTERNORRLANDS LÄN</t>
        </is>
      </c>
      <c r="E4063" t="inlineStr">
        <is>
          <t>ÖRNSKÖLDSVIK</t>
        </is>
      </c>
      <c r="F4063" t="inlineStr">
        <is>
          <t>Holmen skog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30837-2021</t>
        </is>
      </c>
      <c r="B4064" s="1" t="n">
        <v>44365</v>
      </c>
      <c r="C4064" s="1" t="n">
        <v>45657</v>
      </c>
      <c r="D4064" t="inlineStr">
        <is>
          <t>VÄSTERNORRLANDS LÄN</t>
        </is>
      </c>
      <c r="E4064" t="inlineStr">
        <is>
          <t>ÖRNSKÖLDSVIK</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31191-2021</t>
        </is>
      </c>
      <c r="B4065" s="1" t="n">
        <v>44368</v>
      </c>
      <c r="C4065" s="1" t="n">
        <v>45657</v>
      </c>
      <c r="D4065" t="inlineStr">
        <is>
          <t>VÄSTERNORRLANDS LÄN</t>
        </is>
      </c>
      <c r="E4065" t="inlineStr">
        <is>
          <t>ÅNGE</t>
        </is>
      </c>
      <c r="F4065" t="inlineStr">
        <is>
          <t>Sveaskog</t>
        </is>
      </c>
      <c r="G4065" t="n">
        <v>21.6</v>
      </c>
      <c r="H4065" t="n">
        <v>0</v>
      </c>
      <c r="I4065" t="n">
        <v>0</v>
      </c>
      <c r="J4065" t="n">
        <v>0</v>
      </c>
      <c r="K4065" t="n">
        <v>0</v>
      </c>
      <c r="L4065" t="n">
        <v>0</v>
      </c>
      <c r="M4065" t="n">
        <v>0</v>
      </c>
      <c r="N4065" t="n">
        <v>0</v>
      </c>
      <c r="O4065" t="n">
        <v>0</v>
      </c>
      <c r="P4065" t="n">
        <v>0</v>
      </c>
      <c r="Q4065" t="n">
        <v>0</v>
      </c>
      <c r="R4065" s="2" t="inlineStr"/>
    </row>
    <row r="4066" ht="15" customHeight="1">
      <c r="A4066" t="inlineStr">
        <is>
          <t>A 31202-2021</t>
        </is>
      </c>
      <c r="B4066" s="1" t="n">
        <v>44368</v>
      </c>
      <c r="C4066" s="1" t="n">
        <v>45657</v>
      </c>
      <c r="D4066" t="inlineStr">
        <is>
          <t>VÄSTERNORRLANDS LÄN</t>
        </is>
      </c>
      <c r="E4066" t="inlineStr">
        <is>
          <t>ÖRNSKÖLDSVIK</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31430-2021</t>
        </is>
      </c>
      <c r="B4067" s="1" t="n">
        <v>44368</v>
      </c>
      <c r="C4067" s="1" t="n">
        <v>45657</v>
      </c>
      <c r="D4067" t="inlineStr">
        <is>
          <t>VÄSTERNORRLANDS LÄN</t>
        </is>
      </c>
      <c r="E4067" t="inlineStr">
        <is>
          <t>ÖRNSKÖLDSVIK</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31383-2021</t>
        </is>
      </c>
      <c r="B4068" s="1" t="n">
        <v>44369</v>
      </c>
      <c r="C4068" s="1" t="n">
        <v>45657</v>
      </c>
      <c r="D4068" t="inlineStr">
        <is>
          <t>VÄSTERNORRLANDS LÄN</t>
        </is>
      </c>
      <c r="E4068" t="inlineStr">
        <is>
          <t>ÖRNSKÖLDSVIK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31510-2021</t>
        </is>
      </c>
      <c r="B4069" s="1" t="n">
        <v>44369</v>
      </c>
      <c r="C4069" s="1" t="n">
        <v>45657</v>
      </c>
      <c r="D4069" t="inlineStr">
        <is>
          <t>VÄSTERNORRLANDS LÄN</t>
        </is>
      </c>
      <c r="E4069" t="inlineStr">
        <is>
          <t>SUNDSVALL</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31600-2021</t>
        </is>
      </c>
      <c r="B4070" s="1" t="n">
        <v>44369</v>
      </c>
      <c r="C4070" s="1" t="n">
        <v>45657</v>
      </c>
      <c r="D4070" t="inlineStr">
        <is>
          <t>VÄSTERNORRLANDS LÄN</t>
        </is>
      </c>
      <c r="E4070" t="inlineStr">
        <is>
          <t>SOLLEFTEÅ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31737-2021</t>
        </is>
      </c>
      <c r="B4071" s="1" t="n">
        <v>44370</v>
      </c>
      <c r="C4071" s="1" t="n">
        <v>45657</v>
      </c>
      <c r="D4071" t="inlineStr">
        <is>
          <t>VÄSTERNORRLANDS LÄN</t>
        </is>
      </c>
      <c r="E4071" t="inlineStr">
        <is>
          <t>SOLLEFTEÅ</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31668-2021</t>
        </is>
      </c>
      <c r="B4072" s="1" t="n">
        <v>44369</v>
      </c>
      <c r="C4072" s="1" t="n">
        <v>45657</v>
      </c>
      <c r="D4072" t="inlineStr">
        <is>
          <t>VÄSTERNORRLANDS LÄN</t>
        </is>
      </c>
      <c r="E4072" t="inlineStr">
        <is>
          <t>ÅNGE</t>
        </is>
      </c>
      <c r="F4072" t="inlineStr">
        <is>
          <t>Kyrkan</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31747-2021</t>
        </is>
      </c>
      <c r="B4073" s="1" t="n">
        <v>44369</v>
      </c>
      <c r="C4073" s="1" t="n">
        <v>45657</v>
      </c>
      <c r="D4073" t="inlineStr">
        <is>
          <t>VÄSTERNORRLANDS LÄN</t>
        </is>
      </c>
      <c r="E4073" t="inlineStr">
        <is>
          <t>KRAMFORS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31824-2021</t>
        </is>
      </c>
      <c r="B4074" s="1" t="n">
        <v>44370</v>
      </c>
      <c r="C4074" s="1" t="n">
        <v>45657</v>
      </c>
      <c r="D4074" t="inlineStr">
        <is>
          <t>VÄSTERNORRLANDS LÄN</t>
        </is>
      </c>
      <c r="E4074" t="inlineStr">
        <is>
          <t>ÖRNSKÖLDSVIK</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31920-2021</t>
        </is>
      </c>
      <c r="B4075" s="1" t="n">
        <v>44370</v>
      </c>
      <c r="C4075" s="1" t="n">
        <v>45657</v>
      </c>
      <c r="D4075" t="inlineStr">
        <is>
          <t>VÄSTERNORRLANDS LÄN</t>
        </is>
      </c>
      <c r="E4075" t="inlineStr">
        <is>
          <t>ÖRNSKÖLDSVIK</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31912-2021</t>
        </is>
      </c>
      <c r="B4076" s="1" t="n">
        <v>44370</v>
      </c>
      <c r="C4076" s="1" t="n">
        <v>45657</v>
      </c>
      <c r="D4076" t="inlineStr">
        <is>
          <t>VÄSTERNORRLANDS LÄN</t>
        </is>
      </c>
      <c r="E4076" t="inlineStr">
        <is>
          <t>KRAMFORS</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32091-2021</t>
        </is>
      </c>
      <c r="B4077" s="1" t="n">
        <v>44370</v>
      </c>
      <c r="C4077" s="1" t="n">
        <v>45657</v>
      </c>
      <c r="D4077" t="inlineStr">
        <is>
          <t>VÄSTERNORRLANDS LÄN</t>
        </is>
      </c>
      <c r="E4077" t="inlineStr">
        <is>
          <t>SOLLEFTEÅ</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32103-2021</t>
        </is>
      </c>
      <c r="B4078" s="1" t="n">
        <v>44370</v>
      </c>
      <c r="C4078" s="1" t="n">
        <v>45657</v>
      </c>
      <c r="D4078" t="inlineStr">
        <is>
          <t>VÄSTERNORRLANDS LÄN</t>
        </is>
      </c>
      <c r="E4078" t="inlineStr">
        <is>
          <t>HÄRNÖSAND</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32287-2021</t>
        </is>
      </c>
      <c r="B4079" s="1" t="n">
        <v>44371</v>
      </c>
      <c r="C4079" s="1" t="n">
        <v>45657</v>
      </c>
      <c r="D4079" t="inlineStr">
        <is>
          <t>VÄSTERNORRLANDS LÄN</t>
        </is>
      </c>
      <c r="E4079" t="inlineStr">
        <is>
          <t>TIMRÅ</t>
        </is>
      </c>
      <c r="F4079" t="inlineStr">
        <is>
          <t>Kyrkan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32328-2021</t>
        </is>
      </c>
      <c r="B4080" s="1" t="n">
        <v>44371</v>
      </c>
      <c r="C4080" s="1" t="n">
        <v>45657</v>
      </c>
      <c r="D4080" t="inlineStr">
        <is>
          <t>VÄSTERNORRLANDS LÄN</t>
        </is>
      </c>
      <c r="E4080" t="inlineStr">
        <is>
          <t>ÅNGE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32172-2021</t>
        </is>
      </c>
      <c r="B4081" s="1" t="n">
        <v>44371</v>
      </c>
      <c r="C4081" s="1" t="n">
        <v>45657</v>
      </c>
      <c r="D4081" t="inlineStr">
        <is>
          <t>VÄSTERNORRLANDS LÄN</t>
        </is>
      </c>
      <c r="E4081" t="inlineStr">
        <is>
          <t>SUNDSVALL</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32197-2021</t>
        </is>
      </c>
      <c r="B4082" s="1" t="n">
        <v>44371</v>
      </c>
      <c r="C4082" s="1" t="n">
        <v>45657</v>
      </c>
      <c r="D4082" t="inlineStr">
        <is>
          <t>VÄSTERNORRLANDS LÄN</t>
        </is>
      </c>
      <c r="E4082" t="inlineStr">
        <is>
          <t>ÖRNSKÖLDSVIK</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32210-2021</t>
        </is>
      </c>
      <c r="B4083" s="1" t="n">
        <v>44371</v>
      </c>
      <c r="C4083" s="1" t="n">
        <v>45657</v>
      </c>
      <c r="D4083" t="inlineStr">
        <is>
          <t>VÄSTERNORRLANDS LÄN</t>
        </is>
      </c>
      <c r="E4083" t="inlineStr">
        <is>
          <t>TIMRÅ</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32183-2021</t>
        </is>
      </c>
      <c r="B4084" s="1" t="n">
        <v>44371</v>
      </c>
      <c r="C4084" s="1" t="n">
        <v>45657</v>
      </c>
      <c r="D4084" t="inlineStr">
        <is>
          <t>VÄSTERNORRLANDS LÄN</t>
        </is>
      </c>
      <c r="E4084" t="inlineStr">
        <is>
          <t>SUNDSVALL</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32203-2021</t>
        </is>
      </c>
      <c r="B4085" s="1" t="n">
        <v>44371</v>
      </c>
      <c r="C4085" s="1" t="n">
        <v>45657</v>
      </c>
      <c r="D4085" t="inlineStr">
        <is>
          <t>VÄSTERNORRLANDS LÄN</t>
        </is>
      </c>
      <c r="E4085" t="inlineStr">
        <is>
          <t>SUNDSVALL</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32275-2021</t>
        </is>
      </c>
      <c r="B4086" s="1" t="n">
        <v>44371</v>
      </c>
      <c r="C4086" s="1" t="n">
        <v>45657</v>
      </c>
      <c r="D4086" t="inlineStr">
        <is>
          <t>VÄSTERNORRLANDS LÄN</t>
        </is>
      </c>
      <c r="E4086" t="inlineStr">
        <is>
          <t>SUNDSVALL</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32285-2021</t>
        </is>
      </c>
      <c r="B4087" s="1" t="n">
        <v>44371</v>
      </c>
      <c r="C4087" s="1" t="n">
        <v>45657</v>
      </c>
      <c r="D4087" t="inlineStr">
        <is>
          <t>VÄSTERNORRLANDS LÄN</t>
        </is>
      </c>
      <c r="E4087" t="inlineStr">
        <is>
          <t>SUNDSVALL</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32484-2021</t>
        </is>
      </c>
      <c r="B4088" s="1" t="n">
        <v>44371</v>
      </c>
      <c r="C4088" s="1" t="n">
        <v>45657</v>
      </c>
      <c r="D4088" t="inlineStr">
        <is>
          <t>VÄSTERNORRLANDS LÄN</t>
        </is>
      </c>
      <c r="E4088" t="inlineStr">
        <is>
          <t>TIMRÅ</t>
        </is>
      </c>
      <c r="F4088" t="inlineStr">
        <is>
          <t>SCA</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32335-2021</t>
        </is>
      </c>
      <c r="B4089" s="1" t="n">
        <v>44371</v>
      </c>
      <c r="C4089" s="1" t="n">
        <v>45657</v>
      </c>
      <c r="D4089" t="inlineStr">
        <is>
          <t>VÄSTERNORRLANDS LÄN</t>
        </is>
      </c>
      <c r="E4089" t="inlineStr">
        <is>
          <t>SUNDSVALL</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32487-2021</t>
        </is>
      </c>
      <c r="B4090" s="1" t="n">
        <v>44371</v>
      </c>
      <c r="C4090" s="1" t="n">
        <v>45657</v>
      </c>
      <c r="D4090" t="inlineStr">
        <is>
          <t>VÄSTERNORRLANDS LÄN</t>
        </is>
      </c>
      <c r="E4090" t="inlineStr">
        <is>
          <t>TIMRÅ</t>
        </is>
      </c>
      <c r="F4090" t="inlineStr">
        <is>
          <t>Kyrkan</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32483-2021</t>
        </is>
      </c>
      <c r="B4091" s="1" t="n">
        <v>44371</v>
      </c>
      <c r="C4091" s="1" t="n">
        <v>45657</v>
      </c>
      <c r="D4091" t="inlineStr">
        <is>
          <t>VÄSTERNORRLANDS LÄN</t>
        </is>
      </c>
      <c r="E4091" t="inlineStr">
        <is>
          <t>TIMRÅ</t>
        </is>
      </c>
      <c r="F4091" t="inlineStr">
        <is>
          <t>Kyrkan</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32860-2021</t>
        </is>
      </c>
      <c r="B4092" s="1" t="n">
        <v>44375</v>
      </c>
      <c r="C4092" s="1" t="n">
        <v>45657</v>
      </c>
      <c r="D4092" t="inlineStr">
        <is>
          <t>VÄSTERNORRLANDS LÄN</t>
        </is>
      </c>
      <c r="E4092" t="inlineStr">
        <is>
          <t>ÖRNSKÖLDSVIK</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32802-2021</t>
        </is>
      </c>
      <c r="B4093" s="1" t="n">
        <v>44375</v>
      </c>
      <c r="C4093" s="1" t="n">
        <v>45657</v>
      </c>
      <c r="D4093" t="inlineStr">
        <is>
          <t>VÄSTERNORRLANDS LÄN</t>
        </is>
      </c>
      <c r="E4093" t="inlineStr">
        <is>
          <t>KRAMFORS</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32831-2021</t>
        </is>
      </c>
      <c r="B4094" s="1" t="n">
        <v>44375</v>
      </c>
      <c r="C4094" s="1" t="n">
        <v>45657</v>
      </c>
      <c r="D4094" t="inlineStr">
        <is>
          <t>VÄSTERNORRLANDS LÄN</t>
        </is>
      </c>
      <c r="E4094" t="inlineStr">
        <is>
          <t>ÖRNSKÖLDSVIK</t>
        </is>
      </c>
      <c r="F4094" t="inlineStr">
        <is>
          <t>Holmen skog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32921-2021</t>
        </is>
      </c>
      <c r="B4095" s="1" t="n">
        <v>44375</v>
      </c>
      <c r="C4095" s="1" t="n">
        <v>45657</v>
      </c>
      <c r="D4095" t="inlineStr">
        <is>
          <t>VÄSTERNORRLANDS LÄN</t>
        </is>
      </c>
      <c r="E4095" t="inlineStr">
        <is>
          <t>KRAMFORS</t>
        </is>
      </c>
      <c r="G4095" t="n">
        <v>9.9</v>
      </c>
      <c r="H4095" t="n">
        <v>0</v>
      </c>
      <c r="I4095" t="n">
        <v>0</v>
      </c>
      <c r="J4095" t="n">
        <v>0</v>
      </c>
      <c r="K4095" t="n">
        <v>0</v>
      </c>
      <c r="L4095" t="n">
        <v>0</v>
      </c>
      <c r="M4095" t="n">
        <v>0</v>
      </c>
      <c r="N4095" t="n">
        <v>0</v>
      </c>
      <c r="O4095" t="n">
        <v>0</v>
      </c>
      <c r="P4095" t="n">
        <v>0</v>
      </c>
      <c r="Q4095" t="n">
        <v>0</v>
      </c>
      <c r="R4095" s="2" t="inlineStr"/>
    </row>
    <row r="4096" ht="15" customHeight="1">
      <c r="A4096" t="inlineStr">
        <is>
          <t>A 33030-2021</t>
        </is>
      </c>
      <c r="B4096" s="1" t="n">
        <v>44376</v>
      </c>
      <c r="C4096" s="1" t="n">
        <v>45657</v>
      </c>
      <c r="D4096" t="inlineStr">
        <is>
          <t>VÄSTERNORRLANDS LÄN</t>
        </is>
      </c>
      <c r="E4096" t="inlineStr">
        <is>
          <t>ÖRNSKÖLDSVIK</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33028-2021</t>
        </is>
      </c>
      <c r="B4097" s="1" t="n">
        <v>44376</v>
      </c>
      <c r="C4097" s="1" t="n">
        <v>45657</v>
      </c>
      <c r="D4097" t="inlineStr">
        <is>
          <t>VÄSTERNORRLANDS LÄN</t>
        </is>
      </c>
      <c r="E4097" t="inlineStr">
        <is>
          <t>ÖRNSKÖLDSVIK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33207-2021</t>
        </is>
      </c>
      <c r="B4098" s="1" t="n">
        <v>44376</v>
      </c>
      <c r="C4098" s="1" t="n">
        <v>45657</v>
      </c>
      <c r="D4098" t="inlineStr">
        <is>
          <t>VÄSTERNORRLANDS LÄN</t>
        </is>
      </c>
      <c r="E4098" t="inlineStr">
        <is>
          <t>SOLLEFTEÅ</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33214-2021</t>
        </is>
      </c>
      <c r="B4099" s="1" t="n">
        <v>44377</v>
      </c>
      <c r="C4099" s="1" t="n">
        <v>45657</v>
      </c>
      <c r="D4099" t="inlineStr">
        <is>
          <t>VÄSTERNORRLANDS LÄN</t>
        </is>
      </c>
      <c r="E4099" t="inlineStr">
        <is>
          <t>SOLLEFTEÅ</t>
        </is>
      </c>
      <c r="F4099" t="inlineStr">
        <is>
          <t>SCA</t>
        </is>
      </c>
      <c r="G4099" t="n">
        <v>13.9</v>
      </c>
      <c r="H4099" t="n">
        <v>0</v>
      </c>
      <c r="I4099" t="n">
        <v>0</v>
      </c>
      <c r="J4099" t="n">
        <v>0</v>
      </c>
      <c r="K4099" t="n">
        <v>0</v>
      </c>
      <c r="L4099" t="n">
        <v>0</v>
      </c>
      <c r="M4099" t="n">
        <v>0</v>
      </c>
      <c r="N4099" t="n">
        <v>0</v>
      </c>
      <c r="O4099" t="n">
        <v>0</v>
      </c>
      <c r="P4099" t="n">
        <v>0</v>
      </c>
      <c r="Q4099" t="n">
        <v>0</v>
      </c>
      <c r="R4099" s="2" t="inlineStr"/>
    </row>
    <row r="4100" ht="15" customHeight="1">
      <c r="A4100" t="inlineStr">
        <is>
          <t>A 33121-2021</t>
        </is>
      </c>
      <c r="B4100" s="1" t="n">
        <v>44376</v>
      </c>
      <c r="C4100" s="1" t="n">
        <v>45657</v>
      </c>
      <c r="D4100" t="inlineStr">
        <is>
          <t>VÄSTERNORRLANDS LÄN</t>
        </is>
      </c>
      <c r="E4100" t="inlineStr">
        <is>
          <t>ÖRNSKÖLDSVIK</t>
        </is>
      </c>
      <c r="G4100" t="n">
        <v>16.6</v>
      </c>
      <c r="H4100" t="n">
        <v>0</v>
      </c>
      <c r="I4100" t="n">
        <v>0</v>
      </c>
      <c r="J4100" t="n">
        <v>0</v>
      </c>
      <c r="K4100" t="n">
        <v>0</v>
      </c>
      <c r="L4100" t="n">
        <v>0</v>
      </c>
      <c r="M4100" t="n">
        <v>0</v>
      </c>
      <c r="N4100" t="n">
        <v>0</v>
      </c>
      <c r="O4100" t="n">
        <v>0</v>
      </c>
      <c r="P4100" t="n">
        <v>0</v>
      </c>
      <c r="Q4100" t="n">
        <v>0</v>
      </c>
      <c r="R4100" s="2" t="inlineStr"/>
    </row>
    <row r="4101" ht="15" customHeight="1">
      <c r="A4101" t="inlineStr">
        <is>
          <t>A 33206-2021</t>
        </is>
      </c>
      <c r="B4101" s="1" t="n">
        <v>44377</v>
      </c>
      <c r="C4101" s="1" t="n">
        <v>45657</v>
      </c>
      <c r="D4101" t="inlineStr">
        <is>
          <t>VÄSTERNORRLANDS LÄN</t>
        </is>
      </c>
      <c r="E4101" t="inlineStr">
        <is>
          <t>SUNDSVALL</t>
        </is>
      </c>
      <c r="F4101" t="inlineStr">
        <is>
          <t>SCA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33367-2021</t>
        </is>
      </c>
      <c r="B4102" s="1" t="n">
        <v>44377</v>
      </c>
      <c r="C4102" s="1" t="n">
        <v>45657</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33408-2021</t>
        </is>
      </c>
      <c r="B4103" s="1" t="n">
        <v>44377</v>
      </c>
      <c r="C4103" s="1" t="n">
        <v>45657</v>
      </c>
      <c r="D4103" t="inlineStr">
        <is>
          <t>VÄSTERNORRLANDS LÄN</t>
        </is>
      </c>
      <c r="E4103" t="inlineStr">
        <is>
          <t>ÅNGE</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33737-2021</t>
        </is>
      </c>
      <c r="B4104" s="1" t="n">
        <v>44377</v>
      </c>
      <c r="C4104" s="1" t="n">
        <v>45657</v>
      </c>
      <c r="D4104" t="inlineStr">
        <is>
          <t>VÄSTERNORRLANDS LÄN</t>
        </is>
      </c>
      <c r="E4104" t="inlineStr">
        <is>
          <t>ÖRNSKÖLDSVIK</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33657-2021</t>
        </is>
      </c>
      <c r="B4105" s="1" t="n">
        <v>44377</v>
      </c>
      <c r="C4105" s="1" t="n">
        <v>45657</v>
      </c>
      <c r="D4105" t="inlineStr">
        <is>
          <t>VÄSTERNORRLANDS LÄN</t>
        </is>
      </c>
      <c r="E4105" t="inlineStr">
        <is>
          <t>ÖRNSKÖLDSVIK</t>
        </is>
      </c>
      <c r="G4105" t="n">
        <v>25.7</v>
      </c>
      <c r="H4105" t="n">
        <v>0</v>
      </c>
      <c r="I4105" t="n">
        <v>0</v>
      </c>
      <c r="J4105" t="n">
        <v>0</v>
      </c>
      <c r="K4105" t="n">
        <v>0</v>
      </c>
      <c r="L4105" t="n">
        <v>0</v>
      </c>
      <c r="M4105" t="n">
        <v>0</v>
      </c>
      <c r="N4105" t="n">
        <v>0</v>
      </c>
      <c r="O4105" t="n">
        <v>0</v>
      </c>
      <c r="P4105" t="n">
        <v>0</v>
      </c>
      <c r="Q4105" t="n">
        <v>0</v>
      </c>
      <c r="R4105" s="2" t="inlineStr"/>
    </row>
    <row r="4106" ht="15" customHeight="1">
      <c r="A4106" t="inlineStr">
        <is>
          <t>A 33647-2021</t>
        </is>
      </c>
      <c r="B4106" s="1" t="n">
        <v>44377</v>
      </c>
      <c r="C4106" s="1" t="n">
        <v>45657</v>
      </c>
      <c r="D4106" t="inlineStr">
        <is>
          <t>VÄSTERNORRLANDS LÄN</t>
        </is>
      </c>
      <c r="E4106" t="inlineStr">
        <is>
          <t>KRAMFORS</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33698-2021</t>
        </is>
      </c>
      <c r="B4107" s="1" t="n">
        <v>44378</v>
      </c>
      <c r="C4107" s="1" t="n">
        <v>45657</v>
      </c>
      <c r="D4107" t="inlineStr">
        <is>
          <t>VÄSTERNORRLANDS LÄN</t>
        </is>
      </c>
      <c r="E4107" t="inlineStr">
        <is>
          <t>ÖRNSKÖLDSVIK</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33722-2021</t>
        </is>
      </c>
      <c r="B4108" s="1" t="n">
        <v>44378</v>
      </c>
      <c r="C4108" s="1" t="n">
        <v>45657</v>
      </c>
      <c r="D4108" t="inlineStr">
        <is>
          <t>VÄSTERNORRLANDS LÄN</t>
        </is>
      </c>
      <c r="E4108" t="inlineStr">
        <is>
          <t>ÖRNSKÖLDSVIK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33748-2021</t>
        </is>
      </c>
      <c r="B4109" s="1" t="n">
        <v>44378</v>
      </c>
      <c r="C4109" s="1" t="n">
        <v>45657</v>
      </c>
      <c r="D4109" t="inlineStr">
        <is>
          <t>VÄSTERNORRLANDS LÄN</t>
        </is>
      </c>
      <c r="E4109" t="inlineStr">
        <is>
          <t>ÖRNSKÖLDSVIK</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33824-2021</t>
        </is>
      </c>
      <c r="B4110" s="1" t="n">
        <v>44378</v>
      </c>
      <c r="C4110" s="1" t="n">
        <v>45657</v>
      </c>
      <c r="D4110" t="inlineStr">
        <is>
          <t>VÄSTERNORRLANDS LÄN</t>
        </is>
      </c>
      <c r="E4110" t="inlineStr">
        <is>
          <t>ÖRNSKÖLDSVIK</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33835-2021</t>
        </is>
      </c>
      <c r="B4111" s="1" t="n">
        <v>44378</v>
      </c>
      <c r="C4111" s="1" t="n">
        <v>45657</v>
      </c>
      <c r="D4111" t="inlineStr">
        <is>
          <t>VÄSTERNORRLANDS LÄN</t>
        </is>
      </c>
      <c r="E4111" t="inlineStr">
        <is>
          <t>ÖRNSKÖLDSVIK</t>
        </is>
      </c>
      <c r="F4111" t="inlineStr">
        <is>
          <t>Holmen skog AB</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33849-2021</t>
        </is>
      </c>
      <c r="B4112" s="1" t="n">
        <v>44378</v>
      </c>
      <c r="C4112" s="1" t="n">
        <v>45657</v>
      </c>
      <c r="D4112" t="inlineStr">
        <is>
          <t>VÄSTERNORRLANDS LÄN</t>
        </is>
      </c>
      <c r="E4112" t="inlineStr">
        <is>
          <t>HÄRNÖSAND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33915-2021</t>
        </is>
      </c>
      <c r="B4113" s="1" t="n">
        <v>44378</v>
      </c>
      <c r="C4113" s="1" t="n">
        <v>45657</v>
      </c>
      <c r="D4113" t="inlineStr">
        <is>
          <t>VÄSTERNORRLANDS LÄN</t>
        </is>
      </c>
      <c r="E4113" t="inlineStr">
        <is>
          <t>ÖRNSKÖLDSVIK</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33895-2021</t>
        </is>
      </c>
      <c r="B4114" s="1" t="n">
        <v>44378</v>
      </c>
      <c r="C4114" s="1" t="n">
        <v>45657</v>
      </c>
      <c r="D4114" t="inlineStr">
        <is>
          <t>VÄSTERNORRLANDS LÄN</t>
        </is>
      </c>
      <c r="E4114" t="inlineStr">
        <is>
          <t>SOLLEFTEÅ</t>
        </is>
      </c>
      <c r="F4114" t="inlineStr">
        <is>
          <t>Kyrkan</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33911-2021</t>
        </is>
      </c>
      <c r="B4115" s="1" t="n">
        <v>44378</v>
      </c>
      <c r="C4115" s="1" t="n">
        <v>45657</v>
      </c>
      <c r="D4115" t="inlineStr">
        <is>
          <t>VÄSTERNORRLANDS LÄN</t>
        </is>
      </c>
      <c r="E4115" t="inlineStr">
        <is>
          <t>KRAMFORS</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34002-2021</t>
        </is>
      </c>
      <c r="B4116" s="1" t="n">
        <v>44378</v>
      </c>
      <c r="C4116" s="1" t="n">
        <v>45657</v>
      </c>
      <c r="D4116" t="inlineStr">
        <is>
          <t>VÄSTERNORRLANDS LÄN</t>
        </is>
      </c>
      <c r="E4116" t="inlineStr">
        <is>
          <t>ÖRNSKÖLDSVIK</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34035-2021</t>
        </is>
      </c>
      <c r="B4117" s="1" t="n">
        <v>44378</v>
      </c>
      <c r="C4117" s="1" t="n">
        <v>45657</v>
      </c>
      <c r="D4117" t="inlineStr">
        <is>
          <t>VÄSTERNORRLANDS LÄN</t>
        </is>
      </c>
      <c r="E4117" t="inlineStr">
        <is>
          <t>TIMRÅ</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33992-2021</t>
        </is>
      </c>
      <c r="B4118" s="1" t="n">
        <v>44378</v>
      </c>
      <c r="C4118" s="1" t="n">
        <v>45657</v>
      </c>
      <c r="D4118" t="inlineStr">
        <is>
          <t>VÄSTERNORRLANDS LÄN</t>
        </is>
      </c>
      <c r="E4118" t="inlineStr">
        <is>
          <t>ÖRNSKÖLDSVIK</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33990-2021</t>
        </is>
      </c>
      <c r="B4119" s="1" t="n">
        <v>44379</v>
      </c>
      <c r="C4119" s="1" t="n">
        <v>45657</v>
      </c>
      <c r="D4119" t="inlineStr">
        <is>
          <t>VÄSTERNORRLANDS LÄN</t>
        </is>
      </c>
      <c r="E4119" t="inlineStr">
        <is>
          <t>SUNDSVALL</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34045-2021</t>
        </is>
      </c>
      <c r="B4120" s="1" t="n">
        <v>44379</v>
      </c>
      <c r="C4120" s="1" t="n">
        <v>45657</v>
      </c>
      <c r="D4120" t="inlineStr">
        <is>
          <t>VÄSTERNORRLANDS LÄN</t>
        </is>
      </c>
      <c r="E4120" t="inlineStr">
        <is>
          <t>ÖRNSKÖLDSVIK</t>
        </is>
      </c>
      <c r="F4120" t="inlineStr">
        <is>
          <t>Holmen skog AB</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34197-2021</t>
        </is>
      </c>
      <c r="B4121" s="1" t="n">
        <v>44379</v>
      </c>
      <c r="C4121" s="1" t="n">
        <v>45657</v>
      </c>
      <c r="D4121" t="inlineStr">
        <is>
          <t>VÄSTERNORRLANDS LÄN</t>
        </is>
      </c>
      <c r="E4121" t="inlineStr">
        <is>
          <t>KRAMFORS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34126-2021</t>
        </is>
      </c>
      <c r="B4122" s="1" t="n">
        <v>44379</v>
      </c>
      <c r="C4122" s="1" t="n">
        <v>45657</v>
      </c>
      <c r="D4122" t="inlineStr">
        <is>
          <t>VÄSTERNORRLANDS LÄN</t>
        </is>
      </c>
      <c r="E4122" t="inlineStr">
        <is>
          <t>ÖRNSKÖLDSVIK</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34181-2021</t>
        </is>
      </c>
      <c r="B4123" s="1" t="n">
        <v>44379</v>
      </c>
      <c r="C4123" s="1" t="n">
        <v>45657</v>
      </c>
      <c r="D4123" t="inlineStr">
        <is>
          <t>VÄSTERNORRLANDS LÄN</t>
        </is>
      </c>
      <c r="E4123" t="inlineStr">
        <is>
          <t>KRAMFORS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34198-2021</t>
        </is>
      </c>
      <c r="B4124" s="1" t="n">
        <v>44379</v>
      </c>
      <c r="C4124" s="1" t="n">
        <v>45657</v>
      </c>
      <c r="D4124" t="inlineStr">
        <is>
          <t>VÄSTERNORRLANDS LÄN</t>
        </is>
      </c>
      <c r="E4124" t="inlineStr">
        <is>
          <t>SUNDSVALL</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34315-2021</t>
        </is>
      </c>
      <c r="B4125" s="1" t="n">
        <v>44379</v>
      </c>
      <c r="C4125" s="1" t="n">
        <v>45657</v>
      </c>
      <c r="D4125" t="inlineStr">
        <is>
          <t>VÄSTERNORRLANDS LÄN</t>
        </is>
      </c>
      <c r="E4125" t="inlineStr">
        <is>
          <t>ÅNGE</t>
        </is>
      </c>
      <c r="G4125" t="n">
        <v>16.4</v>
      </c>
      <c r="H4125" t="n">
        <v>0</v>
      </c>
      <c r="I4125" t="n">
        <v>0</v>
      </c>
      <c r="J4125" t="n">
        <v>0</v>
      </c>
      <c r="K4125" t="n">
        <v>0</v>
      </c>
      <c r="L4125" t="n">
        <v>0</v>
      </c>
      <c r="M4125" t="n">
        <v>0</v>
      </c>
      <c r="N4125" t="n">
        <v>0</v>
      </c>
      <c r="O4125" t="n">
        <v>0</v>
      </c>
      <c r="P4125" t="n">
        <v>0</v>
      </c>
      <c r="Q4125" t="n">
        <v>0</v>
      </c>
      <c r="R4125" s="2" t="inlineStr"/>
    </row>
    <row r="4126" ht="15" customHeight="1">
      <c r="A4126" t="inlineStr">
        <is>
          <t>A 34396-2021</t>
        </is>
      </c>
      <c r="B4126" s="1" t="n">
        <v>44379</v>
      </c>
      <c r="C4126" s="1" t="n">
        <v>45657</v>
      </c>
      <c r="D4126" t="inlineStr">
        <is>
          <t>VÄSTERNORRLANDS LÄN</t>
        </is>
      </c>
      <c r="E4126" t="inlineStr">
        <is>
          <t>SOLLEFTEÅ</t>
        </is>
      </c>
      <c r="F4126" t="inlineStr">
        <is>
          <t>SCA</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34605-2021</t>
        </is>
      </c>
      <c r="B4127" s="1" t="n">
        <v>44379</v>
      </c>
      <c r="C4127" s="1" t="n">
        <v>45657</v>
      </c>
      <c r="D4127" t="inlineStr">
        <is>
          <t>VÄSTERNORRLANDS LÄN</t>
        </is>
      </c>
      <c r="E4127" t="inlineStr">
        <is>
          <t>SUNDSVALL</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34201-2021</t>
        </is>
      </c>
      <c r="B4128" s="1" t="n">
        <v>44379</v>
      </c>
      <c r="C4128" s="1" t="n">
        <v>45657</v>
      </c>
      <c r="D4128" t="inlineStr">
        <is>
          <t>VÄSTERNORRLANDS LÄN</t>
        </is>
      </c>
      <c r="E4128" t="inlineStr">
        <is>
          <t>KRAMFORS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34395-2021</t>
        </is>
      </c>
      <c r="B4129" s="1" t="n">
        <v>44379</v>
      </c>
      <c r="C4129" s="1" t="n">
        <v>45657</v>
      </c>
      <c r="D4129" t="inlineStr">
        <is>
          <t>VÄSTERNORRLANDS LÄN</t>
        </is>
      </c>
      <c r="E4129" t="inlineStr">
        <is>
          <t>SOLLEFTEÅ</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34320-2021</t>
        </is>
      </c>
      <c r="B4130" s="1" t="n">
        <v>44379</v>
      </c>
      <c r="C4130" s="1" t="n">
        <v>45657</v>
      </c>
      <c r="D4130" t="inlineStr">
        <is>
          <t>VÄSTERNORRLANDS LÄN</t>
        </is>
      </c>
      <c r="E4130" t="inlineStr">
        <is>
          <t>ÅNGE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34397-2021</t>
        </is>
      </c>
      <c r="B4131" s="1" t="n">
        <v>44379</v>
      </c>
      <c r="C4131" s="1" t="n">
        <v>45657</v>
      </c>
      <c r="D4131" t="inlineStr">
        <is>
          <t>VÄSTERNORRLANDS LÄN</t>
        </is>
      </c>
      <c r="E4131" t="inlineStr">
        <is>
          <t>SOLLEFTEÅ</t>
        </is>
      </c>
      <c r="F4131" t="inlineStr">
        <is>
          <t>SCA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34612-2021</t>
        </is>
      </c>
      <c r="B4132" s="1" t="n">
        <v>44379</v>
      </c>
      <c r="C4132" s="1" t="n">
        <v>45657</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34931-2021</t>
        </is>
      </c>
      <c r="B4133" s="1" t="n">
        <v>44379</v>
      </c>
      <c r="C4133" s="1" t="n">
        <v>45657</v>
      </c>
      <c r="D4133" t="inlineStr">
        <is>
          <t>VÄSTERNORRLANDS LÄN</t>
        </is>
      </c>
      <c r="E4133" t="inlineStr">
        <is>
          <t>SUNDSVALL</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34643-2021</t>
        </is>
      </c>
      <c r="B4134" s="1" t="n">
        <v>44379</v>
      </c>
      <c r="C4134" s="1" t="n">
        <v>45657</v>
      </c>
      <c r="D4134" t="inlineStr">
        <is>
          <t>VÄSTERNORRLANDS LÄN</t>
        </is>
      </c>
      <c r="E4134" t="inlineStr">
        <is>
          <t>SUNDSVALL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34475-2021</t>
        </is>
      </c>
      <c r="B4135" s="1" t="n">
        <v>44381</v>
      </c>
      <c r="C4135" s="1" t="n">
        <v>45657</v>
      </c>
      <c r="D4135" t="inlineStr">
        <is>
          <t>VÄSTERNORRLANDS LÄN</t>
        </is>
      </c>
      <c r="E4135" t="inlineStr">
        <is>
          <t>SOLLEFTEÅ</t>
        </is>
      </c>
      <c r="F4135" t="inlineStr">
        <is>
          <t>SCA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34473-2021</t>
        </is>
      </c>
      <c r="B4136" s="1" t="n">
        <v>44382</v>
      </c>
      <c r="C4136" s="1" t="n">
        <v>45657</v>
      </c>
      <c r="D4136" t="inlineStr">
        <is>
          <t>VÄSTERNORRLANDS LÄN</t>
        </is>
      </c>
      <c r="E4136" t="inlineStr">
        <is>
          <t>SOLLEFTEÅ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34674-2021</t>
        </is>
      </c>
      <c r="B4137" s="1" t="n">
        <v>44382</v>
      </c>
      <c r="C4137" s="1" t="n">
        <v>45657</v>
      </c>
      <c r="D4137" t="inlineStr">
        <is>
          <t>VÄSTERNORRLANDS LÄN</t>
        </is>
      </c>
      <c r="E4137" t="inlineStr">
        <is>
          <t>ÖRNSKÖLDSVIK</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34783-2021</t>
        </is>
      </c>
      <c r="B4138" s="1" t="n">
        <v>44382</v>
      </c>
      <c r="C4138" s="1" t="n">
        <v>45657</v>
      </c>
      <c r="D4138" t="inlineStr">
        <is>
          <t>VÄSTERNORRLANDS LÄN</t>
        </is>
      </c>
      <c r="E4138" t="inlineStr">
        <is>
          <t>ÅNGE</t>
        </is>
      </c>
      <c r="F4138" t="inlineStr">
        <is>
          <t>SCA</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34767-2021</t>
        </is>
      </c>
      <c r="B4139" s="1" t="n">
        <v>44382</v>
      </c>
      <c r="C4139" s="1" t="n">
        <v>45657</v>
      </c>
      <c r="D4139" t="inlineStr">
        <is>
          <t>VÄSTERNORRLANDS LÄN</t>
        </is>
      </c>
      <c r="E4139" t="inlineStr">
        <is>
          <t>TIMRÅ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34781-2021</t>
        </is>
      </c>
      <c r="B4140" s="1" t="n">
        <v>44382</v>
      </c>
      <c r="C4140" s="1" t="n">
        <v>45657</v>
      </c>
      <c r="D4140" t="inlineStr">
        <is>
          <t>VÄSTERNORRLANDS LÄN</t>
        </is>
      </c>
      <c r="E4140" t="inlineStr">
        <is>
          <t>HÄRNÖSAND</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34894-2021</t>
        </is>
      </c>
      <c r="B4141" s="1" t="n">
        <v>44383</v>
      </c>
      <c r="C4141" s="1" t="n">
        <v>45657</v>
      </c>
      <c r="D4141" t="inlineStr">
        <is>
          <t>VÄSTERNORRLANDS LÄN</t>
        </is>
      </c>
      <c r="E4141" t="inlineStr">
        <is>
          <t>ÖRNSKÖLDSVIK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34997-2021</t>
        </is>
      </c>
      <c r="B4142" s="1" t="n">
        <v>44383</v>
      </c>
      <c r="C4142" s="1" t="n">
        <v>45657</v>
      </c>
      <c r="D4142" t="inlineStr">
        <is>
          <t>VÄSTERNORRLANDS LÄN</t>
        </is>
      </c>
      <c r="E4142" t="inlineStr">
        <is>
          <t>ÖRNSKÖLDSVIK</t>
        </is>
      </c>
      <c r="F4142" t="inlineStr">
        <is>
          <t>Holmen skog AB</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34981-2021</t>
        </is>
      </c>
      <c r="B4143" s="1" t="n">
        <v>44383</v>
      </c>
      <c r="C4143" s="1" t="n">
        <v>45657</v>
      </c>
      <c r="D4143" t="inlineStr">
        <is>
          <t>VÄSTERNORRLANDS LÄN</t>
        </is>
      </c>
      <c r="E4143" t="inlineStr">
        <is>
          <t>ÖRNSKÖLDSVIK</t>
        </is>
      </c>
      <c r="F4143" t="inlineStr">
        <is>
          <t>Holmen skog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35003-2021</t>
        </is>
      </c>
      <c r="B4144" s="1" t="n">
        <v>44383</v>
      </c>
      <c r="C4144" s="1" t="n">
        <v>45657</v>
      </c>
      <c r="D4144" t="inlineStr">
        <is>
          <t>VÄSTERNORRLANDS LÄN</t>
        </is>
      </c>
      <c r="E4144" t="inlineStr">
        <is>
          <t>ÖRNSKÖLDSVIK</t>
        </is>
      </c>
      <c r="G4144" t="n">
        <v>25.5</v>
      </c>
      <c r="H4144" t="n">
        <v>0</v>
      </c>
      <c r="I4144" t="n">
        <v>0</v>
      </c>
      <c r="J4144" t="n">
        <v>0</v>
      </c>
      <c r="K4144" t="n">
        <v>0</v>
      </c>
      <c r="L4144" t="n">
        <v>0</v>
      </c>
      <c r="M4144" t="n">
        <v>0</v>
      </c>
      <c r="N4144" t="n">
        <v>0</v>
      </c>
      <c r="O4144" t="n">
        <v>0</v>
      </c>
      <c r="P4144" t="n">
        <v>0</v>
      </c>
      <c r="Q4144" t="n">
        <v>0</v>
      </c>
      <c r="R4144" s="2" t="inlineStr"/>
    </row>
    <row r="4145" ht="15" customHeight="1">
      <c r="A4145" t="inlineStr">
        <is>
          <t>A 35058-2021</t>
        </is>
      </c>
      <c r="B4145" s="1" t="n">
        <v>44383</v>
      </c>
      <c r="C4145" s="1" t="n">
        <v>45657</v>
      </c>
      <c r="D4145" t="inlineStr">
        <is>
          <t>VÄSTERNORRLANDS LÄN</t>
        </is>
      </c>
      <c r="E4145" t="inlineStr">
        <is>
          <t>ÅNGE</t>
        </is>
      </c>
      <c r="F4145" t="inlineStr">
        <is>
          <t>SCA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35079-2021</t>
        </is>
      </c>
      <c r="B4146" s="1" t="n">
        <v>44383</v>
      </c>
      <c r="C4146" s="1" t="n">
        <v>45657</v>
      </c>
      <c r="D4146" t="inlineStr">
        <is>
          <t>VÄSTERNORRLANDS LÄN</t>
        </is>
      </c>
      <c r="E4146" t="inlineStr">
        <is>
          <t>ÅNGE</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35151-2021</t>
        </is>
      </c>
      <c r="B4147" s="1" t="n">
        <v>44384</v>
      </c>
      <c r="C4147" s="1" t="n">
        <v>45657</v>
      </c>
      <c r="D4147" t="inlineStr">
        <is>
          <t>VÄSTERNORRLANDS LÄN</t>
        </is>
      </c>
      <c r="E4147" t="inlineStr">
        <is>
          <t>ÖRNSKÖLDSVIK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35262-2021</t>
        </is>
      </c>
      <c r="B4148" s="1" t="n">
        <v>44384</v>
      </c>
      <c r="C4148" s="1" t="n">
        <v>45657</v>
      </c>
      <c r="D4148" t="inlineStr">
        <is>
          <t>VÄSTERNORRLANDS LÄN</t>
        </is>
      </c>
      <c r="E4148" t="inlineStr">
        <is>
          <t>TIMRÅ</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35181-2021</t>
        </is>
      </c>
      <c r="B4149" s="1" t="n">
        <v>44384</v>
      </c>
      <c r="C4149" s="1" t="n">
        <v>45657</v>
      </c>
      <c r="D4149" t="inlineStr">
        <is>
          <t>VÄSTERNORRLANDS LÄN</t>
        </is>
      </c>
      <c r="E4149" t="inlineStr">
        <is>
          <t>HÄRNÖSAND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35254-2021</t>
        </is>
      </c>
      <c r="B4150" s="1" t="n">
        <v>44384</v>
      </c>
      <c r="C4150" s="1" t="n">
        <v>45657</v>
      </c>
      <c r="D4150" t="inlineStr">
        <is>
          <t>VÄSTERNORRLANDS LÄN</t>
        </is>
      </c>
      <c r="E4150" t="inlineStr">
        <is>
          <t>ÖRNSKÖLDSVIK</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35318-2021</t>
        </is>
      </c>
      <c r="B4151" s="1" t="n">
        <v>44384</v>
      </c>
      <c r="C4151" s="1" t="n">
        <v>45657</v>
      </c>
      <c r="D4151" t="inlineStr">
        <is>
          <t>VÄSTERNORRLANDS LÄN</t>
        </is>
      </c>
      <c r="E4151" t="inlineStr">
        <is>
          <t>SUNDSVALL</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35339-2021</t>
        </is>
      </c>
      <c r="B4152" s="1" t="n">
        <v>44384</v>
      </c>
      <c r="C4152" s="1" t="n">
        <v>45657</v>
      </c>
      <c r="D4152" t="inlineStr">
        <is>
          <t>VÄSTERNORRLANDS LÄN</t>
        </is>
      </c>
      <c r="E4152" t="inlineStr">
        <is>
          <t>ÅNGE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35359-2021</t>
        </is>
      </c>
      <c r="B4153" s="1" t="n">
        <v>44385</v>
      </c>
      <c r="C4153" s="1" t="n">
        <v>45657</v>
      </c>
      <c r="D4153" t="inlineStr">
        <is>
          <t>VÄSTERNORRLANDS LÄN</t>
        </is>
      </c>
      <c r="E4153" t="inlineStr">
        <is>
          <t>ÅNGE</t>
        </is>
      </c>
      <c r="F4153" t="inlineStr">
        <is>
          <t>SCA</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35506-2021</t>
        </is>
      </c>
      <c r="B4154" s="1" t="n">
        <v>44384</v>
      </c>
      <c r="C4154" s="1" t="n">
        <v>45657</v>
      </c>
      <c r="D4154" t="inlineStr">
        <is>
          <t>VÄSTERNORRLANDS LÄN</t>
        </is>
      </c>
      <c r="E4154" t="inlineStr">
        <is>
          <t>KRAMFORS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35333-2021</t>
        </is>
      </c>
      <c r="B4155" s="1" t="n">
        <v>44384</v>
      </c>
      <c r="C4155" s="1" t="n">
        <v>45657</v>
      </c>
      <c r="D4155" t="inlineStr">
        <is>
          <t>VÄSTERNORRLANDS LÄN</t>
        </is>
      </c>
      <c r="E4155" t="inlineStr">
        <is>
          <t>SOLLEFTEÅ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35358-2021</t>
        </is>
      </c>
      <c r="B4156" s="1" t="n">
        <v>44385</v>
      </c>
      <c r="C4156" s="1" t="n">
        <v>45657</v>
      </c>
      <c r="D4156" t="inlineStr">
        <is>
          <t>VÄSTERNORRLANDS LÄN</t>
        </is>
      </c>
      <c r="E4156" t="inlineStr">
        <is>
          <t>SOLLEFTEÅ</t>
        </is>
      </c>
      <c r="F4156" t="inlineStr">
        <is>
          <t>SCA</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35413-2021</t>
        </is>
      </c>
      <c r="B4157" s="1" t="n">
        <v>44385</v>
      </c>
      <c r="C4157" s="1" t="n">
        <v>45657</v>
      </c>
      <c r="D4157" t="inlineStr">
        <is>
          <t>VÄSTERNORRLANDS LÄN</t>
        </is>
      </c>
      <c r="E4157" t="inlineStr">
        <is>
          <t>TIMRÅ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35417-2021</t>
        </is>
      </c>
      <c r="B4158" s="1" t="n">
        <v>44385</v>
      </c>
      <c r="C4158" s="1" t="n">
        <v>45657</v>
      </c>
      <c r="D4158" t="inlineStr">
        <is>
          <t>VÄSTERNORRLANDS LÄN</t>
        </is>
      </c>
      <c r="E4158" t="inlineStr">
        <is>
          <t>TIMRÅ</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35448-2021</t>
        </is>
      </c>
      <c r="B4159" s="1" t="n">
        <v>44385</v>
      </c>
      <c r="C4159" s="1" t="n">
        <v>45657</v>
      </c>
      <c r="D4159" t="inlineStr">
        <is>
          <t>VÄSTERNORRLANDS LÄN</t>
        </is>
      </c>
      <c r="E4159" t="inlineStr">
        <is>
          <t>ÖRNSKÖLDSVIK</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35574-2021</t>
        </is>
      </c>
      <c r="B4160" s="1" t="n">
        <v>44386</v>
      </c>
      <c r="C4160" s="1" t="n">
        <v>45657</v>
      </c>
      <c r="D4160" t="inlineStr">
        <is>
          <t>VÄSTERNORRLANDS LÄN</t>
        </is>
      </c>
      <c r="E4160" t="inlineStr">
        <is>
          <t>SOLLEFTEÅ</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36010-2021</t>
        </is>
      </c>
      <c r="B4161" s="1" t="n">
        <v>44385</v>
      </c>
      <c r="C4161" s="1" t="n">
        <v>45657</v>
      </c>
      <c r="D4161" t="inlineStr">
        <is>
          <t>VÄSTERNORRLANDS LÄN</t>
        </is>
      </c>
      <c r="E4161" t="inlineStr">
        <is>
          <t>ÖRNSKÖLDSVIK</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36034-2021</t>
        </is>
      </c>
      <c r="B4162" s="1" t="n">
        <v>44385</v>
      </c>
      <c r="C4162" s="1" t="n">
        <v>45657</v>
      </c>
      <c r="D4162" t="inlineStr">
        <is>
          <t>VÄSTERNORRLANDS LÄN</t>
        </is>
      </c>
      <c r="E4162" t="inlineStr">
        <is>
          <t>ÖRNSKÖLDSVIK</t>
        </is>
      </c>
      <c r="G4162" t="n">
        <v>15.6</v>
      </c>
      <c r="H4162" t="n">
        <v>0</v>
      </c>
      <c r="I4162" t="n">
        <v>0</v>
      </c>
      <c r="J4162" t="n">
        <v>0</v>
      </c>
      <c r="K4162" t="n">
        <v>0</v>
      </c>
      <c r="L4162" t="n">
        <v>0</v>
      </c>
      <c r="M4162" t="n">
        <v>0</v>
      </c>
      <c r="N4162" t="n">
        <v>0</v>
      </c>
      <c r="O4162" t="n">
        <v>0</v>
      </c>
      <c r="P4162" t="n">
        <v>0</v>
      </c>
      <c r="Q4162" t="n">
        <v>0</v>
      </c>
      <c r="R4162" s="2" t="inlineStr"/>
    </row>
    <row r="4163" ht="15" customHeight="1">
      <c r="A4163" t="inlineStr">
        <is>
          <t>A 35862-2021</t>
        </is>
      </c>
      <c r="B4163" s="1" t="n">
        <v>44386</v>
      </c>
      <c r="C4163" s="1" t="n">
        <v>45657</v>
      </c>
      <c r="D4163" t="inlineStr">
        <is>
          <t>VÄSTERNORRLANDS LÄN</t>
        </is>
      </c>
      <c r="E4163" t="inlineStr">
        <is>
          <t>SOLLEFTEÅ</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35870-2021</t>
        </is>
      </c>
      <c r="B4164" s="1" t="n">
        <v>44386</v>
      </c>
      <c r="C4164" s="1" t="n">
        <v>45657</v>
      </c>
      <c r="D4164" t="inlineStr">
        <is>
          <t>VÄSTERNORRLANDS LÄN</t>
        </is>
      </c>
      <c r="E4164" t="inlineStr">
        <is>
          <t>ÖRNSKÖLDSVIK</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36070-2021</t>
        </is>
      </c>
      <c r="B4165" s="1" t="n">
        <v>44386</v>
      </c>
      <c r="C4165" s="1" t="n">
        <v>45657</v>
      </c>
      <c r="D4165" t="inlineStr">
        <is>
          <t>VÄSTERNORRLANDS LÄN</t>
        </is>
      </c>
      <c r="E4165" t="inlineStr">
        <is>
          <t>ÖRNSKÖLDSVIK</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36136-2021</t>
        </is>
      </c>
      <c r="B4166" s="1" t="n">
        <v>44386</v>
      </c>
      <c r="C4166" s="1" t="n">
        <v>45657</v>
      </c>
      <c r="D4166" t="inlineStr">
        <is>
          <t>VÄSTERNORRLANDS LÄN</t>
        </is>
      </c>
      <c r="E4166" t="inlineStr">
        <is>
          <t>HÄRNÖSAND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36265-2021</t>
        </is>
      </c>
      <c r="B4167" s="1" t="n">
        <v>44387</v>
      </c>
      <c r="C4167" s="1" t="n">
        <v>45657</v>
      </c>
      <c r="D4167" t="inlineStr">
        <is>
          <t>VÄSTERNORRLANDS LÄN</t>
        </is>
      </c>
      <c r="E4167" t="inlineStr">
        <is>
          <t>KRAMFORS</t>
        </is>
      </c>
      <c r="G4167" t="n">
        <v>41.8</v>
      </c>
      <c r="H4167" t="n">
        <v>0</v>
      </c>
      <c r="I4167" t="n">
        <v>0</v>
      </c>
      <c r="J4167" t="n">
        <v>0</v>
      </c>
      <c r="K4167" t="n">
        <v>0</v>
      </c>
      <c r="L4167" t="n">
        <v>0</v>
      </c>
      <c r="M4167" t="n">
        <v>0</v>
      </c>
      <c r="N4167" t="n">
        <v>0</v>
      </c>
      <c r="O4167" t="n">
        <v>0</v>
      </c>
      <c r="P4167" t="n">
        <v>0</v>
      </c>
      <c r="Q4167" t="n">
        <v>0</v>
      </c>
      <c r="R4167" s="2" t="inlineStr"/>
    </row>
    <row r="4168" ht="15" customHeight="1">
      <c r="A4168" t="inlineStr">
        <is>
          <t>A 36200-2021</t>
        </is>
      </c>
      <c r="B4168" s="1" t="n">
        <v>44388</v>
      </c>
      <c r="C4168" s="1" t="n">
        <v>45657</v>
      </c>
      <c r="D4168" t="inlineStr">
        <is>
          <t>VÄSTERNORRLANDS LÄN</t>
        </is>
      </c>
      <c r="E4168" t="inlineStr">
        <is>
          <t>KRAMFORS</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36198-2021</t>
        </is>
      </c>
      <c r="B4169" s="1" t="n">
        <v>44388</v>
      </c>
      <c r="C4169" s="1" t="n">
        <v>45657</v>
      </c>
      <c r="D4169" t="inlineStr">
        <is>
          <t>VÄSTERNORRLANDS LÄN</t>
        </is>
      </c>
      <c r="E4169" t="inlineStr">
        <is>
          <t>KRAMFORS</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36007-2021</t>
        </is>
      </c>
      <c r="B4170" s="1" t="n">
        <v>44389</v>
      </c>
      <c r="C4170" s="1" t="n">
        <v>45657</v>
      </c>
      <c r="D4170" t="inlineStr">
        <is>
          <t>VÄSTERNORRLANDS LÄN</t>
        </is>
      </c>
      <c r="E4170" t="inlineStr">
        <is>
          <t>SUNDSVALL</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36226-2021</t>
        </is>
      </c>
      <c r="B4171" s="1" t="n">
        <v>44390</v>
      </c>
      <c r="C4171" s="1" t="n">
        <v>45657</v>
      </c>
      <c r="D4171" t="inlineStr">
        <is>
          <t>VÄSTERNORRLANDS LÄN</t>
        </is>
      </c>
      <c r="E4171" t="inlineStr">
        <is>
          <t>SUNDSVALL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36251-2021</t>
        </is>
      </c>
      <c r="B4172" s="1" t="n">
        <v>44390</v>
      </c>
      <c r="C4172" s="1" t="n">
        <v>45657</v>
      </c>
      <c r="D4172" t="inlineStr">
        <is>
          <t>VÄSTERNORRLANDS LÄN</t>
        </is>
      </c>
      <c r="E4172" t="inlineStr">
        <is>
          <t>SUNDSVALL</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36316-2021</t>
        </is>
      </c>
      <c r="B4173" s="1" t="n">
        <v>44390</v>
      </c>
      <c r="C4173" s="1" t="n">
        <v>45657</v>
      </c>
      <c r="D4173" t="inlineStr">
        <is>
          <t>VÄSTERNORRLANDS LÄN</t>
        </is>
      </c>
      <c r="E4173" t="inlineStr">
        <is>
          <t>SUNDSVALL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36447-2021</t>
        </is>
      </c>
      <c r="B4174" s="1" t="n">
        <v>44390</v>
      </c>
      <c r="C4174" s="1" t="n">
        <v>45657</v>
      </c>
      <c r="D4174" t="inlineStr">
        <is>
          <t>VÄSTERNORRLANDS LÄN</t>
        </is>
      </c>
      <c r="E4174" t="inlineStr">
        <is>
          <t>SOLLEFTEÅ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36300-2021</t>
        </is>
      </c>
      <c r="B4175" s="1" t="n">
        <v>44390</v>
      </c>
      <c r="C4175" s="1" t="n">
        <v>45657</v>
      </c>
      <c r="D4175" t="inlineStr">
        <is>
          <t>VÄSTERNORRLANDS LÄN</t>
        </is>
      </c>
      <c r="E4175" t="inlineStr">
        <is>
          <t>KRAMFORS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36388-2021</t>
        </is>
      </c>
      <c r="B4176" s="1" t="n">
        <v>44390</v>
      </c>
      <c r="C4176" s="1" t="n">
        <v>45657</v>
      </c>
      <c r="D4176" t="inlineStr">
        <is>
          <t>VÄSTERNORRLANDS LÄN</t>
        </is>
      </c>
      <c r="E4176" t="inlineStr">
        <is>
          <t>HÄRNÖSAND</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36457-2021</t>
        </is>
      </c>
      <c r="B4177" s="1" t="n">
        <v>44391</v>
      </c>
      <c r="C4177" s="1" t="n">
        <v>45657</v>
      </c>
      <c r="D4177" t="inlineStr">
        <is>
          <t>VÄSTERNORRLANDS LÄN</t>
        </is>
      </c>
      <c r="E4177" t="inlineStr">
        <is>
          <t>ÅNGE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36335-2021</t>
        </is>
      </c>
      <c r="B4178" s="1" t="n">
        <v>44390</v>
      </c>
      <c r="C4178" s="1" t="n">
        <v>45657</v>
      </c>
      <c r="D4178" t="inlineStr">
        <is>
          <t>VÄSTERNORRLANDS LÄN</t>
        </is>
      </c>
      <c r="E4178" t="inlineStr">
        <is>
          <t>ÖRNSKÖLDSVIK</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36448-2021</t>
        </is>
      </c>
      <c r="B4179" s="1" t="n">
        <v>44390</v>
      </c>
      <c r="C4179" s="1" t="n">
        <v>45657</v>
      </c>
      <c r="D4179" t="inlineStr">
        <is>
          <t>VÄSTERNORRLANDS LÄN</t>
        </is>
      </c>
      <c r="E4179" t="inlineStr">
        <is>
          <t>SOLLEFTEÅ</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36579-2021</t>
        </is>
      </c>
      <c r="B4180" s="1" t="n">
        <v>44391</v>
      </c>
      <c r="C4180" s="1" t="n">
        <v>45657</v>
      </c>
      <c r="D4180" t="inlineStr">
        <is>
          <t>VÄSTERNORRLANDS LÄN</t>
        </is>
      </c>
      <c r="E4180" t="inlineStr">
        <is>
          <t>SOLLEFTEÅ</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36810-2021</t>
        </is>
      </c>
      <c r="B4181" s="1" t="n">
        <v>44392</v>
      </c>
      <c r="C4181" s="1" t="n">
        <v>45657</v>
      </c>
      <c r="D4181" t="inlineStr">
        <is>
          <t>VÄSTERNORRLANDS LÄN</t>
        </is>
      </c>
      <c r="E4181" t="inlineStr">
        <is>
          <t>HÄRNÖSAND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36816-2021</t>
        </is>
      </c>
      <c r="B4182" s="1" t="n">
        <v>44393</v>
      </c>
      <c r="C4182" s="1" t="n">
        <v>45657</v>
      </c>
      <c r="D4182" t="inlineStr">
        <is>
          <t>VÄSTERNORRLANDS LÄN</t>
        </is>
      </c>
      <c r="E4182" t="inlineStr">
        <is>
          <t>SOLLEFTEÅ</t>
        </is>
      </c>
      <c r="F4182" t="inlineStr">
        <is>
          <t>SCA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36755-2021</t>
        </is>
      </c>
      <c r="B4183" s="1" t="n">
        <v>44392</v>
      </c>
      <c r="C4183" s="1" t="n">
        <v>45657</v>
      </c>
      <c r="D4183" t="inlineStr">
        <is>
          <t>VÄSTERNORRLANDS LÄN</t>
        </is>
      </c>
      <c r="E4183" t="inlineStr">
        <is>
          <t>ÖRNSKÖLDSVIK</t>
        </is>
      </c>
      <c r="F4183" t="inlineStr">
        <is>
          <t>Holmen skog AB</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36815-2021</t>
        </is>
      </c>
      <c r="B4184" s="1" t="n">
        <v>44393</v>
      </c>
      <c r="C4184" s="1" t="n">
        <v>45657</v>
      </c>
      <c r="D4184" t="inlineStr">
        <is>
          <t>VÄSTERNORRLANDS LÄN</t>
        </is>
      </c>
      <c r="E4184" t="inlineStr">
        <is>
          <t>SOLLEFTEÅ</t>
        </is>
      </c>
      <c r="F4184" t="inlineStr">
        <is>
          <t>SCA</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36809-2021</t>
        </is>
      </c>
      <c r="B4185" s="1" t="n">
        <v>44392</v>
      </c>
      <c r="C4185" s="1" t="n">
        <v>45657</v>
      </c>
      <c r="D4185" t="inlineStr">
        <is>
          <t>VÄSTERNORRLANDS LÄN</t>
        </is>
      </c>
      <c r="E4185" t="inlineStr">
        <is>
          <t>SUNDSVALL</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36987-2021</t>
        </is>
      </c>
      <c r="B4186" s="1" t="n">
        <v>44393</v>
      </c>
      <c r="C4186" s="1" t="n">
        <v>45657</v>
      </c>
      <c r="D4186" t="inlineStr">
        <is>
          <t>VÄSTERNORRLANDS LÄN</t>
        </is>
      </c>
      <c r="E4186" t="inlineStr">
        <is>
          <t>TIMRÅ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37040-2021</t>
        </is>
      </c>
      <c r="B4187" s="1" t="n">
        <v>44394</v>
      </c>
      <c r="C4187" s="1" t="n">
        <v>45657</v>
      </c>
      <c r="D4187" t="inlineStr">
        <is>
          <t>VÄSTERNORRLANDS LÄN</t>
        </is>
      </c>
      <c r="E4187" t="inlineStr">
        <is>
          <t>SUNDSVALL</t>
        </is>
      </c>
      <c r="F4187" t="inlineStr">
        <is>
          <t>SCA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37010-2021</t>
        </is>
      </c>
      <c r="B4188" s="1" t="n">
        <v>44393</v>
      </c>
      <c r="C4188" s="1" t="n">
        <v>45657</v>
      </c>
      <c r="D4188" t="inlineStr">
        <is>
          <t>VÄSTERNORRLANDS LÄN</t>
        </is>
      </c>
      <c r="E4188" t="inlineStr">
        <is>
          <t>ÅNGE</t>
        </is>
      </c>
      <c r="F4188" t="inlineStr">
        <is>
          <t>Kyrkan</t>
        </is>
      </c>
      <c r="G4188" t="n">
        <v>16.8</v>
      </c>
      <c r="H4188" t="n">
        <v>0</v>
      </c>
      <c r="I4188" t="n">
        <v>0</v>
      </c>
      <c r="J4188" t="n">
        <v>0</v>
      </c>
      <c r="K4188" t="n">
        <v>0</v>
      </c>
      <c r="L4188" t="n">
        <v>0</v>
      </c>
      <c r="M4188" t="n">
        <v>0</v>
      </c>
      <c r="N4188" t="n">
        <v>0</v>
      </c>
      <c r="O4188" t="n">
        <v>0</v>
      </c>
      <c r="P4188" t="n">
        <v>0</v>
      </c>
      <c r="Q4188" t="n">
        <v>0</v>
      </c>
      <c r="R4188" s="2" t="inlineStr"/>
    </row>
    <row r="4189" ht="15" customHeight="1">
      <c r="A4189" t="inlineStr">
        <is>
          <t>A 37051-2021</t>
        </is>
      </c>
      <c r="B4189" s="1" t="n">
        <v>44393</v>
      </c>
      <c r="C4189" s="1" t="n">
        <v>45657</v>
      </c>
      <c r="D4189" t="inlineStr">
        <is>
          <t>VÄSTERNORRLANDS LÄN</t>
        </is>
      </c>
      <c r="E4189" t="inlineStr">
        <is>
          <t>ÅNGE</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37013-2021</t>
        </is>
      </c>
      <c r="B4190" s="1" t="n">
        <v>44393</v>
      </c>
      <c r="C4190" s="1" t="n">
        <v>45657</v>
      </c>
      <c r="D4190" t="inlineStr">
        <is>
          <t>VÄSTERNORRLANDS LÄN</t>
        </is>
      </c>
      <c r="E4190" t="inlineStr">
        <is>
          <t>ÅNGE</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37041-2021</t>
        </is>
      </c>
      <c r="B4191" s="1" t="n">
        <v>44394</v>
      </c>
      <c r="C4191" s="1" t="n">
        <v>45657</v>
      </c>
      <c r="D4191" t="inlineStr">
        <is>
          <t>VÄSTERNORRLANDS LÄN</t>
        </is>
      </c>
      <c r="E4191" t="inlineStr">
        <is>
          <t>SOLLEFTEÅ</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37059-2021</t>
        </is>
      </c>
      <c r="B4192" s="1" t="n">
        <v>44394</v>
      </c>
      <c r="C4192" s="1" t="n">
        <v>45657</v>
      </c>
      <c r="D4192" t="inlineStr">
        <is>
          <t>VÄSTERNORRLANDS LÄN</t>
        </is>
      </c>
      <c r="E4192" t="inlineStr">
        <is>
          <t>SUNDSVALL</t>
        </is>
      </c>
      <c r="F4192" t="inlineStr">
        <is>
          <t>SCA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37042-2021</t>
        </is>
      </c>
      <c r="B4193" s="1" t="n">
        <v>44394</v>
      </c>
      <c r="C4193" s="1" t="n">
        <v>45657</v>
      </c>
      <c r="D4193" t="inlineStr">
        <is>
          <t>VÄSTERNORRLANDS LÄN</t>
        </is>
      </c>
      <c r="E4193" t="inlineStr">
        <is>
          <t>SOLLEFTEÅ</t>
        </is>
      </c>
      <c r="F4193" t="inlineStr">
        <is>
          <t>SCA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37165-2021</t>
        </is>
      </c>
      <c r="B4194" s="1" t="n">
        <v>44396</v>
      </c>
      <c r="C4194" s="1" t="n">
        <v>45657</v>
      </c>
      <c r="D4194" t="inlineStr">
        <is>
          <t>VÄSTERNORRLANDS LÄN</t>
        </is>
      </c>
      <c r="E4194" t="inlineStr">
        <is>
          <t>TIMRÅ</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37232-2021</t>
        </is>
      </c>
      <c r="B4195" s="1" t="n">
        <v>44396</v>
      </c>
      <c r="C4195" s="1" t="n">
        <v>45657</v>
      </c>
      <c r="D4195" t="inlineStr">
        <is>
          <t>VÄSTERNORRLANDS LÄN</t>
        </is>
      </c>
      <c r="E4195" t="inlineStr">
        <is>
          <t>SUNDSVALL</t>
        </is>
      </c>
      <c r="F4195" t="inlineStr">
        <is>
          <t>SCA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37369-2021</t>
        </is>
      </c>
      <c r="B4196" s="1" t="n">
        <v>44397</v>
      </c>
      <c r="C4196" s="1" t="n">
        <v>45657</v>
      </c>
      <c r="D4196" t="inlineStr">
        <is>
          <t>VÄSTERNORRLANDS LÄN</t>
        </is>
      </c>
      <c r="E4196" t="inlineStr">
        <is>
          <t>SOLLEFTEÅ</t>
        </is>
      </c>
      <c r="F4196" t="inlineStr">
        <is>
          <t>SCA</t>
        </is>
      </c>
      <c r="G4196" t="n">
        <v>20.3</v>
      </c>
      <c r="H4196" t="n">
        <v>0</v>
      </c>
      <c r="I4196" t="n">
        <v>0</v>
      </c>
      <c r="J4196" t="n">
        <v>0</v>
      </c>
      <c r="K4196" t="n">
        <v>0</v>
      </c>
      <c r="L4196" t="n">
        <v>0</v>
      </c>
      <c r="M4196" t="n">
        <v>0</v>
      </c>
      <c r="N4196" t="n">
        <v>0</v>
      </c>
      <c r="O4196" t="n">
        <v>0</v>
      </c>
      <c r="P4196" t="n">
        <v>0</v>
      </c>
      <c r="Q4196" t="n">
        <v>0</v>
      </c>
      <c r="R4196" s="2" t="inlineStr"/>
    </row>
    <row r="4197" ht="15" customHeight="1">
      <c r="A4197" t="inlineStr">
        <is>
          <t>A 37382-2021</t>
        </is>
      </c>
      <c r="B4197" s="1" t="n">
        <v>44397</v>
      </c>
      <c r="C4197" s="1" t="n">
        <v>45657</v>
      </c>
      <c r="D4197" t="inlineStr">
        <is>
          <t>VÄSTERNORRLANDS LÄN</t>
        </is>
      </c>
      <c r="E4197" t="inlineStr">
        <is>
          <t>ÅNGE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37605-2021</t>
        </is>
      </c>
      <c r="B4198" s="1" t="n">
        <v>44399</v>
      </c>
      <c r="C4198" s="1" t="n">
        <v>45657</v>
      </c>
      <c r="D4198" t="inlineStr">
        <is>
          <t>VÄSTERNORRLANDS LÄN</t>
        </is>
      </c>
      <c r="E4198" t="inlineStr">
        <is>
          <t>ÅNGE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37620-2021</t>
        </is>
      </c>
      <c r="B4199" s="1" t="n">
        <v>44399</v>
      </c>
      <c r="C4199" s="1" t="n">
        <v>45657</v>
      </c>
      <c r="D4199" t="inlineStr">
        <is>
          <t>VÄSTERNORRLANDS LÄN</t>
        </is>
      </c>
      <c r="E4199" t="inlineStr">
        <is>
          <t>ÅNGE</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37617-2021</t>
        </is>
      </c>
      <c r="B4200" s="1" t="n">
        <v>44399</v>
      </c>
      <c r="C4200" s="1" t="n">
        <v>45657</v>
      </c>
      <c r="D4200" t="inlineStr">
        <is>
          <t>VÄSTERNORRLANDS LÄN</t>
        </is>
      </c>
      <c r="E4200" t="inlineStr">
        <is>
          <t>SUNDSVALL</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37624-2021</t>
        </is>
      </c>
      <c r="B4201" s="1" t="n">
        <v>44399</v>
      </c>
      <c r="C4201" s="1" t="n">
        <v>45657</v>
      </c>
      <c r="D4201" t="inlineStr">
        <is>
          <t>VÄSTERNORRLANDS LÄN</t>
        </is>
      </c>
      <c r="E4201" t="inlineStr">
        <is>
          <t>ÅNGE</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37611-2021</t>
        </is>
      </c>
      <c r="B4202" s="1" t="n">
        <v>44399</v>
      </c>
      <c r="C4202" s="1" t="n">
        <v>45657</v>
      </c>
      <c r="D4202" t="inlineStr">
        <is>
          <t>VÄSTERNORRLANDS LÄN</t>
        </is>
      </c>
      <c r="E4202" t="inlineStr">
        <is>
          <t>SUNDSVALL</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37621-2021</t>
        </is>
      </c>
      <c r="B4203" s="1" t="n">
        <v>44399</v>
      </c>
      <c r="C4203" s="1" t="n">
        <v>45657</v>
      </c>
      <c r="D4203" t="inlineStr">
        <is>
          <t>VÄSTERNORRLANDS LÄN</t>
        </is>
      </c>
      <c r="E4203" t="inlineStr">
        <is>
          <t>ÅNGE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37618-2021</t>
        </is>
      </c>
      <c r="B4204" s="1" t="n">
        <v>44399</v>
      </c>
      <c r="C4204" s="1" t="n">
        <v>45657</v>
      </c>
      <c r="D4204" t="inlineStr">
        <is>
          <t>VÄSTERNORRLANDS LÄN</t>
        </is>
      </c>
      <c r="E4204" t="inlineStr">
        <is>
          <t>ÖRNSKÖLDSVIK</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37639-2021</t>
        </is>
      </c>
      <c r="B4205" s="1" t="n">
        <v>44400</v>
      </c>
      <c r="C4205" s="1" t="n">
        <v>45657</v>
      </c>
      <c r="D4205" t="inlineStr">
        <is>
          <t>VÄSTERNORRLANDS LÄN</t>
        </is>
      </c>
      <c r="E4205" t="inlineStr">
        <is>
          <t>SOLLEFTEÅ</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37648-2021</t>
        </is>
      </c>
      <c r="B4206" s="1" t="n">
        <v>44400</v>
      </c>
      <c r="C4206" s="1" t="n">
        <v>45657</v>
      </c>
      <c r="D4206" t="inlineStr">
        <is>
          <t>VÄSTERNORRLANDS LÄN</t>
        </is>
      </c>
      <c r="E4206" t="inlineStr">
        <is>
          <t>SOLLEFTEÅ</t>
        </is>
      </c>
      <c r="G4206" t="n">
        <v>33.6</v>
      </c>
      <c r="H4206" t="n">
        <v>0</v>
      </c>
      <c r="I4206" t="n">
        <v>0</v>
      </c>
      <c r="J4206" t="n">
        <v>0</v>
      </c>
      <c r="K4206" t="n">
        <v>0</v>
      </c>
      <c r="L4206" t="n">
        <v>0</v>
      </c>
      <c r="M4206" t="n">
        <v>0</v>
      </c>
      <c r="N4206" t="n">
        <v>0</v>
      </c>
      <c r="O4206" t="n">
        <v>0</v>
      </c>
      <c r="P4206" t="n">
        <v>0</v>
      </c>
      <c r="Q4206" t="n">
        <v>0</v>
      </c>
      <c r="R4206" s="2" t="inlineStr"/>
    </row>
    <row r="4207" ht="15" customHeight="1">
      <c r="A4207" t="inlineStr">
        <is>
          <t>A 37634-2021</t>
        </is>
      </c>
      <c r="B4207" s="1" t="n">
        <v>44400</v>
      </c>
      <c r="C4207" s="1" t="n">
        <v>45657</v>
      </c>
      <c r="D4207" t="inlineStr">
        <is>
          <t>VÄSTERNORRLANDS LÄN</t>
        </is>
      </c>
      <c r="E4207" t="inlineStr">
        <is>
          <t>SOLLEFTEÅ</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37714-2021</t>
        </is>
      </c>
      <c r="B4208" s="1" t="n">
        <v>44400</v>
      </c>
      <c r="C4208" s="1" t="n">
        <v>45657</v>
      </c>
      <c r="D4208" t="inlineStr">
        <is>
          <t>VÄSTERNORRLANDS LÄN</t>
        </is>
      </c>
      <c r="E4208" t="inlineStr">
        <is>
          <t>ÖRNSKÖLDSVIK</t>
        </is>
      </c>
      <c r="F4208" t="inlineStr">
        <is>
          <t>Holmen skog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37708-2021</t>
        </is>
      </c>
      <c r="B4209" s="1" t="n">
        <v>44400</v>
      </c>
      <c r="C4209" s="1" t="n">
        <v>45657</v>
      </c>
      <c r="D4209" t="inlineStr">
        <is>
          <t>VÄSTERNORRLANDS LÄN</t>
        </is>
      </c>
      <c r="E4209" t="inlineStr">
        <is>
          <t>SUNDSVALL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37718-2021</t>
        </is>
      </c>
      <c r="B4210" s="1" t="n">
        <v>44400</v>
      </c>
      <c r="C4210" s="1" t="n">
        <v>45657</v>
      </c>
      <c r="D4210" t="inlineStr">
        <is>
          <t>VÄSTERNORRLANDS LÄN</t>
        </is>
      </c>
      <c r="E4210" t="inlineStr">
        <is>
          <t>SUNDSVALL</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37741-2021</t>
        </is>
      </c>
      <c r="B4211" s="1" t="n">
        <v>44400</v>
      </c>
      <c r="C4211" s="1" t="n">
        <v>45657</v>
      </c>
      <c r="D4211" t="inlineStr">
        <is>
          <t>VÄSTERNORRLANDS LÄN</t>
        </is>
      </c>
      <c r="E4211" t="inlineStr">
        <is>
          <t>ÖRNSKÖLDSVIK</t>
        </is>
      </c>
      <c r="F4211" t="inlineStr">
        <is>
          <t>Holmen skog AB</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37704-2021</t>
        </is>
      </c>
      <c r="B4212" s="1" t="n">
        <v>44400</v>
      </c>
      <c r="C4212" s="1" t="n">
        <v>45657</v>
      </c>
      <c r="D4212" t="inlineStr">
        <is>
          <t>VÄSTERNORRLANDS LÄN</t>
        </is>
      </c>
      <c r="E4212" t="inlineStr">
        <is>
          <t>SUNDSVALL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37805-2021</t>
        </is>
      </c>
      <c r="B4213" s="1" t="n">
        <v>44402</v>
      </c>
      <c r="C4213" s="1" t="n">
        <v>45657</v>
      </c>
      <c r="D4213" t="inlineStr">
        <is>
          <t>VÄSTERNORRLANDS LÄN</t>
        </is>
      </c>
      <c r="E4213" t="inlineStr">
        <is>
          <t>HÄRNÖSAND</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37965-2021</t>
        </is>
      </c>
      <c r="B4214" s="1" t="n">
        <v>44404</v>
      </c>
      <c r="C4214" s="1" t="n">
        <v>45657</v>
      </c>
      <c r="D4214" t="inlineStr">
        <is>
          <t>VÄSTERNORRLANDS LÄN</t>
        </is>
      </c>
      <c r="E4214" t="inlineStr">
        <is>
          <t>SUNDSVALL</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37912-2021</t>
        </is>
      </c>
      <c r="B4215" s="1" t="n">
        <v>44403</v>
      </c>
      <c r="C4215" s="1" t="n">
        <v>45657</v>
      </c>
      <c r="D4215" t="inlineStr">
        <is>
          <t>VÄSTERNORRLANDS LÄN</t>
        </is>
      </c>
      <c r="E4215" t="inlineStr">
        <is>
          <t>ÖRNSKÖLDSVIK</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37962-2021</t>
        </is>
      </c>
      <c r="B4216" s="1" t="n">
        <v>44404</v>
      </c>
      <c r="C4216" s="1" t="n">
        <v>45657</v>
      </c>
      <c r="D4216" t="inlineStr">
        <is>
          <t>VÄSTERNORRLANDS LÄN</t>
        </is>
      </c>
      <c r="E4216" t="inlineStr">
        <is>
          <t>SUNDSVALL</t>
        </is>
      </c>
      <c r="F4216" t="inlineStr">
        <is>
          <t>SCA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37998-2021</t>
        </is>
      </c>
      <c r="B4217" s="1" t="n">
        <v>44404</v>
      </c>
      <c r="C4217" s="1" t="n">
        <v>45657</v>
      </c>
      <c r="D4217" t="inlineStr">
        <is>
          <t>VÄSTERNORRLANDS LÄN</t>
        </is>
      </c>
      <c r="E4217" t="inlineStr">
        <is>
          <t>HÄRNÖSAND</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38087-2021</t>
        </is>
      </c>
      <c r="B4218" s="1" t="n">
        <v>44404</v>
      </c>
      <c r="C4218" s="1" t="n">
        <v>45657</v>
      </c>
      <c r="D4218" t="inlineStr">
        <is>
          <t>VÄSTERNORRLANDS LÄN</t>
        </is>
      </c>
      <c r="E4218" t="inlineStr">
        <is>
          <t>ÖRNSKÖLDSVIK</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38157-2021</t>
        </is>
      </c>
      <c r="B4219" s="1" t="n">
        <v>44405</v>
      </c>
      <c r="C4219" s="1" t="n">
        <v>45657</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38237-2021</t>
        </is>
      </c>
      <c r="B4220" s="1" t="n">
        <v>44405</v>
      </c>
      <c r="C4220" s="1" t="n">
        <v>45657</v>
      </c>
      <c r="D4220" t="inlineStr">
        <is>
          <t>VÄSTERNORRLANDS LÄN</t>
        </is>
      </c>
      <c r="E4220" t="inlineStr">
        <is>
          <t>ÅNGE</t>
        </is>
      </c>
      <c r="F4220" t="inlineStr">
        <is>
          <t>Sveaskog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38283-2021</t>
        </is>
      </c>
      <c r="B4221" s="1" t="n">
        <v>44405</v>
      </c>
      <c r="C4221" s="1" t="n">
        <v>45657</v>
      </c>
      <c r="D4221" t="inlineStr">
        <is>
          <t>VÄSTERNORRLANDS LÄN</t>
        </is>
      </c>
      <c r="E4221" t="inlineStr">
        <is>
          <t>SOLLEFTEÅ</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38335-2021</t>
        </is>
      </c>
      <c r="B4222" s="1" t="n">
        <v>44406</v>
      </c>
      <c r="C4222" s="1" t="n">
        <v>45657</v>
      </c>
      <c r="D4222" t="inlineStr">
        <is>
          <t>VÄSTERNORRLANDS LÄN</t>
        </is>
      </c>
      <c r="E4222" t="inlineStr">
        <is>
          <t>ÖRNSKÖLDSVIK</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38306-2021</t>
        </is>
      </c>
      <c r="B4223" s="1" t="n">
        <v>44406</v>
      </c>
      <c r="C4223" s="1" t="n">
        <v>45657</v>
      </c>
      <c r="D4223" t="inlineStr">
        <is>
          <t>VÄSTERNORRLANDS LÄN</t>
        </is>
      </c>
      <c r="E4223" t="inlineStr">
        <is>
          <t>SUNDSVALL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38369-2021</t>
        </is>
      </c>
      <c r="B4224" s="1" t="n">
        <v>44406</v>
      </c>
      <c r="C4224" s="1" t="n">
        <v>45657</v>
      </c>
      <c r="D4224" t="inlineStr">
        <is>
          <t>VÄSTERNORRLANDS LÄN</t>
        </is>
      </c>
      <c r="E4224" t="inlineStr">
        <is>
          <t>ÅNGE</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38432-2021</t>
        </is>
      </c>
      <c r="B4225" s="1" t="n">
        <v>44406</v>
      </c>
      <c r="C4225" s="1" t="n">
        <v>45657</v>
      </c>
      <c r="D4225" t="inlineStr">
        <is>
          <t>VÄSTERNORRLANDS LÄN</t>
        </is>
      </c>
      <c r="E4225" t="inlineStr">
        <is>
          <t>ÅNGE</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38809-2021</t>
        </is>
      </c>
      <c r="B4226" s="1" t="n">
        <v>44410</v>
      </c>
      <c r="C4226" s="1" t="n">
        <v>45657</v>
      </c>
      <c r="D4226" t="inlineStr">
        <is>
          <t>VÄSTERNORRLANDS LÄN</t>
        </is>
      </c>
      <c r="E4226" t="inlineStr">
        <is>
          <t>ÖRNSKÖLDSVIK</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38818-2021</t>
        </is>
      </c>
      <c r="B4227" s="1" t="n">
        <v>44411</v>
      </c>
      <c r="C4227" s="1" t="n">
        <v>45657</v>
      </c>
      <c r="D4227" t="inlineStr">
        <is>
          <t>VÄSTERNORRLANDS LÄN</t>
        </is>
      </c>
      <c r="E4227" t="inlineStr">
        <is>
          <t>ÖRNSKÖLDSVIK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38960-2021</t>
        </is>
      </c>
      <c r="B4228" s="1" t="n">
        <v>44411</v>
      </c>
      <c r="C4228" s="1" t="n">
        <v>45657</v>
      </c>
      <c r="D4228" t="inlineStr">
        <is>
          <t>VÄSTERNORRLANDS LÄN</t>
        </is>
      </c>
      <c r="E4228" t="inlineStr">
        <is>
          <t>ÅNGE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39041-2021</t>
        </is>
      </c>
      <c r="B4229" s="1" t="n">
        <v>44412</v>
      </c>
      <c r="C4229" s="1" t="n">
        <v>45657</v>
      </c>
      <c r="D4229" t="inlineStr">
        <is>
          <t>VÄSTERNORRLANDS LÄN</t>
        </is>
      </c>
      <c r="E4229" t="inlineStr">
        <is>
          <t>ÖRNSKÖLDSVIK</t>
        </is>
      </c>
      <c r="F4229" t="inlineStr">
        <is>
          <t>Holmen skog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39169-2021</t>
        </is>
      </c>
      <c r="B4230" s="1" t="n">
        <v>44412</v>
      </c>
      <c r="C4230" s="1" t="n">
        <v>45657</v>
      </c>
      <c r="D4230" t="inlineStr">
        <is>
          <t>VÄSTERNORRLANDS LÄN</t>
        </is>
      </c>
      <c r="E4230" t="inlineStr">
        <is>
          <t>SUNDSVALL</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39334-2021</t>
        </is>
      </c>
      <c r="B4231" s="1" t="n">
        <v>44414</v>
      </c>
      <c r="C4231" s="1" t="n">
        <v>45657</v>
      </c>
      <c r="D4231" t="inlineStr">
        <is>
          <t>VÄSTERNORRLANDS LÄN</t>
        </is>
      </c>
      <c r="E4231" t="inlineStr">
        <is>
          <t>SOLLEFTEÅ</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39594-2021</t>
        </is>
      </c>
      <c r="B4232" s="1" t="n">
        <v>44413</v>
      </c>
      <c r="C4232" s="1" t="n">
        <v>45657</v>
      </c>
      <c r="D4232" t="inlineStr">
        <is>
          <t>VÄSTERNORRLANDS LÄN</t>
        </is>
      </c>
      <c r="E4232" t="inlineStr">
        <is>
          <t>SOLLEFTEÅ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39230-2021</t>
        </is>
      </c>
      <c r="B4233" s="1" t="n">
        <v>44413</v>
      </c>
      <c r="C4233" s="1" t="n">
        <v>45657</v>
      </c>
      <c r="D4233" t="inlineStr">
        <is>
          <t>VÄSTERNORRLANDS LÄN</t>
        </is>
      </c>
      <c r="E4233" t="inlineStr">
        <is>
          <t>SOLLEFTEÅ</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39502-2021</t>
        </is>
      </c>
      <c r="B4234" s="1" t="n">
        <v>44414</v>
      </c>
      <c r="C4234" s="1" t="n">
        <v>45657</v>
      </c>
      <c r="D4234" t="inlineStr">
        <is>
          <t>VÄSTERNORRLANDS LÄN</t>
        </is>
      </c>
      <c r="E4234" t="inlineStr">
        <is>
          <t>SUNDSVALL</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39504-2021</t>
        </is>
      </c>
      <c r="B4235" s="1" t="n">
        <v>44415</v>
      </c>
      <c r="C4235" s="1" t="n">
        <v>45657</v>
      </c>
      <c r="D4235" t="inlineStr">
        <is>
          <t>VÄSTERNORRLANDS LÄN</t>
        </is>
      </c>
      <c r="E4235" t="inlineStr">
        <is>
          <t>SOLLEFTEÅ</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39503-2021</t>
        </is>
      </c>
      <c r="B4236" s="1" t="n">
        <v>44414</v>
      </c>
      <c r="C4236" s="1" t="n">
        <v>45657</v>
      </c>
      <c r="D4236" t="inlineStr">
        <is>
          <t>VÄSTERNORRLANDS LÄN</t>
        </is>
      </c>
      <c r="E4236" t="inlineStr">
        <is>
          <t>SUNDSVALL</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39676-2021</t>
        </is>
      </c>
      <c r="B4237" s="1" t="n">
        <v>44414</v>
      </c>
      <c r="C4237" s="1" t="n">
        <v>45657</v>
      </c>
      <c r="D4237" t="inlineStr">
        <is>
          <t>VÄSTERNORRLANDS LÄN</t>
        </is>
      </c>
      <c r="E4237" t="inlineStr">
        <is>
          <t>SUNDSVALL</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39534-2021</t>
        </is>
      </c>
      <c r="B4238" s="1" t="n">
        <v>44416</v>
      </c>
      <c r="C4238" s="1" t="n">
        <v>45657</v>
      </c>
      <c r="D4238" t="inlineStr">
        <is>
          <t>VÄSTERNORRLANDS LÄN</t>
        </is>
      </c>
      <c r="E4238" t="inlineStr">
        <is>
          <t>TIMRÅ</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39585-2021</t>
        </is>
      </c>
      <c r="B4239" s="1" t="n">
        <v>44417</v>
      </c>
      <c r="C4239" s="1" t="n">
        <v>45657</v>
      </c>
      <c r="D4239" t="inlineStr">
        <is>
          <t>VÄSTERNORRLANDS LÄN</t>
        </is>
      </c>
      <c r="E4239" t="inlineStr">
        <is>
          <t>ÖRNSKÖLDSVIK</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39729-2021</t>
        </is>
      </c>
      <c r="B4240" s="1" t="n">
        <v>44417</v>
      </c>
      <c r="C4240" s="1" t="n">
        <v>45657</v>
      </c>
      <c r="D4240" t="inlineStr">
        <is>
          <t>VÄSTERNORRLANDS LÄN</t>
        </is>
      </c>
      <c r="E4240" t="inlineStr">
        <is>
          <t>ÅNGE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39744-2021</t>
        </is>
      </c>
      <c r="B4241" s="1" t="n">
        <v>44417</v>
      </c>
      <c r="C4241" s="1" t="n">
        <v>45657</v>
      </c>
      <c r="D4241" t="inlineStr">
        <is>
          <t>VÄSTERNORRLANDS LÄN</t>
        </is>
      </c>
      <c r="E4241" t="inlineStr">
        <is>
          <t>ÅNGE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39821-2021</t>
        </is>
      </c>
      <c r="B4242" s="1" t="n">
        <v>44417</v>
      </c>
      <c r="C4242" s="1" t="n">
        <v>45657</v>
      </c>
      <c r="D4242" t="inlineStr">
        <is>
          <t>VÄSTERNORRLANDS LÄN</t>
        </is>
      </c>
      <c r="E4242" t="inlineStr">
        <is>
          <t>TIMRÅ</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39737-2021</t>
        </is>
      </c>
      <c r="B4243" s="1" t="n">
        <v>44417</v>
      </c>
      <c r="C4243" s="1" t="n">
        <v>45657</v>
      </c>
      <c r="D4243" t="inlineStr">
        <is>
          <t>VÄSTERNORRLANDS LÄN</t>
        </is>
      </c>
      <c r="E4243" t="inlineStr">
        <is>
          <t>ÖRNSKÖLDSVIK</t>
        </is>
      </c>
      <c r="F4243" t="inlineStr">
        <is>
          <t>Holmen skog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39716-2021</t>
        </is>
      </c>
      <c r="B4244" s="1" t="n">
        <v>44417</v>
      </c>
      <c r="C4244" s="1" t="n">
        <v>45657</v>
      </c>
      <c r="D4244" t="inlineStr">
        <is>
          <t>VÄSTERNORRLANDS LÄN</t>
        </is>
      </c>
      <c r="E4244" t="inlineStr">
        <is>
          <t>ÖRNSKÖLDSVIK</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39769-2021</t>
        </is>
      </c>
      <c r="B4245" s="1" t="n">
        <v>44417</v>
      </c>
      <c r="C4245" s="1" t="n">
        <v>45657</v>
      </c>
      <c r="D4245" t="inlineStr">
        <is>
          <t>VÄSTERNORRLANDS LÄN</t>
        </is>
      </c>
      <c r="E4245" t="inlineStr">
        <is>
          <t>ÖRNSKÖLDSVIK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39779-2021</t>
        </is>
      </c>
      <c r="B4246" s="1" t="n">
        <v>44417</v>
      </c>
      <c r="C4246" s="1" t="n">
        <v>45657</v>
      </c>
      <c r="D4246" t="inlineStr">
        <is>
          <t>VÄSTERNORRLANDS LÄN</t>
        </is>
      </c>
      <c r="E4246" t="inlineStr">
        <is>
          <t>ÖRNSKÖLDSVIK</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39873-2021</t>
        </is>
      </c>
      <c r="B4247" s="1" t="n">
        <v>44417</v>
      </c>
      <c r="C4247" s="1" t="n">
        <v>45657</v>
      </c>
      <c r="D4247" t="inlineStr">
        <is>
          <t>VÄSTERNORRLANDS LÄN</t>
        </is>
      </c>
      <c r="E4247" t="inlineStr">
        <is>
          <t>ÖRNSKÖLDSVIK</t>
        </is>
      </c>
      <c r="F4247" t="inlineStr">
        <is>
          <t>Holmen skog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39879-2021</t>
        </is>
      </c>
      <c r="B4248" s="1" t="n">
        <v>44417</v>
      </c>
      <c r="C4248" s="1" t="n">
        <v>45657</v>
      </c>
      <c r="D4248" t="inlineStr">
        <is>
          <t>VÄSTERNORRLANDS LÄN</t>
        </is>
      </c>
      <c r="E4248" t="inlineStr">
        <is>
          <t>ÖRNSKÖLDSVIK</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39933-2021</t>
        </is>
      </c>
      <c r="B4249" s="1" t="n">
        <v>44417</v>
      </c>
      <c r="C4249" s="1" t="n">
        <v>45657</v>
      </c>
      <c r="D4249" t="inlineStr">
        <is>
          <t>VÄSTERNORRLANDS LÄN</t>
        </is>
      </c>
      <c r="E4249" t="inlineStr">
        <is>
          <t>SUNDSVALL</t>
        </is>
      </c>
      <c r="F4249" t="inlineStr">
        <is>
          <t>SCA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39929-2021</t>
        </is>
      </c>
      <c r="B4250" s="1" t="n">
        <v>44417</v>
      </c>
      <c r="C4250" s="1" t="n">
        <v>45657</v>
      </c>
      <c r="D4250" t="inlineStr">
        <is>
          <t>VÄSTERNORRLANDS LÄN</t>
        </is>
      </c>
      <c r="E4250" t="inlineStr">
        <is>
          <t>SUNDSVALL</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40118-2021</t>
        </is>
      </c>
      <c r="B4251" s="1" t="n">
        <v>44418</v>
      </c>
      <c r="C4251" s="1" t="n">
        <v>45657</v>
      </c>
      <c r="D4251" t="inlineStr">
        <is>
          <t>VÄSTERNORRLANDS LÄN</t>
        </is>
      </c>
      <c r="E4251" t="inlineStr">
        <is>
          <t>ÖRNSKÖLDSVIK</t>
        </is>
      </c>
      <c r="F4251" t="inlineStr">
        <is>
          <t>Holmen skog AB</t>
        </is>
      </c>
      <c r="G4251" t="n">
        <v>8.1</v>
      </c>
      <c r="H4251" t="n">
        <v>0</v>
      </c>
      <c r="I4251" t="n">
        <v>0</v>
      </c>
      <c r="J4251" t="n">
        <v>0</v>
      </c>
      <c r="K4251" t="n">
        <v>0</v>
      </c>
      <c r="L4251" t="n">
        <v>0</v>
      </c>
      <c r="M4251" t="n">
        <v>0</v>
      </c>
      <c r="N4251" t="n">
        <v>0</v>
      </c>
      <c r="O4251" t="n">
        <v>0</v>
      </c>
      <c r="P4251" t="n">
        <v>0</v>
      </c>
      <c r="Q4251" t="n">
        <v>0</v>
      </c>
      <c r="R4251" s="2" t="inlineStr"/>
    </row>
    <row r="4252" ht="15" customHeight="1">
      <c r="A4252" t="inlineStr">
        <is>
          <t>A 40049-2021</t>
        </is>
      </c>
      <c r="B4252" s="1" t="n">
        <v>44418</v>
      </c>
      <c r="C4252" s="1" t="n">
        <v>45657</v>
      </c>
      <c r="D4252" t="inlineStr">
        <is>
          <t>VÄSTERNORRLANDS LÄN</t>
        </is>
      </c>
      <c r="E4252" t="inlineStr">
        <is>
          <t>ÖRNSKÖLDSVIK</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40119-2021</t>
        </is>
      </c>
      <c r="B4253" s="1" t="n">
        <v>44418</v>
      </c>
      <c r="C4253" s="1" t="n">
        <v>45657</v>
      </c>
      <c r="D4253" t="inlineStr">
        <is>
          <t>VÄSTERNORRLANDS LÄN</t>
        </is>
      </c>
      <c r="E4253" t="inlineStr">
        <is>
          <t>ÖRNSKÖLDSVIK</t>
        </is>
      </c>
      <c r="F4253" t="inlineStr">
        <is>
          <t>Holmen skog AB</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40141-2021</t>
        </is>
      </c>
      <c r="B4254" s="1" t="n">
        <v>44418</v>
      </c>
      <c r="C4254" s="1" t="n">
        <v>45657</v>
      </c>
      <c r="D4254" t="inlineStr">
        <is>
          <t>VÄSTERNORRLANDS LÄN</t>
        </is>
      </c>
      <c r="E4254" t="inlineStr">
        <is>
          <t>SUNDSVALL</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40111-2021</t>
        </is>
      </c>
      <c r="B4255" s="1" t="n">
        <v>44418</v>
      </c>
      <c r="C4255" s="1" t="n">
        <v>45657</v>
      </c>
      <c r="D4255" t="inlineStr">
        <is>
          <t>VÄSTERNORRLANDS LÄN</t>
        </is>
      </c>
      <c r="E4255" t="inlineStr">
        <is>
          <t>ÖRNSKÖLDSVIK</t>
        </is>
      </c>
      <c r="F4255" t="inlineStr">
        <is>
          <t>Holmen skog AB</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40175-2021</t>
        </is>
      </c>
      <c r="B4256" s="1" t="n">
        <v>44418</v>
      </c>
      <c r="C4256" s="1" t="n">
        <v>45657</v>
      </c>
      <c r="D4256" t="inlineStr">
        <is>
          <t>VÄSTERNORRLANDS LÄN</t>
        </is>
      </c>
      <c r="E4256" t="inlineStr">
        <is>
          <t>ÖRNSKÖLDSVIK</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40160-2021</t>
        </is>
      </c>
      <c r="B4257" s="1" t="n">
        <v>44418</v>
      </c>
      <c r="C4257" s="1" t="n">
        <v>45657</v>
      </c>
      <c r="D4257" t="inlineStr">
        <is>
          <t>VÄSTERNORRLANDS LÄN</t>
        </is>
      </c>
      <c r="E4257" t="inlineStr">
        <is>
          <t>SUNDSVALL</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40244-2021</t>
        </is>
      </c>
      <c r="B4258" s="1" t="n">
        <v>44419</v>
      </c>
      <c r="C4258" s="1" t="n">
        <v>45657</v>
      </c>
      <c r="D4258" t="inlineStr">
        <is>
          <t>VÄSTERNORRLANDS LÄN</t>
        </is>
      </c>
      <c r="E4258" t="inlineStr">
        <is>
          <t>ÖRNSKÖLDSVIK</t>
        </is>
      </c>
      <c r="F4258" t="inlineStr">
        <is>
          <t>Holmen skog AB</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40307-2021</t>
        </is>
      </c>
      <c r="B4259" s="1" t="n">
        <v>44419</v>
      </c>
      <c r="C4259" s="1" t="n">
        <v>45657</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40215-2021</t>
        </is>
      </c>
      <c r="B4260" s="1" t="n">
        <v>44419</v>
      </c>
      <c r="C4260" s="1" t="n">
        <v>45657</v>
      </c>
      <c r="D4260" t="inlineStr">
        <is>
          <t>VÄSTERNORRLANDS LÄN</t>
        </is>
      </c>
      <c r="E4260" t="inlineStr">
        <is>
          <t>ÖRNSKÖLDSVIK</t>
        </is>
      </c>
      <c r="F4260" t="inlineStr">
        <is>
          <t>Holmen skog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40247-2021</t>
        </is>
      </c>
      <c r="B4261" s="1" t="n">
        <v>44419</v>
      </c>
      <c r="C4261" s="1" t="n">
        <v>45657</v>
      </c>
      <c r="D4261" t="inlineStr">
        <is>
          <t>VÄSTERNORRLANDS LÄN</t>
        </is>
      </c>
      <c r="E4261" t="inlineStr">
        <is>
          <t>ÖRNSKÖLDSVIK</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40367-2021</t>
        </is>
      </c>
      <c r="B4262" s="1" t="n">
        <v>44419</v>
      </c>
      <c r="C4262" s="1" t="n">
        <v>45657</v>
      </c>
      <c r="D4262" t="inlineStr">
        <is>
          <t>VÄSTERNORRLANDS LÄN</t>
        </is>
      </c>
      <c r="E4262" t="inlineStr">
        <is>
          <t>ÖRNSKÖLDSVIK</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40371-2021</t>
        </is>
      </c>
      <c r="B4263" s="1" t="n">
        <v>44419</v>
      </c>
      <c r="C4263" s="1" t="n">
        <v>45657</v>
      </c>
      <c r="D4263" t="inlineStr">
        <is>
          <t>VÄSTERNORRLANDS LÄN</t>
        </is>
      </c>
      <c r="E4263" t="inlineStr">
        <is>
          <t>ÖRNSKÖLDSVIK</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40534-2021</t>
        </is>
      </c>
      <c r="B4264" s="1" t="n">
        <v>44420</v>
      </c>
      <c r="C4264" s="1" t="n">
        <v>45657</v>
      </c>
      <c r="D4264" t="inlineStr">
        <is>
          <t>VÄSTERNORRLANDS LÄN</t>
        </is>
      </c>
      <c r="E4264" t="inlineStr">
        <is>
          <t>SUNDSVALL</t>
        </is>
      </c>
      <c r="F4264" t="inlineStr">
        <is>
          <t>Holmen skog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40559-2021</t>
        </is>
      </c>
      <c r="B4265" s="1" t="n">
        <v>44420</v>
      </c>
      <c r="C4265" s="1" t="n">
        <v>45657</v>
      </c>
      <c r="D4265" t="inlineStr">
        <is>
          <t>VÄSTERNORRLANDS LÄN</t>
        </is>
      </c>
      <c r="E4265" t="inlineStr">
        <is>
          <t>ÖRNSKÖLDSVIK</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40539-2021</t>
        </is>
      </c>
      <c r="B4266" s="1" t="n">
        <v>44420</v>
      </c>
      <c r="C4266" s="1" t="n">
        <v>45657</v>
      </c>
      <c r="D4266" t="inlineStr">
        <is>
          <t>VÄSTERNORRLANDS LÄN</t>
        </is>
      </c>
      <c r="E4266" t="inlineStr">
        <is>
          <t>SOLLEFTEÅ</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40572-2021</t>
        </is>
      </c>
      <c r="B4267" s="1" t="n">
        <v>44420</v>
      </c>
      <c r="C4267" s="1" t="n">
        <v>45657</v>
      </c>
      <c r="D4267" t="inlineStr">
        <is>
          <t>VÄSTERNORRLANDS LÄN</t>
        </is>
      </c>
      <c r="E4267" t="inlineStr">
        <is>
          <t>ÖRNSKÖLDSVIK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40519-2021</t>
        </is>
      </c>
      <c r="B4268" s="1" t="n">
        <v>44420</v>
      </c>
      <c r="C4268" s="1" t="n">
        <v>45657</v>
      </c>
      <c r="D4268" t="inlineStr">
        <is>
          <t>VÄSTERNORRLANDS LÄN</t>
        </is>
      </c>
      <c r="E4268" t="inlineStr">
        <is>
          <t>TIMRÅ</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40742-2021</t>
        </is>
      </c>
      <c r="B4269" s="1" t="n">
        <v>44420</v>
      </c>
      <c r="C4269" s="1" t="n">
        <v>45657</v>
      </c>
      <c r="D4269" t="inlineStr">
        <is>
          <t>VÄSTERNORRLANDS LÄN</t>
        </is>
      </c>
      <c r="E4269" t="inlineStr">
        <is>
          <t>ÖRNSKÖLDSVIK</t>
        </is>
      </c>
      <c r="F4269" t="inlineStr">
        <is>
          <t>Holmen skog AB</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40908-2021</t>
        </is>
      </c>
      <c r="B4270" s="1" t="n">
        <v>44421</v>
      </c>
      <c r="C4270" s="1" t="n">
        <v>45657</v>
      </c>
      <c r="D4270" t="inlineStr">
        <is>
          <t>VÄSTERNORRLANDS LÄN</t>
        </is>
      </c>
      <c r="E4270" t="inlineStr">
        <is>
          <t>SUNDSVALL</t>
        </is>
      </c>
      <c r="G4270" t="n">
        <v>12.9</v>
      </c>
      <c r="H4270" t="n">
        <v>0</v>
      </c>
      <c r="I4270" t="n">
        <v>0</v>
      </c>
      <c r="J4270" t="n">
        <v>0</v>
      </c>
      <c r="K4270" t="n">
        <v>0</v>
      </c>
      <c r="L4270" t="n">
        <v>0</v>
      </c>
      <c r="M4270" t="n">
        <v>0</v>
      </c>
      <c r="N4270" t="n">
        <v>0</v>
      </c>
      <c r="O4270" t="n">
        <v>0</v>
      </c>
      <c r="P4270" t="n">
        <v>0</v>
      </c>
      <c r="Q4270" t="n">
        <v>0</v>
      </c>
      <c r="R4270" s="2" t="inlineStr"/>
    </row>
    <row r="4271" ht="15" customHeight="1">
      <c r="A4271" t="inlineStr">
        <is>
          <t>A 41070-2021</t>
        </is>
      </c>
      <c r="B4271" s="1" t="n">
        <v>44422</v>
      </c>
      <c r="C4271" s="1" t="n">
        <v>45657</v>
      </c>
      <c r="D4271" t="inlineStr">
        <is>
          <t>VÄSTERNORRLANDS LÄN</t>
        </is>
      </c>
      <c r="E4271" t="inlineStr">
        <is>
          <t>ÅNGE</t>
        </is>
      </c>
      <c r="F4271" t="inlineStr">
        <is>
          <t>SCA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41166-2021</t>
        </is>
      </c>
      <c r="B4272" s="1" t="n">
        <v>44421</v>
      </c>
      <c r="C4272" s="1" t="n">
        <v>45657</v>
      </c>
      <c r="D4272" t="inlineStr">
        <is>
          <t>VÄSTERNORRLANDS LÄN</t>
        </is>
      </c>
      <c r="E4272" t="inlineStr">
        <is>
          <t>ÖRNSKÖLDSVIK</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41082-2021</t>
        </is>
      </c>
      <c r="B4273" s="1" t="n">
        <v>44422</v>
      </c>
      <c r="C4273" s="1" t="n">
        <v>45657</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41157-2021</t>
        </is>
      </c>
      <c r="B4274" s="1" t="n">
        <v>44424</v>
      </c>
      <c r="C4274" s="1" t="n">
        <v>45657</v>
      </c>
      <c r="D4274" t="inlineStr">
        <is>
          <t>VÄSTERNORRLANDS LÄN</t>
        </is>
      </c>
      <c r="E4274" t="inlineStr">
        <is>
          <t>ÖRNSKÖLDSVIK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41208-2021</t>
        </is>
      </c>
      <c r="B4275" s="1" t="n">
        <v>44424</v>
      </c>
      <c r="C4275" s="1" t="n">
        <v>45657</v>
      </c>
      <c r="D4275" t="inlineStr">
        <is>
          <t>VÄSTERNORRLANDS LÄN</t>
        </is>
      </c>
      <c r="E4275" t="inlineStr">
        <is>
          <t>ÖRNSKÖLDSVIK</t>
        </is>
      </c>
      <c r="F4275" t="inlineStr">
        <is>
          <t>Holmen skog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41158-2021</t>
        </is>
      </c>
      <c r="B4276" s="1" t="n">
        <v>44424</v>
      </c>
      <c r="C4276" s="1" t="n">
        <v>45657</v>
      </c>
      <c r="D4276" t="inlineStr">
        <is>
          <t>VÄSTERNORRLANDS LÄN</t>
        </is>
      </c>
      <c r="E4276" t="inlineStr">
        <is>
          <t>KRAMFORS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41287-2021</t>
        </is>
      </c>
      <c r="B4277" s="1" t="n">
        <v>44424</v>
      </c>
      <c r="C4277" s="1" t="n">
        <v>45657</v>
      </c>
      <c r="D4277" t="inlineStr">
        <is>
          <t>VÄSTERNORRLANDS LÄN</t>
        </is>
      </c>
      <c r="E4277" t="inlineStr">
        <is>
          <t>KRAMFORS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41374-2021</t>
        </is>
      </c>
      <c r="B4278" s="1" t="n">
        <v>44424</v>
      </c>
      <c r="C4278" s="1" t="n">
        <v>45657</v>
      </c>
      <c r="D4278" t="inlineStr">
        <is>
          <t>VÄSTERNORRLANDS LÄN</t>
        </is>
      </c>
      <c r="E4278" t="inlineStr">
        <is>
          <t>ÖRNSKÖLDSVIK</t>
        </is>
      </c>
      <c r="F4278" t="inlineStr">
        <is>
          <t>Holmen skog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41392-2021</t>
        </is>
      </c>
      <c r="B4279" s="1" t="n">
        <v>44424</v>
      </c>
      <c r="C4279" s="1" t="n">
        <v>45657</v>
      </c>
      <c r="D4279" t="inlineStr">
        <is>
          <t>VÄSTERNORRLANDS LÄN</t>
        </is>
      </c>
      <c r="E4279" t="inlineStr">
        <is>
          <t>ÖRNSKÖLDSVIK</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41324-2021</t>
        </is>
      </c>
      <c r="B4280" s="1" t="n">
        <v>44424</v>
      </c>
      <c r="C4280" s="1" t="n">
        <v>45657</v>
      </c>
      <c r="D4280" t="inlineStr">
        <is>
          <t>VÄSTERNORRLANDS LÄN</t>
        </is>
      </c>
      <c r="E4280" t="inlineStr">
        <is>
          <t>KRAMFORS</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41334-2021</t>
        </is>
      </c>
      <c r="B4281" s="1" t="n">
        <v>44424</v>
      </c>
      <c r="C4281" s="1" t="n">
        <v>45657</v>
      </c>
      <c r="D4281" t="inlineStr">
        <is>
          <t>VÄSTERNORRLANDS LÄN</t>
        </is>
      </c>
      <c r="E4281" t="inlineStr">
        <is>
          <t>SOLLEFTEÅ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41482-2021</t>
        </is>
      </c>
      <c r="B4282" s="1" t="n">
        <v>44425</v>
      </c>
      <c r="C4282" s="1" t="n">
        <v>45657</v>
      </c>
      <c r="D4282" t="inlineStr">
        <is>
          <t>VÄSTERNORRLANDS LÄN</t>
        </is>
      </c>
      <c r="E4282" t="inlineStr">
        <is>
          <t>HÄRNÖSAND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41515-2021</t>
        </is>
      </c>
      <c r="B4283" s="1" t="n">
        <v>44424</v>
      </c>
      <c r="C4283" s="1" t="n">
        <v>45657</v>
      </c>
      <c r="D4283" t="inlineStr">
        <is>
          <t>VÄSTERNORRLANDS LÄN</t>
        </is>
      </c>
      <c r="E4283" t="inlineStr">
        <is>
          <t>ÖRNSKÖLDSVIK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41495-2021</t>
        </is>
      </c>
      <c r="B4284" s="1" t="n">
        <v>44424</v>
      </c>
      <c r="C4284" s="1" t="n">
        <v>45657</v>
      </c>
      <c r="D4284" t="inlineStr">
        <is>
          <t>VÄSTERNORRLANDS LÄN</t>
        </is>
      </c>
      <c r="E4284" t="inlineStr">
        <is>
          <t>KRAMFORS</t>
        </is>
      </c>
      <c r="F4284" t="inlineStr">
        <is>
          <t>SCA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41484-2021</t>
        </is>
      </c>
      <c r="B4285" s="1" t="n">
        <v>44424</v>
      </c>
      <c r="C4285" s="1" t="n">
        <v>45657</v>
      </c>
      <c r="D4285" t="inlineStr">
        <is>
          <t>VÄSTERNORRLANDS LÄN</t>
        </is>
      </c>
      <c r="E4285" t="inlineStr">
        <is>
          <t>HÄRNÖSAND</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41469-2021</t>
        </is>
      </c>
      <c r="B4286" s="1" t="n">
        <v>44424</v>
      </c>
      <c r="C4286" s="1" t="n">
        <v>45657</v>
      </c>
      <c r="D4286" t="inlineStr">
        <is>
          <t>VÄSTERNORRLANDS LÄN</t>
        </is>
      </c>
      <c r="E4286" t="inlineStr">
        <is>
          <t>SUNDSVALL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41601-2021</t>
        </is>
      </c>
      <c r="B4287" s="1" t="n">
        <v>44425</v>
      </c>
      <c r="C4287" s="1" t="n">
        <v>45657</v>
      </c>
      <c r="D4287" t="inlineStr">
        <is>
          <t>VÄSTERNORRLANDS LÄN</t>
        </is>
      </c>
      <c r="E4287" t="inlineStr">
        <is>
          <t>ÖRNSKÖLDSVIK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41614-2021</t>
        </is>
      </c>
      <c r="B4288" s="1" t="n">
        <v>44425</v>
      </c>
      <c r="C4288" s="1" t="n">
        <v>45657</v>
      </c>
      <c r="D4288" t="inlineStr">
        <is>
          <t>VÄSTERNORRLANDS LÄN</t>
        </is>
      </c>
      <c r="E4288" t="inlineStr">
        <is>
          <t>ÖRNSKÖLDSVIK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41831-2021</t>
        </is>
      </c>
      <c r="B4289" s="1" t="n">
        <v>44426</v>
      </c>
      <c r="C4289" s="1" t="n">
        <v>45657</v>
      </c>
      <c r="D4289" t="inlineStr">
        <is>
          <t>VÄSTERNORRLANDS LÄN</t>
        </is>
      </c>
      <c r="E4289" t="inlineStr">
        <is>
          <t>ÅNGE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41829-2021</t>
        </is>
      </c>
      <c r="B4290" s="1" t="n">
        <v>44426</v>
      </c>
      <c r="C4290" s="1" t="n">
        <v>45657</v>
      </c>
      <c r="D4290" t="inlineStr">
        <is>
          <t>VÄSTERNORRLANDS LÄN</t>
        </is>
      </c>
      <c r="E4290" t="inlineStr">
        <is>
          <t>ÅNGE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41918-2021</t>
        </is>
      </c>
      <c r="B4291" s="1" t="n">
        <v>44426</v>
      </c>
      <c r="C4291" s="1" t="n">
        <v>45657</v>
      </c>
      <c r="D4291" t="inlineStr">
        <is>
          <t>VÄSTERNORRLANDS LÄN</t>
        </is>
      </c>
      <c r="E4291" t="inlineStr">
        <is>
          <t>ÖRNSKÖLDSVIK</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42042-2021</t>
        </is>
      </c>
      <c r="B4292" s="1" t="n">
        <v>44426</v>
      </c>
      <c r="C4292" s="1" t="n">
        <v>45657</v>
      </c>
      <c r="D4292" t="inlineStr">
        <is>
          <t>VÄSTERNORRLANDS LÄN</t>
        </is>
      </c>
      <c r="E4292" t="inlineStr">
        <is>
          <t>ÖRNSKÖLDSVIK</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42051-2021</t>
        </is>
      </c>
      <c r="B4293" s="1" t="n">
        <v>44426</v>
      </c>
      <c r="C4293" s="1" t="n">
        <v>45657</v>
      </c>
      <c r="D4293" t="inlineStr">
        <is>
          <t>VÄSTERNORRLANDS LÄN</t>
        </is>
      </c>
      <c r="E4293" t="inlineStr">
        <is>
          <t>ÖRNSKÖLDSVIK</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42015-2021</t>
        </is>
      </c>
      <c r="B4294" s="1" t="n">
        <v>44426</v>
      </c>
      <c r="C4294" s="1" t="n">
        <v>45657</v>
      </c>
      <c r="D4294" t="inlineStr">
        <is>
          <t>VÄSTERNORRLANDS LÄN</t>
        </is>
      </c>
      <c r="E4294" t="inlineStr">
        <is>
          <t>ÖRNSKÖLDSVIK</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42094-2021</t>
        </is>
      </c>
      <c r="B4295" s="1" t="n">
        <v>44426</v>
      </c>
      <c r="C4295" s="1" t="n">
        <v>45657</v>
      </c>
      <c r="D4295" t="inlineStr">
        <is>
          <t>VÄSTERNORRLANDS LÄN</t>
        </is>
      </c>
      <c r="E4295" t="inlineStr">
        <is>
          <t>ÖRNSKÖLDSVIK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42017-2021</t>
        </is>
      </c>
      <c r="B4296" s="1" t="n">
        <v>44426</v>
      </c>
      <c r="C4296" s="1" t="n">
        <v>45657</v>
      </c>
      <c r="D4296" t="inlineStr">
        <is>
          <t>VÄSTERNORRLANDS LÄN</t>
        </is>
      </c>
      <c r="E4296" t="inlineStr">
        <is>
          <t>ÖRNSKÖLDSVIK</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42219-2021</t>
        </is>
      </c>
      <c r="B4297" s="1" t="n">
        <v>44426</v>
      </c>
      <c r="C4297" s="1" t="n">
        <v>45657</v>
      </c>
      <c r="D4297" t="inlineStr">
        <is>
          <t>VÄSTERNORRLANDS LÄN</t>
        </is>
      </c>
      <c r="E4297" t="inlineStr">
        <is>
          <t>SOLLEFTEÅ</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42231-2021</t>
        </is>
      </c>
      <c r="B4298" s="1" t="n">
        <v>44426</v>
      </c>
      <c r="C4298" s="1" t="n">
        <v>45657</v>
      </c>
      <c r="D4298" t="inlineStr">
        <is>
          <t>VÄSTERNORRLANDS LÄN</t>
        </is>
      </c>
      <c r="E4298" t="inlineStr">
        <is>
          <t>SOLLEFTEÅ</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42169-2021</t>
        </is>
      </c>
      <c r="B4299" s="1" t="n">
        <v>44426</v>
      </c>
      <c r="C4299" s="1" t="n">
        <v>45657</v>
      </c>
      <c r="D4299" t="inlineStr">
        <is>
          <t>VÄSTERNORRLANDS LÄN</t>
        </is>
      </c>
      <c r="E4299" t="inlineStr">
        <is>
          <t>SUNDSVALL</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42199-2021</t>
        </is>
      </c>
      <c r="B4300" s="1" t="n">
        <v>44426</v>
      </c>
      <c r="C4300" s="1" t="n">
        <v>45657</v>
      </c>
      <c r="D4300" t="inlineStr">
        <is>
          <t>VÄSTERNORRLANDS LÄN</t>
        </is>
      </c>
      <c r="E4300" t="inlineStr">
        <is>
          <t>SUNDSVALL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42201-2021</t>
        </is>
      </c>
      <c r="B4301" s="1" t="n">
        <v>44426</v>
      </c>
      <c r="C4301" s="1" t="n">
        <v>45657</v>
      </c>
      <c r="D4301" t="inlineStr">
        <is>
          <t>VÄSTERNORRLANDS LÄN</t>
        </is>
      </c>
      <c r="E4301" t="inlineStr">
        <is>
          <t>SUNDSVALL</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42101-2021</t>
        </is>
      </c>
      <c r="B4302" s="1" t="n">
        <v>44426</v>
      </c>
      <c r="C4302" s="1" t="n">
        <v>45657</v>
      </c>
      <c r="D4302" t="inlineStr">
        <is>
          <t>VÄSTERNORRLANDS LÄN</t>
        </is>
      </c>
      <c r="E4302" t="inlineStr">
        <is>
          <t>ÖRNSKÖLDSVIK</t>
        </is>
      </c>
      <c r="F4302" t="inlineStr">
        <is>
          <t>Holmen skog AB</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42228-2021</t>
        </is>
      </c>
      <c r="B4303" s="1" t="n">
        <v>44426</v>
      </c>
      <c r="C4303" s="1" t="n">
        <v>45657</v>
      </c>
      <c r="D4303" t="inlineStr">
        <is>
          <t>VÄSTERNORRLANDS LÄN</t>
        </is>
      </c>
      <c r="E4303" t="inlineStr">
        <is>
          <t>SOLLEFTEÅ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42275-2021</t>
        </is>
      </c>
      <c r="B4304" s="1" t="n">
        <v>44426</v>
      </c>
      <c r="C4304" s="1" t="n">
        <v>45657</v>
      </c>
      <c r="D4304" t="inlineStr">
        <is>
          <t>VÄSTERNORRLANDS LÄN</t>
        </is>
      </c>
      <c r="E4304" t="inlineStr">
        <is>
          <t>ÖRNSKÖLDSVIK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42633-2021</t>
        </is>
      </c>
      <c r="B4305" s="1" t="n">
        <v>44426</v>
      </c>
      <c r="C4305" s="1" t="n">
        <v>45657</v>
      </c>
      <c r="D4305" t="inlineStr">
        <is>
          <t>VÄSTERNORRLANDS LÄN</t>
        </is>
      </c>
      <c r="E4305" t="inlineStr">
        <is>
          <t>KRAMFORS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42195-2021</t>
        </is>
      </c>
      <c r="B4306" s="1" t="n">
        <v>44426</v>
      </c>
      <c r="C4306" s="1" t="n">
        <v>45657</v>
      </c>
      <c r="D4306" t="inlineStr">
        <is>
          <t>VÄSTERNORRLANDS LÄN</t>
        </is>
      </c>
      <c r="E4306" t="inlineStr">
        <is>
          <t>SUNDSVALL</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42229-2021</t>
        </is>
      </c>
      <c r="B4307" s="1" t="n">
        <v>44427</v>
      </c>
      <c r="C4307" s="1" t="n">
        <v>45657</v>
      </c>
      <c r="D4307" t="inlineStr">
        <is>
          <t>VÄSTERNORRLANDS LÄN</t>
        </is>
      </c>
      <c r="E4307" t="inlineStr">
        <is>
          <t>SOLLEFTEÅ</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42319-2021</t>
        </is>
      </c>
      <c r="B4308" s="1" t="n">
        <v>44427</v>
      </c>
      <c r="C4308" s="1" t="n">
        <v>45657</v>
      </c>
      <c r="D4308" t="inlineStr">
        <is>
          <t>VÄSTERNORRLANDS LÄN</t>
        </is>
      </c>
      <c r="E4308" t="inlineStr">
        <is>
          <t>ÖRNSKÖLDSVIK</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42351-2021</t>
        </is>
      </c>
      <c r="B4309" s="1" t="n">
        <v>44427</v>
      </c>
      <c r="C4309" s="1" t="n">
        <v>45657</v>
      </c>
      <c r="D4309" t="inlineStr">
        <is>
          <t>VÄSTERNORRLANDS LÄN</t>
        </is>
      </c>
      <c r="E4309" t="inlineStr">
        <is>
          <t>ÖRNSKÖLDSVIK</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42339-2021</t>
        </is>
      </c>
      <c r="B4310" s="1" t="n">
        <v>44427</v>
      </c>
      <c r="C4310" s="1" t="n">
        <v>45657</v>
      </c>
      <c r="D4310" t="inlineStr">
        <is>
          <t>VÄSTERNORRLANDS LÄN</t>
        </is>
      </c>
      <c r="E4310" t="inlineStr">
        <is>
          <t>ÖRNSKÖLDSVIK</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42354-2021</t>
        </is>
      </c>
      <c r="B4311" s="1" t="n">
        <v>44427</v>
      </c>
      <c r="C4311" s="1" t="n">
        <v>45657</v>
      </c>
      <c r="D4311" t="inlineStr">
        <is>
          <t>VÄSTERNORRLANDS LÄN</t>
        </is>
      </c>
      <c r="E4311" t="inlineStr">
        <is>
          <t>ÖRNSKÖLDSVIK</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42365-2021</t>
        </is>
      </c>
      <c r="B4312" s="1" t="n">
        <v>44427</v>
      </c>
      <c r="C4312" s="1" t="n">
        <v>45657</v>
      </c>
      <c r="D4312" t="inlineStr">
        <is>
          <t>VÄSTERNORRLANDS LÄN</t>
        </is>
      </c>
      <c r="E4312" t="inlineStr">
        <is>
          <t>ÖRNSKÖLDSVIK</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42344-2021</t>
        </is>
      </c>
      <c r="B4313" s="1" t="n">
        <v>44427</v>
      </c>
      <c r="C4313" s="1" t="n">
        <v>45657</v>
      </c>
      <c r="D4313" t="inlineStr">
        <is>
          <t>VÄSTERNORRLANDS LÄN</t>
        </is>
      </c>
      <c r="E4313" t="inlineStr">
        <is>
          <t>ÖRNSKÖLDSVIK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42356-2021</t>
        </is>
      </c>
      <c r="B4314" s="1" t="n">
        <v>44427</v>
      </c>
      <c r="C4314" s="1" t="n">
        <v>45657</v>
      </c>
      <c r="D4314" t="inlineStr">
        <is>
          <t>VÄSTERNORRLANDS LÄN</t>
        </is>
      </c>
      <c r="E4314" t="inlineStr">
        <is>
          <t>ÖRNSKÖLDSVIK</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42368-2021</t>
        </is>
      </c>
      <c r="B4315" s="1" t="n">
        <v>44427</v>
      </c>
      <c r="C4315" s="1" t="n">
        <v>45657</v>
      </c>
      <c r="D4315" t="inlineStr">
        <is>
          <t>VÄSTERNORRLANDS LÄN</t>
        </is>
      </c>
      <c r="E4315" t="inlineStr">
        <is>
          <t>ÖRNSKÖLDSVIK</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42531-2021</t>
        </is>
      </c>
      <c r="B4316" s="1" t="n">
        <v>44428</v>
      </c>
      <c r="C4316" s="1" t="n">
        <v>45657</v>
      </c>
      <c r="D4316" t="inlineStr">
        <is>
          <t>VÄSTERNORRLANDS LÄN</t>
        </is>
      </c>
      <c r="E4316" t="inlineStr">
        <is>
          <t>SOLLEFTEÅ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42566-2021</t>
        </is>
      </c>
      <c r="B4317" s="1" t="n">
        <v>44428</v>
      </c>
      <c r="C4317" s="1" t="n">
        <v>45657</v>
      </c>
      <c r="D4317" t="inlineStr">
        <is>
          <t>VÄSTERNORRLANDS LÄN</t>
        </is>
      </c>
      <c r="E4317" t="inlineStr">
        <is>
          <t>KRAMFORS</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42678-2021</t>
        </is>
      </c>
      <c r="B4318" s="1" t="n">
        <v>44428</v>
      </c>
      <c r="C4318" s="1" t="n">
        <v>45657</v>
      </c>
      <c r="D4318" t="inlineStr">
        <is>
          <t>VÄSTERNORRLANDS LÄN</t>
        </is>
      </c>
      <c r="E4318" t="inlineStr">
        <is>
          <t>KRAMFORS</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42700-2021</t>
        </is>
      </c>
      <c r="B4319" s="1" t="n">
        <v>44428</v>
      </c>
      <c r="C4319" s="1" t="n">
        <v>45657</v>
      </c>
      <c r="D4319" t="inlineStr">
        <is>
          <t>VÄSTERNORRLANDS LÄN</t>
        </is>
      </c>
      <c r="E4319" t="inlineStr">
        <is>
          <t>SUNDSVALL</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42628-2021</t>
        </is>
      </c>
      <c r="B4320" s="1" t="n">
        <v>44428</v>
      </c>
      <c r="C4320" s="1" t="n">
        <v>45657</v>
      </c>
      <c r="D4320" t="inlineStr">
        <is>
          <t>VÄSTERNORRLANDS LÄN</t>
        </is>
      </c>
      <c r="E4320" t="inlineStr">
        <is>
          <t>ÖRNSKÖLDSVIK</t>
        </is>
      </c>
      <c r="F4320" t="inlineStr">
        <is>
          <t>Holmen skog AB</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42632-2021</t>
        </is>
      </c>
      <c r="B4321" s="1" t="n">
        <v>44428</v>
      </c>
      <c r="C4321" s="1" t="n">
        <v>45657</v>
      </c>
      <c r="D4321" t="inlineStr">
        <is>
          <t>VÄSTERNORRLANDS LÄN</t>
        </is>
      </c>
      <c r="E4321" t="inlineStr">
        <is>
          <t>ÖRNSKÖLDSVIK</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42675-2021</t>
        </is>
      </c>
      <c r="B4322" s="1" t="n">
        <v>44428</v>
      </c>
      <c r="C4322" s="1" t="n">
        <v>45657</v>
      </c>
      <c r="D4322" t="inlineStr">
        <is>
          <t>VÄSTERNORRLANDS LÄN</t>
        </is>
      </c>
      <c r="E4322" t="inlineStr">
        <is>
          <t>KRAMFORS</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42739-2021</t>
        </is>
      </c>
      <c r="B4323" s="1" t="n">
        <v>44428</v>
      </c>
      <c r="C4323" s="1" t="n">
        <v>45657</v>
      </c>
      <c r="D4323" t="inlineStr">
        <is>
          <t>VÄSTERNORRLANDS LÄN</t>
        </is>
      </c>
      <c r="E4323" t="inlineStr">
        <is>
          <t>ÖRNSKÖLDSVIK</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42744-2021</t>
        </is>
      </c>
      <c r="B4324" s="1" t="n">
        <v>44428</v>
      </c>
      <c r="C4324" s="1" t="n">
        <v>45657</v>
      </c>
      <c r="D4324" t="inlineStr">
        <is>
          <t>VÄSTERNORRLANDS LÄN</t>
        </is>
      </c>
      <c r="E4324" t="inlineStr">
        <is>
          <t>ÖRNSKÖLDSVIK</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42728-2021</t>
        </is>
      </c>
      <c r="B4325" s="1" t="n">
        <v>44428</v>
      </c>
      <c r="C4325" s="1" t="n">
        <v>45657</v>
      </c>
      <c r="D4325" t="inlineStr">
        <is>
          <t>VÄSTERNORRLANDS LÄN</t>
        </is>
      </c>
      <c r="E4325" t="inlineStr">
        <is>
          <t>SUNDSVALL</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43076-2021</t>
        </is>
      </c>
      <c r="B4326" s="1" t="n">
        <v>44431</v>
      </c>
      <c r="C4326" s="1" t="n">
        <v>45657</v>
      </c>
      <c r="D4326" t="inlineStr">
        <is>
          <t>VÄSTERNORRLANDS LÄN</t>
        </is>
      </c>
      <c r="E4326" t="inlineStr">
        <is>
          <t>ÅNGE</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42881-2021</t>
        </is>
      </c>
      <c r="B4327" s="1" t="n">
        <v>44431</v>
      </c>
      <c r="C4327" s="1" t="n">
        <v>45657</v>
      </c>
      <c r="D4327" t="inlineStr">
        <is>
          <t>VÄSTERNORRLANDS LÄN</t>
        </is>
      </c>
      <c r="E4327" t="inlineStr">
        <is>
          <t>ÅNGE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43104-2021</t>
        </is>
      </c>
      <c r="B4328" s="1" t="n">
        <v>44431</v>
      </c>
      <c r="C4328" s="1" t="n">
        <v>45657</v>
      </c>
      <c r="D4328" t="inlineStr">
        <is>
          <t>VÄSTERNORRLANDS LÄN</t>
        </is>
      </c>
      <c r="E4328" t="inlineStr">
        <is>
          <t>ÖRNSKÖLDSVIK</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43194-2021</t>
        </is>
      </c>
      <c r="B4329" s="1" t="n">
        <v>44431</v>
      </c>
      <c r="C4329" s="1" t="n">
        <v>45657</v>
      </c>
      <c r="D4329" t="inlineStr">
        <is>
          <t>VÄSTERNORRLANDS LÄN</t>
        </is>
      </c>
      <c r="E4329" t="inlineStr">
        <is>
          <t>SUNDSVALL</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43199-2021</t>
        </is>
      </c>
      <c r="B4330" s="1" t="n">
        <v>44432</v>
      </c>
      <c r="C4330" s="1" t="n">
        <v>45657</v>
      </c>
      <c r="D4330" t="inlineStr">
        <is>
          <t>VÄSTERNORRLANDS LÄN</t>
        </is>
      </c>
      <c r="E4330" t="inlineStr">
        <is>
          <t>SUNDSVALL</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43195-2021</t>
        </is>
      </c>
      <c r="B4331" s="1" t="n">
        <v>44431</v>
      </c>
      <c r="C4331" s="1" t="n">
        <v>45657</v>
      </c>
      <c r="D4331" t="inlineStr">
        <is>
          <t>VÄSTERNORRLANDS LÄN</t>
        </is>
      </c>
      <c r="E4331" t="inlineStr">
        <is>
          <t>SUNDSVALL</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43138-2021</t>
        </is>
      </c>
      <c r="B4332" s="1" t="n">
        <v>44431</v>
      </c>
      <c r="C4332" s="1" t="n">
        <v>45657</v>
      </c>
      <c r="D4332" t="inlineStr">
        <is>
          <t>VÄSTERNORRLANDS LÄN</t>
        </is>
      </c>
      <c r="E4332" t="inlineStr">
        <is>
          <t>ÖRNSKÖLDSVIK</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43204-2021</t>
        </is>
      </c>
      <c r="B4333" s="1" t="n">
        <v>44431</v>
      </c>
      <c r="C4333" s="1" t="n">
        <v>45657</v>
      </c>
      <c r="D4333" t="inlineStr">
        <is>
          <t>VÄSTERNORRLANDS LÄN</t>
        </is>
      </c>
      <c r="E4333" t="inlineStr">
        <is>
          <t>SUNDSVALL</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43197-2021</t>
        </is>
      </c>
      <c r="B4334" s="1" t="n">
        <v>44432</v>
      </c>
      <c r="C4334" s="1" t="n">
        <v>45657</v>
      </c>
      <c r="D4334" t="inlineStr">
        <is>
          <t>VÄSTERNORRLANDS LÄN</t>
        </is>
      </c>
      <c r="E4334" t="inlineStr">
        <is>
          <t>SUNDSVALL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43205-2021</t>
        </is>
      </c>
      <c r="B4335" s="1" t="n">
        <v>44431</v>
      </c>
      <c r="C4335" s="1" t="n">
        <v>45657</v>
      </c>
      <c r="D4335" t="inlineStr">
        <is>
          <t>VÄSTERNORRLANDS LÄN</t>
        </is>
      </c>
      <c r="E4335" t="inlineStr">
        <is>
          <t>SUNDSVALL</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43220-2021</t>
        </is>
      </c>
      <c r="B4336" s="1" t="n">
        <v>44432</v>
      </c>
      <c r="C4336" s="1" t="n">
        <v>45657</v>
      </c>
      <c r="D4336" t="inlineStr">
        <is>
          <t>VÄSTERNORRLANDS LÄN</t>
        </is>
      </c>
      <c r="E4336" t="inlineStr">
        <is>
          <t>SOLLEFTEÅ</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43227-2021</t>
        </is>
      </c>
      <c r="B4337" s="1" t="n">
        <v>44432</v>
      </c>
      <c r="C4337" s="1" t="n">
        <v>45657</v>
      </c>
      <c r="D4337" t="inlineStr">
        <is>
          <t>VÄSTERNORRLANDS LÄN</t>
        </is>
      </c>
      <c r="E4337" t="inlineStr">
        <is>
          <t>ÖRNSKÖLDSVIK</t>
        </is>
      </c>
      <c r="F4337" t="inlineStr">
        <is>
          <t>Holmen skog AB</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43293-2021</t>
        </is>
      </c>
      <c r="B4338" s="1" t="n">
        <v>44432</v>
      </c>
      <c r="C4338" s="1" t="n">
        <v>45657</v>
      </c>
      <c r="D4338" t="inlineStr">
        <is>
          <t>VÄSTERNORRLANDS LÄN</t>
        </is>
      </c>
      <c r="E4338" t="inlineStr">
        <is>
          <t>KRAMFORS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43329-2021</t>
        </is>
      </c>
      <c r="B4339" s="1" t="n">
        <v>44432</v>
      </c>
      <c r="C4339" s="1" t="n">
        <v>45657</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43323-2021</t>
        </is>
      </c>
      <c r="B4340" s="1" t="n">
        <v>44432</v>
      </c>
      <c r="C4340" s="1" t="n">
        <v>45657</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43360-2021</t>
        </is>
      </c>
      <c r="B4341" s="1" t="n">
        <v>44432</v>
      </c>
      <c r="C4341" s="1" t="n">
        <v>45657</v>
      </c>
      <c r="D4341" t="inlineStr">
        <is>
          <t>VÄSTERNORRLANDS LÄN</t>
        </is>
      </c>
      <c r="E4341" t="inlineStr">
        <is>
          <t>ÖRNSKÖLDSVIK</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43413-2021</t>
        </is>
      </c>
      <c r="B4342" s="1" t="n">
        <v>44432</v>
      </c>
      <c r="C4342" s="1" t="n">
        <v>45657</v>
      </c>
      <c r="D4342" t="inlineStr">
        <is>
          <t>VÄSTERNORRLANDS LÄN</t>
        </is>
      </c>
      <c r="E4342" t="inlineStr">
        <is>
          <t>ÖRNSKÖLDSVIK</t>
        </is>
      </c>
      <c r="F4342" t="inlineStr">
        <is>
          <t>Holmen skog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43346-2021</t>
        </is>
      </c>
      <c r="B4343" s="1" t="n">
        <v>44432</v>
      </c>
      <c r="C4343" s="1" t="n">
        <v>45657</v>
      </c>
      <c r="D4343" t="inlineStr">
        <is>
          <t>VÄSTERNORRLANDS LÄN</t>
        </is>
      </c>
      <c r="E4343" t="inlineStr">
        <is>
          <t>ÖRNSKÖLDSVIK</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43424-2021</t>
        </is>
      </c>
      <c r="B4344" s="1" t="n">
        <v>44432</v>
      </c>
      <c r="C4344" s="1" t="n">
        <v>45657</v>
      </c>
      <c r="D4344" t="inlineStr">
        <is>
          <t>VÄSTERNORRLANDS LÄN</t>
        </is>
      </c>
      <c r="E4344" t="inlineStr">
        <is>
          <t>ÖRNSKÖLDSVIK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43443-2021</t>
        </is>
      </c>
      <c r="B4345" s="1" t="n">
        <v>44432</v>
      </c>
      <c r="C4345" s="1" t="n">
        <v>45657</v>
      </c>
      <c r="D4345" t="inlineStr">
        <is>
          <t>VÄSTERNORRLANDS LÄN</t>
        </is>
      </c>
      <c r="E4345" t="inlineStr">
        <is>
          <t>ÖRNSKÖLDSVIK</t>
        </is>
      </c>
      <c r="F4345" t="inlineStr">
        <is>
          <t>Holmen skog AB</t>
        </is>
      </c>
      <c r="G4345" t="n">
        <v>12.4</v>
      </c>
      <c r="H4345" t="n">
        <v>0</v>
      </c>
      <c r="I4345" t="n">
        <v>0</v>
      </c>
      <c r="J4345" t="n">
        <v>0</v>
      </c>
      <c r="K4345" t="n">
        <v>0</v>
      </c>
      <c r="L4345" t="n">
        <v>0</v>
      </c>
      <c r="M4345" t="n">
        <v>0</v>
      </c>
      <c r="N4345" t="n">
        <v>0</v>
      </c>
      <c r="O4345" t="n">
        <v>0</v>
      </c>
      <c r="P4345" t="n">
        <v>0</v>
      </c>
      <c r="Q4345" t="n">
        <v>0</v>
      </c>
      <c r="R4345" s="2" t="inlineStr"/>
    </row>
    <row r="4346" ht="15" customHeight="1">
      <c r="A4346" t="inlineStr">
        <is>
          <t>A 43370-2021</t>
        </is>
      </c>
      <c r="B4346" s="1" t="n">
        <v>44432</v>
      </c>
      <c r="C4346" s="1" t="n">
        <v>45657</v>
      </c>
      <c r="D4346" t="inlineStr">
        <is>
          <t>VÄSTERNORRLANDS LÄN</t>
        </is>
      </c>
      <c r="E4346" t="inlineStr">
        <is>
          <t>ÖRNSKÖLDSVIK</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43490-2021</t>
        </is>
      </c>
      <c r="B4347" s="1" t="n">
        <v>44433</v>
      </c>
      <c r="C4347" s="1" t="n">
        <v>45657</v>
      </c>
      <c r="D4347" t="inlineStr">
        <is>
          <t>VÄSTERNORRLANDS LÄN</t>
        </is>
      </c>
      <c r="E4347" t="inlineStr">
        <is>
          <t>KRAMFORS</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43525-2021</t>
        </is>
      </c>
      <c r="B4348" s="1" t="n">
        <v>44433</v>
      </c>
      <c r="C4348" s="1" t="n">
        <v>45657</v>
      </c>
      <c r="D4348" t="inlineStr">
        <is>
          <t>VÄSTERNORRLANDS LÄN</t>
        </is>
      </c>
      <c r="E4348" t="inlineStr">
        <is>
          <t>SOLLEFTEÅ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43848-2021</t>
        </is>
      </c>
      <c r="B4349" s="1" t="n">
        <v>44434</v>
      </c>
      <c r="C4349" s="1" t="n">
        <v>45657</v>
      </c>
      <c r="D4349" t="inlineStr">
        <is>
          <t>VÄSTERNORRLANDS LÄN</t>
        </is>
      </c>
      <c r="E4349" t="inlineStr">
        <is>
          <t>TIMRÅ</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43849-2021</t>
        </is>
      </c>
      <c r="B4350" s="1" t="n">
        <v>44433</v>
      </c>
      <c r="C4350" s="1" t="n">
        <v>45657</v>
      </c>
      <c r="D4350" t="inlineStr">
        <is>
          <t>VÄSTERNORRLANDS LÄN</t>
        </is>
      </c>
      <c r="E4350" t="inlineStr">
        <is>
          <t>ÅNGE</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43834-2021</t>
        </is>
      </c>
      <c r="B4351" s="1" t="n">
        <v>44433</v>
      </c>
      <c r="C4351" s="1" t="n">
        <v>45657</v>
      </c>
      <c r="D4351" t="inlineStr">
        <is>
          <t>VÄSTERNORRLANDS LÄN</t>
        </is>
      </c>
      <c r="E4351" t="inlineStr">
        <is>
          <t>SUNDSVALL</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44030-2021</t>
        </is>
      </c>
      <c r="B4352" s="1" t="n">
        <v>44434</v>
      </c>
      <c r="C4352" s="1" t="n">
        <v>45657</v>
      </c>
      <c r="D4352" t="inlineStr">
        <is>
          <t>VÄSTERNORRLANDS LÄN</t>
        </is>
      </c>
      <c r="E4352" t="inlineStr">
        <is>
          <t>SUNDSVALL</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44023-2021</t>
        </is>
      </c>
      <c r="B4353" s="1" t="n">
        <v>44434</v>
      </c>
      <c r="C4353" s="1" t="n">
        <v>45657</v>
      </c>
      <c r="D4353" t="inlineStr">
        <is>
          <t>VÄSTERNORRLANDS LÄN</t>
        </is>
      </c>
      <c r="E4353" t="inlineStr">
        <is>
          <t>HÄRNÖSAND</t>
        </is>
      </c>
      <c r="G4353" t="n">
        <v>9.9</v>
      </c>
      <c r="H4353" t="n">
        <v>0</v>
      </c>
      <c r="I4353" t="n">
        <v>0</v>
      </c>
      <c r="J4353" t="n">
        <v>0</v>
      </c>
      <c r="K4353" t="n">
        <v>0</v>
      </c>
      <c r="L4353" t="n">
        <v>0</v>
      </c>
      <c r="M4353" t="n">
        <v>0</v>
      </c>
      <c r="N4353" t="n">
        <v>0</v>
      </c>
      <c r="O4353" t="n">
        <v>0</v>
      </c>
      <c r="P4353" t="n">
        <v>0</v>
      </c>
      <c r="Q4353" t="n">
        <v>0</v>
      </c>
      <c r="R4353" s="2" t="inlineStr"/>
    </row>
    <row r="4354" ht="15" customHeight="1">
      <c r="A4354" t="inlineStr">
        <is>
          <t>A 44035-2021</t>
        </is>
      </c>
      <c r="B4354" s="1" t="n">
        <v>44434</v>
      </c>
      <c r="C4354" s="1" t="n">
        <v>45657</v>
      </c>
      <c r="D4354" t="inlineStr">
        <is>
          <t>VÄSTERNORRLANDS LÄN</t>
        </is>
      </c>
      <c r="E4354" t="inlineStr">
        <is>
          <t>HÄRNÖSAND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44047-2021</t>
        </is>
      </c>
      <c r="B4355" s="1" t="n">
        <v>44434</v>
      </c>
      <c r="C4355" s="1" t="n">
        <v>45657</v>
      </c>
      <c r="D4355" t="inlineStr">
        <is>
          <t>VÄSTERNORRLANDS LÄN</t>
        </is>
      </c>
      <c r="E4355" t="inlineStr">
        <is>
          <t>HÄRNÖSAND</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44039-2021</t>
        </is>
      </c>
      <c r="B4356" s="1" t="n">
        <v>44434</v>
      </c>
      <c r="C4356" s="1" t="n">
        <v>45657</v>
      </c>
      <c r="D4356" t="inlineStr">
        <is>
          <t>VÄSTERNORRLANDS LÄN</t>
        </is>
      </c>
      <c r="E4356" t="inlineStr">
        <is>
          <t>SUNDSVALL</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44027-2021</t>
        </is>
      </c>
      <c r="B4357" s="1" t="n">
        <v>44434</v>
      </c>
      <c r="C4357" s="1" t="n">
        <v>45657</v>
      </c>
      <c r="D4357" t="inlineStr">
        <is>
          <t>VÄSTERNORRLANDS LÄN</t>
        </is>
      </c>
      <c r="E4357" t="inlineStr">
        <is>
          <t>HÄRNÖSAND</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44258-2021</t>
        </is>
      </c>
      <c r="B4358" s="1" t="n">
        <v>44434</v>
      </c>
      <c r="C4358" s="1" t="n">
        <v>45657</v>
      </c>
      <c r="D4358" t="inlineStr">
        <is>
          <t>VÄSTERNORRLANDS LÄN</t>
        </is>
      </c>
      <c r="E4358" t="inlineStr">
        <is>
          <t>KRAMFORS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44259-2021</t>
        </is>
      </c>
      <c r="B4359" s="1" t="n">
        <v>44434</v>
      </c>
      <c r="C4359" s="1" t="n">
        <v>45657</v>
      </c>
      <c r="D4359" t="inlineStr">
        <is>
          <t>VÄSTERNORRLANDS LÄN</t>
        </is>
      </c>
      <c r="E4359" t="inlineStr">
        <is>
          <t>ÖRNSKÖLDSVIK</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44437-2021</t>
        </is>
      </c>
      <c r="B4360" s="1" t="n">
        <v>44435</v>
      </c>
      <c r="C4360" s="1" t="n">
        <v>45657</v>
      </c>
      <c r="D4360" t="inlineStr">
        <is>
          <t>VÄSTERNORRLANDS LÄN</t>
        </is>
      </c>
      <c r="E4360" t="inlineStr">
        <is>
          <t>ÖRNSKÖLDSVIK</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44415-2021</t>
        </is>
      </c>
      <c r="B4361" s="1" t="n">
        <v>44435</v>
      </c>
      <c r="C4361" s="1" t="n">
        <v>45657</v>
      </c>
      <c r="D4361" t="inlineStr">
        <is>
          <t>VÄSTERNORRLANDS LÄN</t>
        </is>
      </c>
      <c r="E4361" t="inlineStr">
        <is>
          <t>ÅNGE</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44442-2021</t>
        </is>
      </c>
      <c r="B4362" s="1" t="n">
        <v>44435</v>
      </c>
      <c r="C4362" s="1" t="n">
        <v>45657</v>
      </c>
      <c r="D4362" t="inlineStr">
        <is>
          <t>VÄSTERNORRLANDS LÄN</t>
        </is>
      </c>
      <c r="E4362" t="inlineStr">
        <is>
          <t>ÖRNSKÖLDSVIK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44608-2021</t>
        </is>
      </c>
      <c r="B4363" s="1" t="n">
        <v>44436</v>
      </c>
      <c r="C4363" s="1" t="n">
        <v>45657</v>
      </c>
      <c r="D4363" t="inlineStr">
        <is>
          <t>VÄSTERNORRLANDS LÄN</t>
        </is>
      </c>
      <c r="E4363" t="inlineStr">
        <is>
          <t>ÅNGE</t>
        </is>
      </c>
      <c r="F4363" t="inlineStr">
        <is>
          <t>SCA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44592-2021</t>
        </is>
      </c>
      <c r="B4364" s="1" t="n">
        <v>44435</v>
      </c>
      <c r="C4364" s="1" t="n">
        <v>45657</v>
      </c>
      <c r="D4364" t="inlineStr">
        <is>
          <t>VÄSTERNORRLANDS LÄN</t>
        </is>
      </c>
      <c r="E4364" t="inlineStr">
        <is>
          <t>SOLLEFTEÅ</t>
        </is>
      </c>
      <c r="F4364" t="inlineStr">
        <is>
          <t>SCA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44610-2021</t>
        </is>
      </c>
      <c r="B4365" s="1" t="n">
        <v>44436</v>
      </c>
      <c r="C4365" s="1" t="n">
        <v>45657</v>
      </c>
      <c r="D4365" t="inlineStr">
        <is>
          <t>VÄSTERNORRLANDS LÄN</t>
        </is>
      </c>
      <c r="E4365" t="inlineStr">
        <is>
          <t>SUNDSVALL</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44446-2021</t>
        </is>
      </c>
      <c r="B4366" s="1" t="n">
        <v>44435</v>
      </c>
      <c r="C4366" s="1" t="n">
        <v>45657</v>
      </c>
      <c r="D4366" t="inlineStr">
        <is>
          <t>VÄSTERNORRLANDS LÄN</t>
        </is>
      </c>
      <c r="E4366" t="inlineStr">
        <is>
          <t>ÖRNSKÖLDSVIK</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44587-2021</t>
        </is>
      </c>
      <c r="B4367" s="1" t="n">
        <v>44435</v>
      </c>
      <c r="C4367" s="1" t="n">
        <v>45657</v>
      </c>
      <c r="D4367" t="inlineStr">
        <is>
          <t>VÄSTERNORRLANDS LÄN</t>
        </is>
      </c>
      <c r="E4367" t="inlineStr">
        <is>
          <t>SOLLEFTEÅ</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44613-2021</t>
        </is>
      </c>
      <c r="B4368" s="1" t="n">
        <v>44435</v>
      </c>
      <c r="C4368" s="1" t="n">
        <v>45657</v>
      </c>
      <c r="D4368" t="inlineStr">
        <is>
          <t>VÄSTERNORRLANDS LÄN</t>
        </is>
      </c>
      <c r="E4368" t="inlineStr">
        <is>
          <t>ÖRNSKÖLDSVIK</t>
        </is>
      </c>
      <c r="G4368" t="n">
        <v>13.5</v>
      </c>
      <c r="H4368" t="n">
        <v>0</v>
      </c>
      <c r="I4368" t="n">
        <v>0</v>
      </c>
      <c r="J4368" t="n">
        <v>0</v>
      </c>
      <c r="K4368" t="n">
        <v>0</v>
      </c>
      <c r="L4368" t="n">
        <v>0</v>
      </c>
      <c r="M4368" t="n">
        <v>0</v>
      </c>
      <c r="N4368" t="n">
        <v>0</v>
      </c>
      <c r="O4368" t="n">
        <v>0</v>
      </c>
      <c r="P4368" t="n">
        <v>0</v>
      </c>
      <c r="Q4368" t="n">
        <v>0</v>
      </c>
      <c r="R4368" s="2" t="inlineStr"/>
    </row>
    <row r="4369" ht="15" customHeight="1">
      <c r="A4369" t="inlineStr">
        <is>
          <t>A 44771-2021</t>
        </is>
      </c>
      <c r="B4369" s="1" t="n">
        <v>44438</v>
      </c>
      <c r="C4369" s="1" t="n">
        <v>45657</v>
      </c>
      <c r="D4369" t="inlineStr">
        <is>
          <t>VÄSTERNORRLANDS LÄN</t>
        </is>
      </c>
      <c r="E4369" t="inlineStr">
        <is>
          <t>HÄRNÖSAND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44689-2021</t>
        </is>
      </c>
      <c r="B4370" s="1" t="n">
        <v>44438</v>
      </c>
      <c r="C4370" s="1" t="n">
        <v>45657</v>
      </c>
      <c r="D4370" t="inlineStr">
        <is>
          <t>VÄSTERNORRLANDS LÄN</t>
        </is>
      </c>
      <c r="E4370" t="inlineStr">
        <is>
          <t>ÖRNSKÖLDSVIK</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44829-2021</t>
        </is>
      </c>
      <c r="B4371" s="1" t="n">
        <v>44438</v>
      </c>
      <c r="C4371" s="1" t="n">
        <v>45657</v>
      </c>
      <c r="D4371" t="inlineStr">
        <is>
          <t>VÄSTERNORRLANDS LÄN</t>
        </is>
      </c>
      <c r="E4371" t="inlineStr">
        <is>
          <t>KRAMFORS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45005-2021</t>
        </is>
      </c>
      <c r="B4372" s="1" t="n">
        <v>44439</v>
      </c>
      <c r="C4372" s="1" t="n">
        <v>45657</v>
      </c>
      <c r="D4372" t="inlineStr">
        <is>
          <t>VÄSTERNORRLANDS LÄN</t>
        </is>
      </c>
      <c r="E4372" t="inlineStr">
        <is>
          <t>SUNDSVALL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44920-2021</t>
        </is>
      </c>
      <c r="B4373" s="1" t="n">
        <v>44438</v>
      </c>
      <c r="C4373" s="1" t="n">
        <v>45657</v>
      </c>
      <c r="D4373" t="inlineStr">
        <is>
          <t>VÄSTERNORRLANDS LÄN</t>
        </is>
      </c>
      <c r="E4373" t="inlineStr">
        <is>
          <t>SUNDSVALL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44934-2021</t>
        </is>
      </c>
      <c r="B4374" s="1" t="n">
        <v>44438</v>
      </c>
      <c r="C4374" s="1" t="n">
        <v>45657</v>
      </c>
      <c r="D4374" t="inlineStr">
        <is>
          <t>VÄSTERNORRLANDS LÄN</t>
        </is>
      </c>
      <c r="E4374" t="inlineStr">
        <is>
          <t>SUNDSVALL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45000-2021</t>
        </is>
      </c>
      <c r="B4375" s="1" t="n">
        <v>44439</v>
      </c>
      <c r="C4375" s="1" t="n">
        <v>45657</v>
      </c>
      <c r="D4375" t="inlineStr">
        <is>
          <t>VÄSTERNORRLANDS LÄN</t>
        </is>
      </c>
      <c r="E4375" t="inlineStr">
        <is>
          <t>SUNDSVALL</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45006-2021</t>
        </is>
      </c>
      <c r="B4376" s="1" t="n">
        <v>44439</v>
      </c>
      <c r="C4376" s="1" t="n">
        <v>45657</v>
      </c>
      <c r="D4376" t="inlineStr">
        <is>
          <t>VÄSTERNORRLANDS LÄN</t>
        </is>
      </c>
      <c r="E4376" t="inlineStr">
        <is>
          <t>SUNDSVALL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45050-2021</t>
        </is>
      </c>
      <c r="B4377" s="1" t="n">
        <v>44439</v>
      </c>
      <c r="C4377" s="1" t="n">
        <v>45657</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45187-2021</t>
        </is>
      </c>
      <c r="B4378" s="1" t="n">
        <v>44439</v>
      </c>
      <c r="C4378" s="1" t="n">
        <v>45657</v>
      </c>
      <c r="D4378" t="inlineStr">
        <is>
          <t>VÄSTERNORRLANDS LÄN</t>
        </is>
      </c>
      <c r="E4378" t="inlineStr">
        <is>
          <t>SOLLEFTEÅ</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45105-2021</t>
        </is>
      </c>
      <c r="B4379" s="1" t="n">
        <v>44439</v>
      </c>
      <c r="C4379" s="1" t="n">
        <v>45657</v>
      </c>
      <c r="D4379" t="inlineStr">
        <is>
          <t>VÄSTERNORRLANDS LÄN</t>
        </is>
      </c>
      <c r="E4379" t="inlineStr">
        <is>
          <t>SOLLEFTEÅ</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45145-2021</t>
        </is>
      </c>
      <c r="B4380" s="1" t="n">
        <v>44439</v>
      </c>
      <c r="C4380" s="1" t="n">
        <v>45657</v>
      </c>
      <c r="D4380" t="inlineStr">
        <is>
          <t>VÄSTERNORRLANDS LÄN</t>
        </is>
      </c>
      <c r="E4380" t="inlineStr">
        <is>
          <t>ÅNGE</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45214-2021</t>
        </is>
      </c>
      <c r="B4381" s="1" t="n">
        <v>44439</v>
      </c>
      <c r="C4381" s="1" t="n">
        <v>45657</v>
      </c>
      <c r="D4381" t="inlineStr">
        <is>
          <t>VÄSTERNORRLANDS LÄN</t>
        </is>
      </c>
      <c r="E4381" t="inlineStr">
        <is>
          <t>ÖRNSKÖLDSVIK</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45126-2021</t>
        </is>
      </c>
      <c r="B4382" s="1" t="n">
        <v>44439</v>
      </c>
      <c r="C4382" s="1" t="n">
        <v>45657</v>
      </c>
      <c r="D4382" t="inlineStr">
        <is>
          <t>VÄSTERNORRLANDS LÄN</t>
        </is>
      </c>
      <c r="E4382" t="inlineStr">
        <is>
          <t>ÖRNSKÖLDSVIK</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45353-2021</t>
        </is>
      </c>
      <c r="B4383" s="1" t="n">
        <v>44439</v>
      </c>
      <c r="C4383" s="1" t="n">
        <v>45657</v>
      </c>
      <c r="D4383" t="inlineStr">
        <is>
          <t>VÄSTERNORRLANDS LÄN</t>
        </is>
      </c>
      <c r="E4383" t="inlineStr">
        <is>
          <t>ÅNGE</t>
        </is>
      </c>
      <c r="F4383" t="inlineStr">
        <is>
          <t>SCA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45506-2021</t>
        </is>
      </c>
      <c r="B4384" s="1" t="n">
        <v>44440</v>
      </c>
      <c r="C4384" s="1" t="n">
        <v>45657</v>
      </c>
      <c r="D4384" t="inlineStr">
        <is>
          <t>VÄSTERNORRLANDS LÄN</t>
        </is>
      </c>
      <c r="E4384" t="inlineStr">
        <is>
          <t>SUNDSVALL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45456-2021</t>
        </is>
      </c>
      <c r="B4385" s="1" t="n">
        <v>44440</v>
      </c>
      <c r="C4385" s="1" t="n">
        <v>45657</v>
      </c>
      <c r="D4385" t="inlineStr">
        <is>
          <t>VÄSTERNORRLANDS LÄN</t>
        </is>
      </c>
      <c r="E4385" t="inlineStr">
        <is>
          <t>ÖRNSKÖLDSVIK</t>
        </is>
      </c>
      <c r="F4385" t="inlineStr">
        <is>
          <t>Holmen skog AB</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45426-2021</t>
        </is>
      </c>
      <c r="B4386" s="1" t="n">
        <v>44440</v>
      </c>
      <c r="C4386" s="1" t="n">
        <v>45657</v>
      </c>
      <c r="D4386" t="inlineStr">
        <is>
          <t>VÄSTERNORRLANDS LÄN</t>
        </is>
      </c>
      <c r="E4386" t="inlineStr">
        <is>
          <t>ÖRNSKÖLDSVIK</t>
        </is>
      </c>
      <c r="F4386" t="inlineStr">
        <is>
          <t>Holmen skog AB</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45441-2021</t>
        </is>
      </c>
      <c r="B4387" s="1" t="n">
        <v>44440</v>
      </c>
      <c r="C4387" s="1" t="n">
        <v>45657</v>
      </c>
      <c r="D4387" t="inlineStr">
        <is>
          <t>VÄSTERNORRLANDS LÄN</t>
        </is>
      </c>
      <c r="E4387" t="inlineStr">
        <is>
          <t>TIMRÅ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45515-2021</t>
        </is>
      </c>
      <c r="B4388" s="1" t="n">
        <v>44440</v>
      </c>
      <c r="C4388" s="1" t="n">
        <v>45657</v>
      </c>
      <c r="D4388" t="inlineStr">
        <is>
          <t>VÄSTERNORRLANDS LÄN</t>
        </is>
      </c>
      <c r="E4388" t="inlineStr">
        <is>
          <t>SUNDSVALL</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45664-2021</t>
        </is>
      </c>
      <c r="B4389" s="1" t="n">
        <v>44440</v>
      </c>
      <c r="C4389" s="1" t="n">
        <v>45657</v>
      </c>
      <c r="D4389" t="inlineStr">
        <is>
          <t>VÄSTERNORRLANDS LÄN</t>
        </is>
      </c>
      <c r="E4389" t="inlineStr">
        <is>
          <t>KRAMFORS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45646-2021</t>
        </is>
      </c>
      <c r="B4390" s="1" t="n">
        <v>44440</v>
      </c>
      <c r="C4390" s="1" t="n">
        <v>45657</v>
      </c>
      <c r="D4390" t="inlineStr">
        <is>
          <t>VÄSTERNORRLANDS LÄN</t>
        </is>
      </c>
      <c r="E4390" t="inlineStr">
        <is>
          <t>SUNDSVALL</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45631-2021</t>
        </is>
      </c>
      <c r="B4391" s="1" t="n">
        <v>44441</v>
      </c>
      <c r="C4391" s="1" t="n">
        <v>45657</v>
      </c>
      <c r="D4391" t="inlineStr">
        <is>
          <t>VÄSTERNORRLANDS LÄN</t>
        </is>
      </c>
      <c r="E4391" t="inlineStr">
        <is>
          <t>ÅNGE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45775-2021</t>
        </is>
      </c>
      <c r="B4392" s="1" t="n">
        <v>44441</v>
      </c>
      <c r="C4392" s="1" t="n">
        <v>45657</v>
      </c>
      <c r="D4392" t="inlineStr">
        <is>
          <t>VÄSTERNORRLANDS LÄN</t>
        </is>
      </c>
      <c r="E4392" t="inlineStr">
        <is>
          <t>SUNDSVALL</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45739-2021</t>
        </is>
      </c>
      <c r="B4393" s="1" t="n">
        <v>44441</v>
      </c>
      <c r="C4393" s="1" t="n">
        <v>45657</v>
      </c>
      <c r="D4393" t="inlineStr">
        <is>
          <t>VÄSTERNORRLANDS LÄN</t>
        </is>
      </c>
      <c r="E4393" t="inlineStr">
        <is>
          <t>SUNDSVALL</t>
        </is>
      </c>
      <c r="G4393" t="n">
        <v>14.8</v>
      </c>
      <c r="H4393" t="n">
        <v>0</v>
      </c>
      <c r="I4393" t="n">
        <v>0</v>
      </c>
      <c r="J4393" t="n">
        <v>0</v>
      </c>
      <c r="K4393" t="n">
        <v>0</v>
      </c>
      <c r="L4393" t="n">
        <v>0</v>
      </c>
      <c r="M4393" t="n">
        <v>0</v>
      </c>
      <c r="N4393" t="n">
        <v>0</v>
      </c>
      <c r="O4393" t="n">
        <v>0</v>
      </c>
      <c r="P4393" t="n">
        <v>0</v>
      </c>
      <c r="Q4393" t="n">
        <v>0</v>
      </c>
      <c r="R4393" s="2" t="inlineStr"/>
    </row>
    <row r="4394" ht="15" customHeight="1">
      <c r="A4394" t="inlineStr">
        <is>
          <t>A 45735-2021</t>
        </is>
      </c>
      <c r="B4394" s="1" t="n">
        <v>44441</v>
      </c>
      <c r="C4394" s="1" t="n">
        <v>45657</v>
      </c>
      <c r="D4394" t="inlineStr">
        <is>
          <t>VÄSTERNORRLANDS LÄN</t>
        </is>
      </c>
      <c r="E4394" t="inlineStr">
        <is>
          <t>ÅNGE</t>
        </is>
      </c>
      <c r="F4394" t="inlineStr">
        <is>
          <t>Sveaskog</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45799-2021</t>
        </is>
      </c>
      <c r="B4395" s="1" t="n">
        <v>44441</v>
      </c>
      <c r="C4395" s="1" t="n">
        <v>45657</v>
      </c>
      <c r="D4395" t="inlineStr">
        <is>
          <t>VÄSTERNORRLANDS LÄN</t>
        </is>
      </c>
      <c r="E4395" t="inlineStr">
        <is>
          <t>ÖRNSKÖLDSVIK</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45681-2021</t>
        </is>
      </c>
      <c r="B4396" s="1" t="n">
        <v>44441</v>
      </c>
      <c r="C4396" s="1" t="n">
        <v>45657</v>
      </c>
      <c r="D4396" t="inlineStr">
        <is>
          <t>VÄSTERNORRLANDS LÄN</t>
        </is>
      </c>
      <c r="E4396" t="inlineStr">
        <is>
          <t>HÄRNÖSAND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45874-2021</t>
        </is>
      </c>
      <c r="B4397" s="1" t="n">
        <v>44441</v>
      </c>
      <c r="C4397" s="1" t="n">
        <v>45657</v>
      </c>
      <c r="D4397" t="inlineStr">
        <is>
          <t>VÄSTERNORRLANDS LÄN</t>
        </is>
      </c>
      <c r="E4397" t="inlineStr">
        <is>
          <t>ÖRNSKÖLDSVIK</t>
        </is>
      </c>
      <c r="F4397" t="inlineStr">
        <is>
          <t>Holmen skog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46042-2021</t>
        </is>
      </c>
      <c r="B4398" s="1" t="n">
        <v>44442</v>
      </c>
      <c r="C4398" s="1" t="n">
        <v>45657</v>
      </c>
      <c r="D4398" t="inlineStr">
        <is>
          <t>VÄSTERNORRLANDS LÄN</t>
        </is>
      </c>
      <c r="E4398" t="inlineStr">
        <is>
          <t>ÖRNSKÖLDSVIK</t>
        </is>
      </c>
      <c r="F4398" t="inlineStr">
        <is>
          <t>SCA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46049-2021</t>
        </is>
      </c>
      <c r="B4399" s="1" t="n">
        <v>44442</v>
      </c>
      <c r="C4399" s="1" t="n">
        <v>45657</v>
      </c>
      <c r="D4399" t="inlineStr">
        <is>
          <t>VÄSTERNORRLANDS LÄN</t>
        </is>
      </c>
      <c r="E4399" t="inlineStr">
        <is>
          <t>SOLLEFTEÅ</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45890-2021</t>
        </is>
      </c>
      <c r="B4400" s="1" t="n">
        <v>44441</v>
      </c>
      <c r="C4400" s="1" t="n">
        <v>45657</v>
      </c>
      <c r="D4400" t="inlineStr">
        <is>
          <t>VÄSTERNORRLANDS LÄN</t>
        </is>
      </c>
      <c r="E4400" t="inlineStr">
        <is>
          <t>ÅNGE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45920-2021</t>
        </is>
      </c>
      <c r="B4401" s="1" t="n">
        <v>44441</v>
      </c>
      <c r="C4401" s="1" t="n">
        <v>45657</v>
      </c>
      <c r="D4401" t="inlineStr">
        <is>
          <t>VÄSTERNORRLANDS LÄN</t>
        </is>
      </c>
      <c r="E4401" t="inlineStr">
        <is>
          <t>ÖRNSKÖLDSVIK</t>
        </is>
      </c>
      <c r="F4401" t="inlineStr">
        <is>
          <t>Holmen skog AB</t>
        </is>
      </c>
      <c r="G4401" t="n">
        <v>27.7</v>
      </c>
      <c r="H4401" t="n">
        <v>0</v>
      </c>
      <c r="I4401" t="n">
        <v>0</v>
      </c>
      <c r="J4401" t="n">
        <v>0</v>
      </c>
      <c r="K4401" t="n">
        <v>0</v>
      </c>
      <c r="L4401" t="n">
        <v>0</v>
      </c>
      <c r="M4401" t="n">
        <v>0</v>
      </c>
      <c r="N4401" t="n">
        <v>0</v>
      </c>
      <c r="O4401" t="n">
        <v>0</v>
      </c>
      <c r="P4401" t="n">
        <v>0</v>
      </c>
      <c r="Q4401" t="n">
        <v>0</v>
      </c>
      <c r="R4401" s="2" t="inlineStr"/>
    </row>
    <row r="4402" ht="15" customHeight="1">
      <c r="A4402" t="inlineStr">
        <is>
          <t>A 46053-2021</t>
        </is>
      </c>
      <c r="B4402" s="1" t="n">
        <v>44441</v>
      </c>
      <c r="C4402" s="1" t="n">
        <v>45657</v>
      </c>
      <c r="D4402" t="inlineStr">
        <is>
          <t>VÄSTERNORRLANDS LÄN</t>
        </is>
      </c>
      <c r="E4402" t="inlineStr">
        <is>
          <t>ÅNGE</t>
        </is>
      </c>
      <c r="F4402" t="inlineStr">
        <is>
          <t>SCA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46047-2021</t>
        </is>
      </c>
      <c r="B4403" s="1" t="n">
        <v>44442</v>
      </c>
      <c r="C4403" s="1" t="n">
        <v>45657</v>
      </c>
      <c r="D4403" t="inlineStr">
        <is>
          <t>VÄSTERNORRLANDS LÄN</t>
        </is>
      </c>
      <c r="E4403" t="inlineStr">
        <is>
          <t>ÖRNSKÖLDSVIK</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46058-2021</t>
        </is>
      </c>
      <c r="B4404" s="1" t="n">
        <v>44442</v>
      </c>
      <c r="C4404" s="1" t="n">
        <v>45657</v>
      </c>
      <c r="D4404" t="inlineStr">
        <is>
          <t>VÄSTERNORRLANDS LÄN</t>
        </is>
      </c>
      <c r="E4404" t="inlineStr">
        <is>
          <t>SOLLEFTEÅ</t>
        </is>
      </c>
      <c r="F4404" t="inlineStr">
        <is>
          <t>SCA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45959-2021</t>
        </is>
      </c>
      <c r="B4405" s="1" t="n">
        <v>44441</v>
      </c>
      <c r="C4405" s="1" t="n">
        <v>45657</v>
      </c>
      <c r="D4405" t="inlineStr">
        <is>
          <t>VÄSTERNORRLANDS LÄN</t>
        </is>
      </c>
      <c r="E4405" t="inlineStr">
        <is>
          <t>SUNDSVALL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46269-2021</t>
        </is>
      </c>
      <c r="B4406" s="1" t="n">
        <v>44442</v>
      </c>
      <c r="C4406" s="1" t="n">
        <v>45657</v>
      </c>
      <c r="D4406" t="inlineStr">
        <is>
          <t>VÄSTERNORRLANDS LÄN</t>
        </is>
      </c>
      <c r="E4406" t="inlineStr">
        <is>
          <t>ÖRNSKÖLDSVIK</t>
        </is>
      </c>
      <c r="F4406" t="inlineStr">
        <is>
          <t>Kyrkan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46277-2021</t>
        </is>
      </c>
      <c r="B4407" s="1" t="n">
        <v>44442</v>
      </c>
      <c r="C4407" s="1" t="n">
        <v>45657</v>
      </c>
      <c r="D4407" t="inlineStr">
        <is>
          <t>VÄSTERNORRLANDS LÄN</t>
        </is>
      </c>
      <c r="E4407" t="inlineStr">
        <is>
          <t>ÖRNSKÖLDSVIK</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46273-2021</t>
        </is>
      </c>
      <c r="B4408" s="1" t="n">
        <v>44442</v>
      </c>
      <c r="C4408" s="1" t="n">
        <v>45657</v>
      </c>
      <c r="D4408" t="inlineStr">
        <is>
          <t>VÄSTERNORRLANDS LÄN</t>
        </is>
      </c>
      <c r="E4408" t="inlineStr">
        <is>
          <t>HÄRNÖSAND</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46669-2021</t>
        </is>
      </c>
      <c r="B4409" s="1" t="n">
        <v>44445</v>
      </c>
      <c r="C4409" s="1" t="n">
        <v>45657</v>
      </c>
      <c r="D4409" t="inlineStr">
        <is>
          <t>VÄSTERNORRLANDS LÄN</t>
        </is>
      </c>
      <c r="E4409" t="inlineStr">
        <is>
          <t>ÖRNSKÖLDSVIK</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46865-2021</t>
        </is>
      </c>
      <c r="B4410" s="1" t="n">
        <v>44446</v>
      </c>
      <c r="C4410" s="1" t="n">
        <v>45657</v>
      </c>
      <c r="D4410" t="inlineStr">
        <is>
          <t>VÄSTERNORRLANDS LÄN</t>
        </is>
      </c>
      <c r="E4410" t="inlineStr">
        <is>
          <t>ÅNGE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46824-2021</t>
        </is>
      </c>
      <c r="B4411" s="1" t="n">
        <v>44446</v>
      </c>
      <c r="C4411" s="1" t="n">
        <v>45657</v>
      </c>
      <c r="D4411" t="inlineStr">
        <is>
          <t>VÄSTERNORRLANDS LÄN</t>
        </is>
      </c>
      <c r="E4411" t="inlineStr">
        <is>
          <t>ÅNGE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46911-2021</t>
        </is>
      </c>
      <c r="B4412" s="1" t="n">
        <v>44446</v>
      </c>
      <c r="C4412" s="1" t="n">
        <v>45657</v>
      </c>
      <c r="D4412" t="inlineStr">
        <is>
          <t>VÄSTERNORRLANDS LÄN</t>
        </is>
      </c>
      <c r="E4412" t="inlineStr">
        <is>
          <t>ÖRNSKÖLDSVIK</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46948-2021</t>
        </is>
      </c>
      <c r="B4413" s="1" t="n">
        <v>44446</v>
      </c>
      <c r="C4413" s="1" t="n">
        <v>45657</v>
      </c>
      <c r="D4413" t="inlineStr">
        <is>
          <t>VÄSTERNORRLANDS LÄN</t>
        </is>
      </c>
      <c r="E4413" t="inlineStr">
        <is>
          <t>ÖRNSKÖLDSVIK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47143-2021</t>
        </is>
      </c>
      <c r="B4414" s="1" t="n">
        <v>44446</v>
      </c>
      <c r="C4414" s="1" t="n">
        <v>45657</v>
      </c>
      <c r="D4414" t="inlineStr">
        <is>
          <t>VÄSTERNORRLANDS LÄN</t>
        </is>
      </c>
      <c r="E4414" t="inlineStr">
        <is>
          <t>ÖRNSKÖLDSVIK</t>
        </is>
      </c>
      <c r="G4414" t="n">
        <v>32.5</v>
      </c>
      <c r="H4414" t="n">
        <v>0</v>
      </c>
      <c r="I4414" t="n">
        <v>0</v>
      </c>
      <c r="J4414" t="n">
        <v>0</v>
      </c>
      <c r="K4414" t="n">
        <v>0</v>
      </c>
      <c r="L4414" t="n">
        <v>0</v>
      </c>
      <c r="M4414" t="n">
        <v>0</v>
      </c>
      <c r="N4414" t="n">
        <v>0</v>
      </c>
      <c r="O4414" t="n">
        <v>0</v>
      </c>
      <c r="P4414" t="n">
        <v>0</v>
      </c>
      <c r="Q4414" t="n">
        <v>0</v>
      </c>
      <c r="R4414" s="2" t="inlineStr"/>
    </row>
    <row r="4415" ht="15" customHeight="1">
      <c r="A4415" t="inlineStr">
        <is>
          <t>A 47410-2021</t>
        </is>
      </c>
      <c r="B4415" s="1" t="n">
        <v>44447</v>
      </c>
      <c r="C4415" s="1" t="n">
        <v>45657</v>
      </c>
      <c r="D4415" t="inlineStr">
        <is>
          <t>VÄSTERNORRLANDS LÄN</t>
        </is>
      </c>
      <c r="E4415" t="inlineStr">
        <is>
          <t>ÖRNSKÖLDSVIK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47203-2021</t>
        </is>
      </c>
      <c r="B4416" s="1" t="n">
        <v>44447</v>
      </c>
      <c r="C4416" s="1" t="n">
        <v>45657</v>
      </c>
      <c r="D4416" t="inlineStr">
        <is>
          <t>VÄSTERNORRLANDS LÄN</t>
        </is>
      </c>
      <c r="E4416" t="inlineStr">
        <is>
          <t>TIMRÅ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47397-2021</t>
        </is>
      </c>
      <c r="B4417" s="1" t="n">
        <v>44447</v>
      </c>
      <c r="C4417" s="1" t="n">
        <v>45657</v>
      </c>
      <c r="D4417" t="inlineStr">
        <is>
          <t>VÄSTERNORRLANDS LÄN</t>
        </is>
      </c>
      <c r="E4417" t="inlineStr">
        <is>
          <t>ÖRNSKÖLDSVIK</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47413-2021</t>
        </is>
      </c>
      <c r="B4418" s="1" t="n">
        <v>44447</v>
      </c>
      <c r="C4418" s="1" t="n">
        <v>45657</v>
      </c>
      <c r="D4418" t="inlineStr">
        <is>
          <t>VÄSTERNORRLANDS LÄN</t>
        </is>
      </c>
      <c r="E4418" t="inlineStr">
        <is>
          <t>ÖRNSKÖLDSVIK</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47488-2021</t>
        </is>
      </c>
      <c r="B4419" s="1" t="n">
        <v>44447</v>
      </c>
      <c r="C4419" s="1" t="n">
        <v>45657</v>
      </c>
      <c r="D4419" t="inlineStr">
        <is>
          <t>VÄSTERNORRLANDS LÄN</t>
        </is>
      </c>
      <c r="E4419" t="inlineStr">
        <is>
          <t>ÖRNSKÖLDSVIK</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47572-2021</t>
        </is>
      </c>
      <c r="B4420" s="1" t="n">
        <v>44447</v>
      </c>
      <c r="C4420" s="1" t="n">
        <v>45657</v>
      </c>
      <c r="D4420" t="inlineStr">
        <is>
          <t>VÄSTERNORRLANDS LÄN</t>
        </is>
      </c>
      <c r="E4420" t="inlineStr">
        <is>
          <t>KRAMFORS</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47569-2021</t>
        </is>
      </c>
      <c r="B4421" s="1" t="n">
        <v>44447</v>
      </c>
      <c r="C4421" s="1" t="n">
        <v>45657</v>
      </c>
      <c r="D4421" t="inlineStr">
        <is>
          <t>VÄSTERNORRLANDS LÄN</t>
        </is>
      </c>
      <c r="E4421" t="inlineStr">
        <is>
          <t>TIMRÅ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47565-2021</t>
        </is>
      </c>
      <c r="B4422" s="1" t="n">
        <v>44447</v>
      </c>
      <c r="C4422" s="1" t="n">
        <v>45657</v>
      </c>
      <c r="D4422" t="inlineStr">
        <is>
          <t>VÄSTERNORRLANDS LÄN</t>
        </is>
      </c>
      <c r="E4422" t="inlineStr">
        <is>
          <t>SUNDSVALL</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47547-2021</t>
        </is>
      </c>
      <c r="B4423" s="1" t="n">
        <v>44447</v>
      </c>
      <c r="C4423" s="1" t="n">
        <v>45657</v>
      </c>
      <c r="D4423" t="inlineStr">
        <is>
          <t>VÄSTERNORRLANDS LÄN</t>
        </is>
      </c>
      <c r="E4423" t="inlineStr">
        <is>
          <t>HÄRNÖSAND</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47570-2021</t>
        </is>
      </c>
      <c r="B4424" s="1" t="n">
        <v>44448</v>
      </c>
      <c r="C4424" s="1" t="n">
        <v>45657</v>
      </c>
      <c r="D4424" t="inlineStr">
        <is>
          <t>VÄSTERNORRLANDS LÄN</t>
        </is>
      </c>
      <c r="E4424" t="inlineStr">
        <is>
          <t>TIMRÅ</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47643-2021</t>
        </is>
      </c>
      <c r="B4425" s="1" t="n">
        <v>44448</v>
      </c>
      <c r="C4425" s="1" t="n">
        <v>45657</v>
      </c>
      <c r="D4425" t="inlineStr">
        <is>
          <t>VÄSTERNORRLANDS LÄN</t>
        </is>
      </c>
      <c r="E4425" t="inlineStr">
        <is>
          <t>SOLLEFTEÅ</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47675-2021</t>
        </is>
      </c>
      <c r="B4426" s="1" t="n">
        <v>44448</v>
      </c>
      <c r="C4426" s="1" t="n">
        <v>45657</v>
      </c>
      <c r="D4426" t="inlineStr">
        <is>
          <t>VÄSTERNORRLANDS LÄN</t>
        </is>
      </c>
      <c r="E4426" t="inlineStr">
        <is>
          <t>SOLLEFTEÅ</t>
        </is>
      </c>
      <c r="F4426" t="inlineStr">
        <is>
          <t>Holmen skog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47626-2021</t>
        </is>
      </c>
      <c r="B4427" s="1" t="n">
        <v>44448</v>
      </c>
      <c r="C4427" s="1" t="n">
        <v>45657</v>
      </c>
      <c r="D4427" t="inlineStr">
        <is>
          <t>VÄSTERNORRLANDS LÄN</t>
        </is>
      </c>
      <c r="E4427" t="inlineStr">
        <is>
          <t>SOLLEFTEÅ</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47672-2021</t>
        </is>
      </c>
      <c r="B4428" s="1" t="n">
        <v>44448</v>
      </c>
      <c r="C4428" s="1" t="n">
        <v>45657</v>
      </c>
      <c r="D4428" t="inlineStr">
        <is>
          <t>VÄSTERNORRLANDS LÄN</t>
        </is>
      </c>
      <c r="E4428" t="inlineStr">
        <is>
          <t>ÖRNSKÖLDSVIK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47696-2021</t>
        </is>
      </c>
      <c r="B4429" s="1" t="n">
        <v>44448</v>
      </c>
      <c r="C4429" s="1" t="n">
        <v>45657</v>
      </c>
      <c r="D4429" t="inlineStr">
        <is>
          <t>VÄSTERNORRLANDS LÄN</t>
        </is>
      </c>
      <c r="E4429" t="inlineStr">
        <is>
          <t>SOLLEFTEÅ</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47702-2021</t>
        </is>
      </c>
      <c r="B4430" s="1" t="n">
        <v>44448</v>
      </c>
      <c r="C4430" s="1" t="n">
        <v>45657</v>
      </c>
      <c r="D4430" t="inlineStr">
        <is>
          <t>VÄSTERNORRLANDS LÄN</t>
        </is>
      </c>
      <c r="E4430" t="inlineStr">
        <is>
          <t>HÄRNÖSAND</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47681-2021</t>
        </is>
      </c>
      <c r="B4431" s="1" t="n">
        <v>44448</v>
      </c>
      <c r="C4431" s="1" t="n">
        <v>45657</v>
      </c>
      <c r="D4431" t="inlineStr">
        <is>
          <t>VÄSTERNORRLANDS LÄN</t>
        </is>
      </c>
      <c r="E4431" t="inlineStr">
        <is>
          <t>SOLLEFTEÅ</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47767-2021</t>
        </is>
      </c>
      <c r="B4432" s="1" t="n">
        <v>44448</v>
      </c>
      <c r="C4432" s="1" t="n">
        <v>45657</v>
      </c>
      <c r="D4432" t="inlineStr">
        <is>
          <t>VÄSTERNORRLANDS LÄN</t>
        </is>
      </c>
      <c r="E4432" t="inlineStr">
        <is>
          <t>ÖRNSKÖLDSVIK</t>
        </is>
      </c>
      <c r="F4432" t="inlineStr">
        <is>
          <t>Holmen skog AB</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47814-2021</t>
        </is>
      </c>
      <c r="B4433" s="1" t="n">
        <v>44448</v>
      </c>
      <c r="C4433" s="1" t="n">
        <v>45657</v>
      </c>
      <c r="D4433" t="inlineStr">
        <is>
          <t>VÄSTERNORRLANDS LÄN</t>
        </is>
      </c>
      <c r="E4433" t="inlineStr">
        <is>
          <t>ÖRNSKÖLDSVIK</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47783-2021</t>
        </is>
      </c>
      <c r="B4434" s="1" t="n">
        <v>44448</v>
      </c>
      <c r="C4434" s="1" t="n">
        <v>45657</v>
      </c>
      <c r="D4434" t="inlineStr">
        <is>
          <t>VÄSTERNORRLANDS LÄN</t>
        </is>
      </c>
      <c r="E4434" t="inlineStr">
        <is>
          <t>ÖRNSKÖLDSVIK</t>
        </is>
      </c>
      <c r="F4434" t="inlineStr">
        <is>
          <t>Holmen skog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47944-2021</t>
        </is>
      </c>
      <c r="B4435" s="1" t="n">
        <v>44448</v>
      </c>
      <c r="C4435" s="1" t="n">
        <v>45657</v>
      </c>
      <c r="D4435" t="inlineStr">
        <is>
          <t>VÄSTERNORRLANDS LÄN</t>
        </is>
      </c>
      <c r="E4435" t="inlineStr">
        <is>
          <t>SUNDSVALL</t>
        </is>
      </c>
      <c r="F4435" t="inlineStr">
        <is>
          <t>SCA</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47837-2021</t>
        </is>
      </c>
      <c r="B4436" s="1" t="n">
        <v>44448</v>
      </c>
      <c r="C4436" s="1" t="n">
        <v>45657</v>
      </c>
      <c r="D4436" t="inlineStr">
        <is>
          <t>VÄSTERNORRLANDS LÄN</t>
        </is>
      </c>
      <c r="E4436" t="inlineStr">
        <is>
          <t>ÖRNSKÖLDSVIK</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48350-2021</t>
        </is>
      </c>
      <c r="B4437" s="1" t="n">
        <v>44451</v>
      </c>
      <c r="C4437" s="1" t="n">
        <v>45657</v>
      </c>
      <c r="D4437" t="inlineStr">
        <is>
          <t>VÄSTERNORRLANDS LÄN</t>
        </is>
      </c>
      <c r="E4437" t="inlineStr">
        <is>
          <t>ÖRNSKÖLDSVIK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48555-2021</t>
        </is>
      </c>
      <c r="B4438" s="1" t="n">
        <v>44452</v>
      </c>
      <c r="C4438" s="1" t="n">
        <v>45657</v>
      </c>
      <c r="D4438" t="inlineStr">
        <is>
          <t>VÄSTERNORRLANDS LÄN</t>
        </is>
      </c>
      <c r="E4438" t="inlineStr">
        <is>
          <t>SOLLEFTEÅ</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48578-2021</t>
        </is>
      </c>
      <c r="B4439" s="1" t="n">
        <v>44452</v>
      </c>
      <c r="C4439" s="1" t="n">
        <v>45657</v>
      </c>
      <c r="D4439" t="inlineStr">
        <is>
          <t>VÄSTERNORRLANDS LÄN</t>
        </is>
      </c>
      <c r="E4439" t="inlineStr">
        <is>
          <t>SOLLEFTEÅ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48479-2021</t>
        </is>
      </c>
      <c r="B4440" s="1" t="n">
        <v>44452</v>
      </c>
      <c r="C4440" s="1" t="n">
        <v>45657</v>
      </c>
      <c r="D4440" t="inlineStr">
        <is>
          <t>VÄSTERNORRLANDS LÄN</t>
        </is>
      </c>
      <c r="E4440" t="inlineStr">
        <is>
          <t>ÖRNSKÖLDSVIK</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48541-2021</t>
        </is>
      </c>
      <c r="B4441" s="1" t="n">
        <v>44452</v>
      </c>
      <c r="C4441" s="1" t="n">
        <v>45657</v>
      </c>
      <c r="D4441" t="inlineStr">
        <is>
          <t>VÄSTERNORRLANDS LÄN</t>
        </is>
      </c>
      <c r="E4441" t="inlineStr">
        <is>
          <t>ÖRNSKÖLDSVIK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48554-2021</t>
        </is>
      </c>
      <c r="B4442" s="1" t="n">
        <v>44452</v>
      </c>
      <c r="C4442" s="1" t="n">
        <v>45657</v>
      </c>
      <c r="D4442" t="inlineStr">
        <is>
          <t>VÄSTERNORRLANDS LÄN</t>
        </is>
      </c>
      <c r="E4442" t="inlineStr">
        <is>
          <t>ÖRNSKÖLDSVIK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48589-2021</t>
        </is>
      </c>
      <c r="B4443" s="1" t="n">
        <v>44452</v>
      </c>
      <c r="C4443" s="1" t="n">
        <v>45657</v>
      </c>
      <c r="D4443" t="inlineStr">
        <is>
          <t>VÄSTERNORRLANDS LÄN</t>
        </is>
      </c>
      <c r="E4443" t="inlineStr">
        <is>
          <t>ÖRNSKÖLDSVIK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48662-2021</t>
        </is>
      </c>
      <c r="B4444" s="1" t="n">
        <v>44452</v>
      </c>
      <c r="C4444" s="1" t="n">
        <v>45657</v>
      </c>
      <c r="D4444" t="inlineStr">
        <is>
          <t>VÄSTERNORRLANDS LÄN</t>
        </is>
      </c>
      <c r="E4444" t="inlineStr">
        <is>
          <t>SUNDSVALL</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48682-2021</t>
        </is>
      </c>
      <c r="B4445" s="1" t="n">
        <v>44452</v>
      </c>
      <c r="C4445" s="1" t="n">
        <v>45657</v>
      </c>
      <c r="D4445" t="inlineStr">
        <is>
          <t>VÄSTERNORRLANDS LÄN</t>
        </is>
      </c>
      <c r="E4445" t="inlineStr">
        <is>
          <t>ÖRNSKÖLDSVIK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48691-2021</t>
        </is>
      </c>
      <c r="B4446" s="1" t="n">
        <v>44452</v>
      </c>
      <c r="C4446" s="1" t="n">
        <v>45657</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48705-2021</t>
        </is>
      </c>
      <c r="B4447" s="1" t="n">
        <v>44452</v>
      </c>
      <c r="C4447" s="1" t="n">
        <v>45657</v>
      </c>
      <c r="D4447" t="inlineStr">
        <is>
          <t>VÄSTERNORRLANDS LÄN</t>
        </is>
      </c>
      <c r="E4447" t="inlineStr">
        <is>
          <t>SUNDSVALL</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48858-2021</t>
        </is>
      </c>
      <c r="B4448" s="1" t="n">
        <v>44452</v>
      </c>
      <c r="C4448" s="1" t="n">
        <v>45657</v>
      </c>
      <c r="D4448" t="inlineStr">
        <is>
          <t>VÄSTERNORRLANDS LÄN</t>
        </is>
      </c>
      <c r="E4448" t="inlineStr">
        <is>
          <t>HÄRNÖSAND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48878-2021</t>
        </is>
      </c>
      <c r="B4449" s="1" t="n">
        <v>44453</v>
      </c>
      <c r="C4449" s="1" t="n">
        <v>45657</v>
      </c>
      <c r="D4449" t="inlineStr">
        <is>
          <t>VÄSTERNORRLANDS LÄN</t>
        </is>
      </c>
      <c r="E4449" t="inlineStr">
        <is>
          <t>SUNDSVALL</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48864-2021</t>
        </is>
      </c>
      <c r="B4450" s="1" t="n">
        <v>44453</v>
      </c>
      <c r="C4450" s="1" t="n">
        <v>45657</v>
      </c>
      <c r="D4450" t="inlineStr">
        <is>
          <t>VÄSTERNORRLANDS LÄN</t>
        </is>
      </c>
      <c r="E4450" t="inlineStr">
        <is>
          <t>SUNDSVALL</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48897-2021</t>
        </is>
      </c>
      <c r="B4451" s="1" t="n">
        <v>44452</v>
      </c>
      <c r="C4451" s="1" t="n">
        <v>45657</v>
      </c>
      <c r="D4451" t="inlineStr">
        <is>
          <t>VÄSTERNORRLANDS LÄN</t>
        </is>
      </c>
      <c r="E4451" t="inlineStr">
        <is>
          <t>KRAMFORS</t>
        </is>
      </c>
      <c r="G4451" t="n">
        <v>18.3</v>
      </c>
      <c r="H4451" t="n">
        <v>0</v>
      </c>
      <c r="I4451" t="n">
        <v>0</v>
      </c>
      <c r="J4451" t="n">
        <v>0</v>
      </c>
      <c r="K4451" t="n">
        <v>0</v>
      </c>
      <c r="L4451" t="n">
        <v>0</v>
      </c>
      <c r="M4451" t="n">
        <v>0</v>
      </c>
      <c r="N4451" t="n">
        <v>0</v>
      </c>
      <c r="O4451" t="n">
        <v>0</v>
      </c>
      <c r="P4451" t="n">
        <v>0</v>
      </c>
      <c r="Q4451" t="n">
        <v>0</v>
      </c>
      <c r="R4451" s="2" t="inlineStr"/>
    </row>
    <row r="4452" ht="15" customHeight="1">
      <c r="A4452" t="inlineStr">
        <is>
          <t>A 48860-2021</t>
        </is>
      </c>
      <c r="B4452" s="1" t="n">
        <v>44453</v>
      </c>
      <c r="C4452" s="1" t="n">
        <v>45657</v>
      </c>
      <c r="D4452" t="inlineStr">
        <is>
          <t>VÄSTERNORRLANDS LÄN</t>
        </is>
      </c>
      <c r="E4452" t="inlineStr">
        <is>
          <t>HÄRNÖSAND</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48876-2021</t>
        </is>
      </c>
      <c r="B4453" s="1" t="n">
        <v>44452</v>
      </c>
      <c r="C4453" s="1" t="n">
        <v>45657</v>
      </c>
      <c r="D4453" t="inlineStr">
        <is>
          <t>VÄSTERNORRLANDS LÄN</t>
        </is>
      </c>
      <c r="E4453" t="inlineStr">
        <is>
          <t>ÅNGE</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48990-2021</t>
        </is>
      </c>
      <c r="B4454" s="1" t="n">
        <v>44453</v>
      </c>
      <c r="C4454" s="1" t="n">
        <v>45657</v>
      </c>
      <c r="D4454" t="inlineStr">
        <is>
          <t>VÄSTERNORRLANDS LÄN</t>
        </is>
      </c>
      <c r="E4454" t="inlineStr">
        <is>
          <t>ÅNGE</t>
        </is>
      </c>
      <c r="F4454" t="inlineStr">
        <is>
          <t>Sveaskog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49002-2021</t>
        </is>
      </c>
      <c r="B4455" s="1" t="n">
        <v>44453</v>
      </c>
      <c r="C4455" s="1" t="n">
        <v>45657</v>
      </c>
      <c r="D4455" t="inlineStr">
        <is>
          <t>VÄSTERNORRLANDS LÄN</t>
        </is>
      </c>
      <c r="E4455" t="inlineStr">
        <is>
          <t>ÖRNSKÖLDSVIK</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48988-2021</t>
        </is>
      </c>
      <c r="B4456" s="1" t="n">
        <v>44453</v>
      </c>
      <c r="C4456" s="1" t="n">
        <v>45657</v>
      </c>
      <c r="D4456" t="inlineStr">
        <is>
          <t>VÄSTERNORRLANDS LÄN</t>
        </is>
      </c>
      <c r="E4456" t="inlineStr">
        <is>
          <t>ÅNGE</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49056-2021</t>
        </is>
      </c>
      <c r="B4457" s="1" t="n">
        <v>44453</v>
      </c>
      <c r="C4457" s="1" t="n">
        <v>45657</v>
      </c>
      <c r="D4457" t="inlineStr">
        <is>
          <t>VÄSTERNORRLANDS LÄN</t>
        </is>
      </c>
      <c r="E4457" t="inlineStr">
        <is>
          <t>TIMRÅ</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49137-2021</t>
        </is>
      </c>
      <c r="B4458" s="1" t="n">
        <v>44453</v>
      </c>
      <c r="C4458" s="1" t="n">
        <v>45657</v>
      </c>
      <c r="D4458" t="inlineStr">
        <is>
          <t>VÄSTERNORRLANDS LÄN</t>
        </is>
      </c>
      <c r="E4458" t="inlineStr">
        <is>
          <t>ÅNGE</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49160-2021</t>
        </is>
      </c>
      <c r="B4459" s="1" t="n">
        <v>44454</v>
      </c>
      <c r="C4459" s="1" t="n">
        <v>45657</v>
      </c>
      <c r="D4459" t="inlineStr">
        <is>
          <t>VÄSTERNORRLANDS LÄN</t>
        </is>
      </c>
      <c r="E4459" t="inlineStr">
        <is>
          <t>SOLLEFTEÅ</t>
        </is>
      </c>
      <c r="F4459" t="inlineStr">
        <is>
          <t>SCA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49480-2021</t>
        </is>
      </c>
      <c r="B4460" s="1" t="n">
        <v>44454</v>
      </c>
      <c r="C4460" s="1" t="n">
        <v>45657</v>
      </c>
      <c r="D4460" t="inlineStr">
        <is>
          <t>VÄSTERNORRLANDS LÄN</t>
        </is>
      </c>
      <c r="E4460" t="inlineStr">
        <is>
          <t>SUNDSVALL</t>
        </is>
      </c>
      <c r="F4460" t="inlineStr">
        <is>
          <t>SCA</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49492-2021</t>
        </is>
      </c>
      <c r="B4461" s="1" t="n">
        <v>44455</v>
      </c>
      <c r="C4461" s="1" t="n">
        <v>45657</v>
      </c>
      <c r="D4461" t="inlineStr">
        <is>
          <t>VÄSTERNORRLANDS LÄN</t>
        </is>
      </c>
      <c r="E4461" t="inlineStr">
        <is>
          <t>SOLLEFTEÅ</t>
        </is>
      </c>
      <c r="F4461" t="inlineStr">
        <is>
          <t>SCA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49368-2021</t>
        </is>
      </c>
      <c r="B4462" s="1" t="n">
        <v>44454</v>
      </c>
      <c r="C4462" s="1" t="n">
        <v>45657</v>
      </c>
      <c r="D4462" t="inlineStr">
        <is>
          <t>VÄSTERNORRLANDS LÄN</t>
        </is>
      </c>
      <c r="E4462" t="inlineStr">
        <is>
          <t>SUNDSVALL</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49380-2021</t>
        </is>
      </c>
      <c r="B4463" s="1" t="n">
        <v>44454</v>
      </c>
      <c r="C4463" s="1" t="n">
        <v>45657</v>
      </c>
      <c r="D4463" t="inlineStr">
        <is>
          <t>VÄSTERNORRLANDS LÄN</t>
        </is>
      </c>
      <c r="E4463" t="inlineStr">
        <is>
          <t>SUNDSVALL</t>
        </is>
      </c>
      <c r="F4463" t="inlineStr">
        <is>
          <t>Kommuner</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49486-2021</t>
        </is>
      </c>
      <c r="B4464" s="1" t="n">
        <v>44455</v>
      </c>
      <c r="C4464" s="1" t="n">
        <v>45657</v>
      </c>
      <c r="D4464" t="inlineStr">
        <is>
          <t>VÄSTERNORRLANDS LÄN</t>
        </is>
      </c>
      <c r="E4464" t="inlineStr">
        <is>
          <t>TIMRÅ</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50333-2021</t>
        </is>
      </c>
      <c r="B4465" s="1" t="n">
        <v>44454</v>
      </c>
      <c r="C4465" s="1" t="n">
        <v>45657</v>
      </c>
      <c r="D4465" t="inlineStr">
        <is>
          <t>VÄSTERNORRLANDS LÄN</t>
        </is>
      </c>
      <c r="E4465" t="inlineStr">
        <is>
          <t>ÅNGE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49552-2021</t>
        </is>
      </c>
      <c r="B4466" s="1" t="n">
        <v>44455</v>
      </c>
      <c r="C4466" s="1" t="n">
        <v>45657</v>
      </c>
      <c r="D4466" t="inlineStr">
        <is>
          <t>VÄSTERNORRLANDS LÄN</t>
        </is>
      </c>
      <c r="E4466" t="inlineStr">
        <is>
          <t>ÖRNSKÖLDSVIK</t>
        </is>
      </c>
      <c r="F4466" t="inlineStr">
        <is>
          <t>Holmen skog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49518-2021</t>
        </is>
      </c>
      <c r="B4467" s="1" t="n">
        <v>44455</v>
      </c>
      <c r="C4467" s="1" t="n">
        <v>45657</v>
      </c>
      <c r="D4467" t="inlineStr">
        <is>
          <t>VÄSTERNORRLANDS LÄN</t>
        </is>
      </c>
      <c r="E4467" t="inlineStr">
        <is>
          <t>SOLLEFTEÅ</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49711-2021</t>
        </is>
      </c>
      <c r="B4468" s="1" t="n">
        <v>44455</v>
      </c>
      <c r="C4468" s="1" t="n">
        <v>45657</v>
      </c>
      <c r="D4468" t="inlineStr">
        <is>
          <t>VÄSTERNORRLANDS LÄN</t>
        </is>
      </c>
      <c r="E4468" t="inlineStr">
        <is>
          <t>SOLLEFTEÅ</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49963-2021</t>
        </is>
      </c>
      <c r="B4469" s="1" t="n">
        <v>44456</v>
      </c>
      <c r="C4469" s="1" t="n">
        <v>45657</v>
      </c>
      <c r="D4469" t="inlineStr">
        <is>
          <t>VÄSTERNORRLANDS LÄN</t>
        </is>
      </c>
      <c r="E4469" t="inlineStr">
        <is>
          <t>ÖRNSKÖLDSVIK</t>
        </is>
      </c>
      <c r="F4469" t="inlineStr">
        <is>
          <t>Holmen skog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50175-2021</t>
        </is>
      </c>
      <c r="B4470" s="1" t="n">
        <v>44456</v>
      </c>
      <c r="C4470" s="1" t="n">
        <v>45657</v>
      </c>
      <c r="D4470" t="inlineStr">
        <is>
          <t>VÄSTERNORRLANDS LÄN</t>
        </is>
      </c>
      <c r="E4470" t="inlineStr">
        <is>
          <t>KRAMFORS</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50127-2021</t>
        </is>
      </c>
      <c r="B4471" s="1" t="n">
        <v>44456</v>
      </c>
      <c r="C4471" s="1" t="n">
        <v>45657</v>
      </c>
      <c r="D4471" t="inlineStr">
        <is>
          <t>VÄSTERNORRLANDS LÄN</t>
        </is>
      </c>
      <c r="E4471" t="inlineStr">
        <is>
          <t>SUNDSVALL</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50125-2021</t>
        </is>
      </c>
      <c r="B4472" s="1" t="n">
        <v>44456</v>
      </c>
      <c r="C4472" s="1" t="n">
        <v>45657</v>
      </c>
      <c r="D4472" t="inlineStr">
        <is>
          <t>VÄSTERNORRLANDS LÄN</t>
        </is>
      </c>
      <c r="E4472" t="inlineStr">
        <is>
          <t>ÅNGE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50196-2021</t>
        </is>
      </c>
      <c r="B4473" s="1" t="n">
        <v>44457</v>
      </c>
      <c r="C4473" s="1" t="n">
        <v>45657</v>
      </c>
      <c r="D4473" t="inlineStr">
        <is>
          <t>VÄSTERNORRLANDS LÄN</t>
        </is>
      </c>
      <c r="E4473" t="inlineStr">
        <is>
          <t>ÅNGE</t>
        </is>
      </c>
      <c r="F4473" t="inlineStr">
        <is>
          <t>SCA</t>
        </is>
      </c>
      <c r="G4473" t="n">
        <v>10.6</v>
      </c>
      <c r="H4473" t="n">
        <v>0</v>
      </c>
      <c r="I4473" t="n">
        <v>0</v>
      </c>
      <c r="J4473" t="n">
        <v>0</v>
      </c>
      <c r="K4473" t="n">
        <v>0</v>
      </c>
      <c r="L4473" t="n">
        <v>0</v>
      </c>
      <c r="M4473" t="n">
        <v>0</v>
      </c>
      <c r="N4473" t="n">
        <v>0</v>
      </c>
      <c r="O4473" t="n">
        <v>0</v>
      </c>
      <c r="P4473" t="n">
        <v>0</v>
      </c>
      <c r="Q4473" t="n">
        <v>0</v>
      </c>
      <c r="R4473" s="2" t="inlineStr"/>
    </row>
    <row r="4474" ht="15" customHeight="1">
      <c r="A4474" t="inlineStr">
        <is>
          <t>A 50186-2021</t>
        </is>
      </c>
      <c r="B4474" s="1" t="n">
        <v>44456</v>
      </c>
      <c r="C4474" s="1" t="n">
        <v>45657</v>
      </c>
      <c r="D4474" t="inlineStr">
        <is>
          <t>VÄSTERNORRLANDS LÄN</t>
        </is>
      </c>
      <c r="E4474" t="inlineStr">
        <is>
          <t>ÅNGE</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50314-2021</t>
        </is>
      </c>
      <c r="B4475" s="1" t="n">
        <v>44456</v>
      </c>
      <c r="C4475" s="1" t="n">
        <v>45657</v>
      </c>
      <c r="D4475" t="inlineStr">
        <is>
          <t>VÄSTERNORRLANDS LÄN</t>
        </is>
      </c>
      <c r="E4475" t="inlineStr">
        <is>
          <t>KRAMFORS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50234-2021</t>
        </is>
      </c>
      <c r="B4476" s="1" t="n">
        <v>44458</v>
      </c>
      <c r="C4476" s="1" t="n">
        <v>45657</v>
      </c>
      <c r="D4476" t="inlineStr">
        <is>
          <t>VÄSTERNORRLANDS LÄN</t>
        </is>
      </c>
      <c r="E4476" t="inlineStr">
        <is>
          <t>ÅNGE</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50235-2021</t>
        </is>
      </c>
      <c r="B4477" s="1" t="n">
        <v>44457</v>
      </c>
      <c r="C4477" s="1" t="n">
        <v>45657</v>
      </c>
      <c r="D4477" t="inlineStr">
        <is>
          <t>VÄSTERNORRLANDS LÄN</t>
        </is>
      </c>
      <c r="E4477" t="inlineStr">
        <is>
          <t>ÅNGE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50237-2021</t>
        </is>
      </c>
      <c r="B4478" s="1" t="n">
        <v>44458</v>
      </c>
      <c r="C4478" s="1" t="n">
        <v>45657</v>
      </c>
      <c r="D4478" t="inlineStr">
        <is>
          <t>VÄSTERNORRLANDS LÄN</t>
        </is>
      </c>
      <c r="E4478" t="inlineStr">
        <is>
          <t>SUNDSVALL</t>
        </is>
      </c>
      <c r="F4478" t="inlineStr">
        <is>
          <t>SCA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50332-2021</t>
        </is>
      </c>
      <c r="B4479" s="1" t="n">
        <v>44459</v>
      </c>
      <c r="C4479" s="1" t="n">
        <v>45657</v>
      </c>
      <c r="D4479" t="inlineStr">
        <is>
          <t>VÄSTERNORRLANDS LÄN</t>
        </is>
      </c>
      <c r="E4479" t="inlineStr">
        <is>
          <t>ÖRNSKÖLDSVIK</t>
        </is>
      </c>
      <c r="G4479" t="n">
        <v>10.2</v>
      </c>
      <c r="H4479" t="n">
        <v>0</v>
      </c>
      <c r="I4479" t="n">
        <v>0</v>
      </c>
      <c r="J4479" t="n">
        <v>0</v>
      </c>
      <c r="K4479" t="n">
        <v>0</v>
      </c>
      <c r="L4479" t="n">
        <v>0</v>
      </c>
      <c r="M4479" t="n">
        <v>0</v>
      </c>
      <c r="N4479" t="n">
        <v>0</v>
      </c>
      <c r="O4479" t="n">
        <v>0</v>
      </c>
      <c r="P4479" t="n">
        <v>0</v>
      </c>
      <c r="Q4479" t="n">
        <v>0</v>
      </c>
      <c r="R4479" s="2" t="inlineStr"/>
    </row>
    <row r="4480" ht="15" customHeight="1">
      <c r="A4480" t="inlineStr">
        <is>
          <t>A 50456-2021</t>
        </is>
      </c>
      <c r="B4480" s="1" t="n">
        <v>44459</v>
      </c>
      <c r="C4480" s="1" t="n">
        <v>45657</v>
      </c>
      <c r="D4480" t="inlineStr">
        <is>
          <t>VÄSTERNORRLANDS LÄN</t>
        </is>
      </c>
      <c r="E4480" t="inlineStr">
        <is>
          <t>ÖRNSKÖLDSVIK</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50360-2021</t>
        </is>
      </c>
      <c r="B4481" s="1" t="n">
        <v>44459</v>
      </c>
      <c r="C4481" s="1" t="n">
        <v>45657</v>
      </c>
      <c r="D4481" t="inlineStr">
        <is>
          <t>VÄSTERNORRLANDS LÄN</t>
        </is>
      </c>
      <c r="E4481" t="inlineStr">
        <is>
          <t>SOLLEFTEÅ</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50411-2021</t>
        </is>
      </c>
      <c r="B4482" s="1" t="n">
        <v>44459</v>
      </c>
      <c r="C4482" s="1" t="n">
        <v>45657</v>
      </c>
      <c r="D4482" t="inlineStr">
        <is>
          <t>VÄSTERNORRLANDS LÄN</t>
        </is>
      </c>
      <c r="E4482" t="inlineStr">
        <is>
          <t>ÖRNSKÖLDSVIK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50567-2021</t>
        </is>
      </c>
      <c r="B4483" s="1" t="n">
        <v>44459</v>
      </c>
      <c r="C4483" s="1" t="n">
        <v>45657</v>
      </c>
      <c r="D4483" t="inlineStr">
        <is>
          <t>VÄSTERNORRLANDS LÄN</t>
        </is>
      </c>
      <c r="E4483" t="inlineStr">
        <is>
          <t>KRAMFORS</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50651-2021</t>
        </is>
      </c>
      <c r="B4484" s="1" t="n">
        <v>44459</v>
      </c>
      <c r="C4484" s="1" t="n">
        <v>45657</v>
      </c>
      <c r="D4484" t="inlineStr">
        <is>
          <t>VÄSTERNORRLANDS LÄN</t>
        </is>
      </c>
      <c r="E4484" t="inlineStr">
        <is>
          <t>ÅNGE</t>
        </is>
      </c>
      <c r="G4484" t="n">
        <v>20.6</v>
      </c>
      <c r="H4484" t="n">
        <v>0</v>
      </c>
      <c r="I4484" t="n">
        <v>0</v>
      </c>
      <c r="J4484" t="n">
        <v>0</v>
      </c>
      <c r="K4484" t="n">
        <v>0</v>
      </c>
      <c r="L4484" t="n">
        <v>0</v>
      </c>
      <c r="M4484" t="n">
        <v>0</v>
      </c>
      <c r="N4484" t="n">
        <v>0</v>
      </c>
      <c r="O4484" t="n">
        <v>0</v>
      </c>
      <c r="P4484" t="n">
        <v>0</v>
      </c>
      <c r="Q4484" t="n">
        <v>0</v>
      </c>
      <c r="R4484" s="2" t="inlineStr"/>
    </row>
    <row r="4485" ht="15" customHeight="1">
      <c r="A4485" t="inlineStr">
        <is>
          <t>A 50727-2021</t>
        </is>
      </c>
      <c r="B4485" s="1" t="n">
        <v>44459</v>
      </c>
      <c r="C4485" s="1" t="n">
        <v>45657</v>
      </c>
      <c r="D4485" t="inlineStr">
        <is>
          <t>VÄSTERNORRLANDS LÄN</t>
        </is>
      </c>
      <c r="E4485" t="inlineStr">
        <is>
          <t>ÖRNSKÖLDSVIK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50571-2021</t>
        </is>
      </c>
      <c r="B4486" s="1" t="n">
        <v>44459</v>
      </c>
      <c r="C4486" s="1" t="n">
        <v>45657</v>
      </c>
      <c r="D4486" t="inlineStr">
        <is>
          <t>VÄSTERNORRLANDS LÄN</t>
        </is>
      </c>
      <c r="E4486" t="inlineStr">
        <is>
          <t>ÖRNSKÖLDSVIK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50659-2021</t>
        </is>
      </c>
      <c r="B4487" s="1" t="n">
        <v>44460</v>
      </c>
      <c r="C4487" s="1" t="n">
        <v>45657</v>
      </c>
      <c r="D4487" t="inlineStr">
        <is>
          <t>VÄSTERNORRLANDS LÄN</t>
        </is>
      </c>
      <c r="E4487" t="inlineStr">
        <is>
          <t>SUNDSVALL</t>
        </is>
      </c>
      <c r="F4487" t="inlineStr">
        <is>
          <t>Naturvårdsverket</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50723-2021</t>
        </is>
      </c>
      <c r="B4488" s="1" t="n">
        <v>44459</v>
      </c>
      <c r="C4488" s="1" t="n">
        <v>45657</v>
      </c>
      <c r="D4488" t="inlineStr">
        <is>
          <t>VÄSTERNORRLANDS LÄN</t>
        </is>
      </c>
      <c r="E4488" t="inlineStr">
        <is>
          <t>ÖRNSKÖLDSVIK</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51104-2021</t>
        </is>
      </c>
      <c r="B4489" s="1" t="n">
        <v>44459</v>
      </c>
      <c r="C4489" s="1" t="n">
        <v>45657</v>
      </c>
      <c r="D4489" t="inlineStr">
        <is>
          <t>VÄSTERNORRLANDS LÄN</t>
        </is>
      </c>
      <c r="E4489" t="inlineStr">
        <is>
          <t>SOLLEFTEÅ</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50733-2021</t>
        </is>
      </c>
      <c r="B4490" s="1" t="n">
        <v>44460</v>
      </c>
      <c r="C4490" s="1" t="n">
        <v>45657</v>
      </c>
      <c r="D4490" t="inlineStr">
        <is>
          <t>VÄSTERNORRLANDS LÄN</t>
        </is>
      </c>
      <c r="E4490" t="inlineStr">
        <is>
          <t>ÅNGE</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50770-2021</t>
        </is>
      </c>
      <c r="B4491" s="1" t="n">
        <v>44460</v>
      </c>
      <c r="C4491" s="1" t="n">
        <v>45657</v>
      </c>
      <c r="D4491" t="inlineStr">
        <is>
          <t>VÄSTERNORRLANDS LÄN</t>
        </is>
      </c>
      <c r="E4491" t="inlineStr">
        <is>
          <t>KRAMFORS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50921-2021</t>
        </is>
      </c>
      <c r="B4492" s="1" t="n">
        <v>44460</v>
      </c>
      <c r="C4492" s="1" t="n">
        <v>45657</v>
      </c>
      <c r="D4492" t="inlineStr">
        <is>
          <t>VÄSTERNORRLANDS LÄN</t>
        </is>
      </c>
      <c r="E4492" t="inlineStr">
        <is>
          <t>SUNDSVALL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50960-2021</t>
        </is>
      </c>
      <c r="B4493" s="1" t="n">
        <v>44460</v>
      </c>
      <c r="C4493" s="1" t="n">
        <v>45657</v>
      </c>
      <c r="D4493" t="inlineStr">
        <is>
          <t>VÄSTERNORRLANDS LÄN</t>
        </is>
      </c>
      <c r="E4493" t="inlineStr">
        <is>
          <t>ÅNGE</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51011-2021</t>
        </is>
      </c>
      <c r="B4494" s="1" t="n">
        <v>44460</v>
      </c>
      <c r="C4494" s="1" t="n">
        <v>45657</v>
      </c>
      <c r="D4494" t="inlineStr">
        <is>
          <t>VÄSTERNORRLANDS LÄN</t>
        </is>
      </c>
      <c r="E4494" t="inlineStr">
        <is>
          <t>SUNDSVALL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51020-2021</t>
        </is>
      </c>
      <c r="B4495" s="1" t="n">
        <v>44460</v>
      </c>
      <c r="C4495" s="1" t="n">
        <v>45657</v>
      </c>
      <c r="D4495" t="inlineStr">
        <is>
          <t>VÄSTERNORRLANDS LÄN</t>
        </is>
      </c>
      <c r="E4495" t="inlineStr">
        <is>
          <t>SOLLEFTEÅ</t>
        </is>
      </c>
      <c r="F4495" t="inlineStr">
        <is>
          <t>SCA</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51029-2021</t>
        </is>
      </c>
      <c r="B4496" s="1" t="n">
        <v>44461</v>
      </c>
      <c r="C4496" s="1" t="n">
        <v>45657</v>
      </c>
      <c r="D4496" t="inlineStr">
        <is>
          <t>VÄSTERNORRLANDS LÄN</t>
        </is>
      </c>
      <c r="E4496" t="inlineStr">
        <is>
          <t>SOLLEFTEÅ</t>
        </is>
      </c>
      <c r="F4496" t="inlineStr">
        <is>
          <t>SCA</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51179-2021</t>
        </is>
      </c>
      <c r="B4497" s="1" t="n">
        <v>44461</v>
      </c>
      <c r="C4497" s="1" t="n">
        <v>45657</v>
      </c>
      <c r="D4497" t="inlineStr">
        <is>
          <t>VÄSTERNORRLANDS LÄN</t>
        </is>
      </c>
      <c r="E4497" t="inlineStr">
        <is>
          <t>ÅNGE</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51110-2021</t>
        </is>
      </c>
      <c r="B4498" s="1" t="n">
        <v>44461</v>
      </c>
      <c r="C4498" s="1" t="n">
        <v>45657</v>
      </c>
      <c r="D4498" t="inlineStr">
        <is>
          <t>VÄSTERNORRLANDS LÄN</t>
        </is>
      </c>
      <c r="E4498" t="inlineStr">
        <is>
          <t>ÖRNSKÖLDSVIK</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51163-2021</t>
        </is>
      </c>
      <c r="B4499" s="1" t="n">
        <v>44461</v>
      </c>
      <c r="C4499" s="1" t="n">
        <v>45657</v>
      </c>
      <c r="D4499" t="inlineStr">
        <is>
          <t>VÄSTERNORRLANDS LÄN</t>
        </is>
      </c>
      <c r="E4499" t="inlineStr">
        <is>
          <t>ÅNGE</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51428-2021</t>
        </is>
      </c>
      <c r="B4500" s="1" t="n">
        <v>44461</v>
      </c>
      <c r="C4500" s="1" t="n">
        <v>45657</v>
      </c>
      <c r="D4500" t="inlineStr">
        <is>
          <t>VÄSTERNORRLANDS LÄN</t>
        </is>
      </c>
      <c r="E4500" t="inlineStr">
        <is>
          <t>ÅNGE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51440-2021</t>
        </is>
      </c>
      <c r="B4501" s="1" t="n">
        <v>44461</v>
      </c>
      <c r="C4501" s="1" t="n">
        <v>45657</v>
      </c>
      <c r="D4501" t="inlineStr">
        <is>
          <t>VÄSTERNORRLANDS LÄN</t>
        </is>
      </c>
      <c r="E4501" t="inlineStr">
        <is>
          <t>SOLLEFTEÅ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51443-2021</t>
        </is>
      </c>
      <c r="B4502" s="1" t="n">
        <v>44461</v>
      </c>
      <c r="C4502" s="1" t="n">
        <v>45657</v>
      </c>
      <c r="D4502" t="inlineStr">
        <is>
          <t>VÄSTERNORRLANDS LÄN</t>
        </is>
      </c>
      <c r="E4502" t="inlineStr">
        <is>
          <t>SOLLEFTEÅ</t>
        </is>
      </c>
      <c r="F4502" t="inlineStr">
        <is>
          <t>SCA</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51601-2021</t>
        </is>
      </c>
      <c r="B4503" s="1" t="n">
        <v>44461</v>
      </c>
      <c r="C4503" s="1" t="n">
        <v>45657</v>
      </c>
      <c r="D4503" t="inlineStr">
        <is>
          <t>VÄSTERNORRLANDS LÄN</t>
        </is>
      </c>
      <c r="E4503" t="inlineStr">
        <is>
          <t>ÖRNSKÖLDSVIK</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51442-2021</t>
        </is>
      </c>
      <c r="B4504" s="1" t="n">
        <v>44462</v>
      </c>
      <c r="C4504" s="1" t="n">
        <v>45657</v>
      </c>
      <c r="D4504" t="inlineStr">
        <is>
          <t>VÄSTERNORRLANDS LÄN</t>
        </is>
      </c>
      <c r="E4504" t="inlineStr">
        <is>
          <t>SOLLEFTEÅ</t>
        </is>
      </c>
      <c r="F4504" t="inlineStr">
        <is>
          <t>SCA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51681-2021</t>
        </is>
      </c>
      <c r="B4505" s="1" t="n">
        <v>44461</v>
      </c>
      <c r="C4505" s="1" t="n">
        <v>45657</v>
      </c>
      <c r="D4505" t="inlineStr">
        <is>
          <t>VÄSTERNORRLANDS LÄN</t>
        </is>
      </c>
      <c r="E4505" t="inlineStr">
        <is>
          <t>SUNDSVALL</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51599-2021</t>
        </is>
      </c>
      <c r="B4506" s="1" t="n">
        <v>44461</v>
      </c>
      <c r="C4506" s="1" t="n">
        <v>45657</v>
      </c>
      <c r="D4506" t="inlineStr">
        <is>
          <t>VÄSTERNORRLANDS LÄN</t>
        </is>
      </c>
      <c r="E4506" t="inlineStr">
        <is>
          <t>SUNDSVALL</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51427-2021</t>
        </is>
      </c>
      <c r="B4507" s="1" t="n">
        <v>44461</v>
      </c>
      <c r="C4507" s="1" t="n">
        <v>45657</v>
      </c>
      <c r="D4507" t="inlineStr">
        <is>
          <t>VÄSTERNORRLANDS LÄN</t>
        </is>
      </c>
      <c r="E4507" t="inlineStr">
        <is>
          <t>ÅNGE</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51621-2021</t>
        </is>
      </c>
      <c r="B4508" s="1" t="n">
        <v>44462</v>
      </c>
      <c r="C4508" s="1" t="n">
        <v>45657</v>
      </c>
      <c r="D4508" t="inlineStr">
        <is>
          <t>VÄSTERNORRLANDS LÄN</t>
        </is>
      </c>
      <c r="E4508" t="inlineStr">
        <is>
          <t>SUNDSVALL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51617-2021</t>
        </is>
      </c>
      <c r="B4509" s="1" t="n">
        <v>44462</v>
      </c>
      <c r="C4509" s="1" t="n">
        <v>45657</v>
      </c>
      <c r="D4509" t="inlineStr">
        <is>
          <t>VÄSTERNORRLANDS LÄN</t>
        </is>
      </c>
      <c r="E4509" t="inlineStr">
        <is>
          <t>ÖRNSKÖLDSVIK</t>
        </is>
      </c>
      <c r="F4509" t="inlineStr">
        <is>
          <t>Holmen skog AB</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51770-2021</t>
        </is>
      </c>
      <c r="B4510" s="1" t="n">
        <v>44462</v>
      </c>
      <c r="C4510" s="1" t="n">
        <v>45657</v>
      </c>
      <c r="D4510" t="inlineStr">
        <is>
          <t>VÄSTERNORRLANDS LÄN</t>
        </is>
      </c>
      <c r="E4510" t="inlineStr">
        <is>
          <t>ÖRNSKÖLDSVIK</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51675-2021</t>
        </is>
      </c>
      <c r="B4511" s="1" t="n">
        <v>44462</v>
      </c>
      <c r="C4511" s="1" t="n">
        <v>45657</v>
      </c>
      <c r="D4511" t="inlineStr">
        <is>
          <t>VÄSTERNORRLANDS LÄN</t>
        </is>
      </c>
      <c r="E4511" t="inlineStr">
        <is>
          <t>HÄRNÖSAND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51687-2021</t>
        </is>
      </c>
      <c r="B4512" s="1" t="n">
        <v>44462</v>
      </c>
      <c r="C4512" s="1" t="n">
        <v>45657</v>
      </c>
      <c r="D4512" t="inlineStr">
        <is>
          <t>VÄSTERNORRLANDS LÄN</t>
        </is>
      </c>
      <c r="E4512" t="inlineStr">
        <is>
          <t>SUNDSVALL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51754-2021</t>
        </is>
      </c>
      <c r="B4513" s="1" t="n">
        <v>44462</v>
      </c>
      <c r="C4513" s="1" t="n">
        <v>45657</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51768-2021</t>
        </is>
      </c>
      <c r="B4514" s="1" t="n">
        <v>44462</v>
      </c>
      <c r="C4514" s="1" t="n">
        <v>45657</v>
      </c>
      <c r="D4514" t="inlineStr">
        <is>
          <t>VÄSTERNORRLANDS LÄN</t>
        </is>
      </c>
      <c r="E4514" t="inlineStr">
        <is>
          <t>SUNDSVALL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51491-2021</t>
        </is>
      </c>
      <c r="B4515" s="1" t="n">
        <v>44462</v>
      </c>
      <c r="C4515" s="1" t="n">
        <v>45657</v>
      </c>
      <c r="D4515" t="inlineStr">
        <is>
          <t>VÄSTERNORRLANDS LÄN</t>
        </is>
      </c>
      <c r="E4515" t="inlineStr">
        <is>
          <t>SOLLEFTEÅ</t>
        </is>
      </c>
      <c r="F4515" t="inlineStr">
        <is>
          <t>Kyrkan</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51690-2021</t>
        </is>
      </c>
      <c r="B4516" s="1" t="n">
        <v>44462</v>
      </c>
      <c r="C4516" s="1" t="n">
        <v>45657</v>
      </c>
      <c r="D4516" t="inlineStr">
        <is>
          <t>VÄSTERNORRLANDS LÄN</t>
        </is>
      </c>
      <c r="E4516" t="inlineStr">
        <is>
          <t>KRAMFORS</t>
        </is>
      </c>
      <c r="G4516" t="n">
        <v>16.7</v>
      </c>
      <c r="H4516" t="n">
        <v>0</v>
      </c>
      <c r="I4516" t="n">
        <v>0</v>
      </c>
      <c r="J4516" t="n">
        <v>0</v>
      </c>
      <c r="K4516" t="n">
        <v>0</v>
      </c>
      <c r="L4516" t="n">
        <v>0</v>
      </c>
      <c r="M4516" t="n">
        <v>0</v>
      </c>
      <c r="N4516" t="n">
        <v>0</v>
      </c>
      <c r="O4516" t="n">
        <v>0</v>
      </c>
      <c r="P4516" t="n">
        <v>0</v>
      </c>
      <c r="Q4516" t="n">
        <v>0</v>
      </c>
      <c r="R4516" s="2" t="inlineStr"/>
    </row>
    <row r="4517" ht="15" customHeight="1">
      <c r="A4517" t="inlineStr">
        <is>
          <t>A 51782-2021</t>
        </is>
      </c>
      <c r="B4517" s="1" t="n">
        <v>44462</v>
      </c>
      <c r="C4517" s="1" t="n">
        <v>45657</v>
      </c>
      <c r="D4517" t="inlineStr">
        <is>
          <t>VÄSTERNORRLANDS LÄN</t>
        </is>
      </c>
      <c r="E4517" t="inlineStr">
        <is>
          <t>ÖRNSKÖLDSVIK</t>
        </is>
      </c>
      <c r="F4517" t="inlineStr">
        <is>
          <t>Holmen skog AB</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51798-2021</t>
        </is>
      </c>
      <c r="B4518" s="1" t="n">
        <v>44462</v>
      </c>
      <c r="C4518" s="1" t="n">
        <v>45657</v>
      </c>
      <c r="D4518" t="inlineStr">
        <is>
          <t>VÄSTERNORRLANDS LÄN</t>
        </is>
      </c>
      <c r="E4518" t="inlineStr">
        <is>
          <t>ÖRNSKÖLDSVIK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51847-2021</t>
        </is>
      </c>
      <c r="B4519" s="1" t="n">
        <v>44462</v>
      </c>
      <c r="C4519" s="1" t="n">
        <v>45657</v>
      </c>
      <c r="D4519" t="inlineStr">
        <is>
          <t>VÄSTERNORRLANDS LÄN</t>
        </is>
      </c>
      <c r="E4519" t="inlineStr">
        <is>
          <t>SOLLEFTEÅ</t>
        </is>
      </c>
      <c r="F4519" t="inlineStr">
        <is>
          <t>Holmen skog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51910-2021</t>
        </is>
      </c>
      <c r="B4520" s="1" t="n">
        <v>44463</v>
      </c>
      <c r="C4520" s="1" t="n">
        <v>45657</v>
      </c>
      <c r="D4520" t="inlineStr">
        <is>
          <t>VÄSTERNORRLANDS LÄN</t>
        </is>
      </c>
      <c r="E4520" t="inlineStr">
        <is>
          <t>SUNDSVALL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51952-2021</t>
        </is>
      </c>
      <c r="B4521" s="1" t="n">
        <v>44463</v>
      </c>
      <c r="C4521" s="1" t="n">
        <v>45657</v>
      </c>
      <c r="D4521" t="inlineStr">
        <is>
          <t>VÄSTERNORRLANDS LÄN</t>
        </is>
      </c>
      <c r="E4521" t="inlineStr">
        <is>
          <t>SOLLEFTEÅ</t>
        </is>
      </c>
      <c r="F4521" t="inlineStr">
        <is>
          <t>SCA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51948-2021</t>
        </is>
      </c>
      <c r="B4522" s="1" t="n">
        <v>44463</v>
      </c>
      <c r="C4522" s="1" t="n">
        <v>45657</v>
      </c>
      <c r="D4522" t="inlineStr">
        <is>
          <t>VÄSTERNORRLANDS LÄN</t>
        </is>
      </c>
      <c r="E4522" t="inlineStr">
        <is>
          <t>SUNDSVALL</t>
        </is>
      </c>
      <c r="F4522" t="inlineStr">
        <is>
          <t>SCA</t>
        </is>
      </c>
      <c r="G4522" t="n">
        <v>19.2</v>
      </c>
      <c r="H4522" t="n">
        <v>0</v>
      </c>
      <c r="I4522" t="n">
        <v>0</v>
      </c>
      <c r="J4522" t="n">
        <v>0</v>
      </c>
      <c r="K4522" t="n">
        <v>0</v>
      </c>
      <c r="L4522" t="n">
        <v>0</v>
      </c>
      <c r="M4522" t="n">
        <v>0</v>
      </c>
      <c r="N4522" t="n">
        <v>0</v>
      </c>
      <c r="O4522" t="n">
        <v>0</v>
      </c>
      <c r="P4522" t="n">
        <v>0</v>
      </c>
      <c r="Q4522" t="n">
        <v>0</v>
      </c>
      <c r="R4522" s="2" t="inlineStr"/>
    </row>
    <row r="4523" ht="15" customHeight="1">
      <c r="A4523" t="inlineStr">
        <is>
          <t>A 52062-2021</t>
        </is>
      </c>
      <c r="B4523" s="1" t="n">
        <v>44463</v>
      </c>
      <c r="C4523" s="1" t="n">
        <v>45657</v>
      </c>
      <c r="D4523" t="inlineStr">
        <is>
          <t>VÄSTERNORRLANDS LÄN</t>
        </is>
      </c>
      <c r="E4523" t="inlineStr">
        <is>
          <t>ÖRNSKÖLDSVIK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52074-2021</t>
        </is>
      </c>
      <c r="B4524" s="1" t="n">
        <v>44463</v>
      </c>
      <c r="C4524" s="1" t="n">
        <v>45657</v>
      </c>
      <c r="D4524" t="inlineStr">
        <is>
          <t>VÄSTERNORRLANDS LÄN</t>
        </is>
      </c>
      <c r="E4524" t="inlineStr">
        <is>
          <t>ÖRNSKÖLDSVIK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52315-2021</t>
        </is>
      </c>
      <c r="B4525" s="1" t="n">
        <v>44463</v>
      </c>
      <c r="C4525" s="1" t="n">
        <v>45657</v>
      </c>
      <c r="D4525" t="inlineStr">
        <is>
          <t>VÄSTERNORRLANDS LÄN</t>
        </is>
      </c>
      <c r="E4525" t="inlineStr">
        <is>
          <t>SUNDSVALL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52114-2021</t>
        </is>
      </c>
      <c r="B4526" s="1" t="n">
        <v>44463</v>
      </c>
      <c r="C4526" s="1" t="n">
        <v>45657</v>
      </c>
      <c r="D4526" t="inlineStr">
        <is>
          <t>VÄSTERNORRLANDS LÄN</t>
        </is>
      </c>
      <c r="E4526" t="inlineStr">
        <is>
          <t>ÖRNSKÖLDSVIK</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52250-2021</t>
        </is>
      </c>
      <c r="B4527" s="1" t="n">
        <v>44463</v>
      </c>
      <c r="C4527" s="1" t="n">
        <v>45657</v>
      </c>
      <c r="D4527" t="inlineStr">
        <is>
          <t>VÄSTERNORRLANDS LÄN</t>
        </is>
      </c>
      <c r="E4527" t="inlineStr">
        <is>
          <t>ÖRNSKÖLDSVIK</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52258-2021</t>
        </is>
      </c>
      <c r="B4528" s="1" t="n">
        <v>44463</v>
      </c>
      <c r="C4528" s="1" t="n">
        <v>45657</v>
      </c>
      <c r="D4528" t="inlineStr">
        <is>
          <t>VÄSTERNORRLANDS LÄN</t>
        </is>
      </c>
      <c r="E4528" t="inlineStr">
        <is>
          <t>ÖRNSKÖLDSVIK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52290-2021</t>
        </is>
      </c>
      <c r="B4529" s="1" t="n">
        <v>44463</v>
      </c>
      <c r="C4529" s="1" t="n">
        <v>45657</v>
      </c>
      <c r="D4529" t="inlineStr">
        <is>
          <t>VÄSTERNORRLANDS LÄN</t>
        </is>
      </c>
      <c r="E4529" t="inlineStr">
        <is>
          <t>ÖRNSKÖLDSVIK</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52318-2021</t>
        </is>
      </c>
      <c r="B4530" s="1" t="n">
        <v>44463</v>
      </c>
      <c r="C4530" s="1" t="n">
        <v>45657</v>
      </c>
      <c r="D4530" t="inlineStr">
        <is>
          <t>VÄSTERNORRLANDS LÄN</t>
        </is>
      </c>
      <c r="E4530" t="inlineStr">
        <is>
          <t>SUNDSVALL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52364-2021</t>
        </is>
      </c>
      <c r="B4531" s="1" t="n">
        <v>44465</v>
      </c>
      <c r="C4531" s="1" t="n">
        <v>45657</v>
      </c>
      <c r="D4531" t="inlineStr">
        <is>
          <t>VÄSTERNORRLANDS LÄN</t>
        </is>
      </c>
      <c r="E4531" t="inlineStr">
        <is>
          <t>KRAMFORS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52413-2021</t>
        </is>
      </c>
      <c r="B4532" s="1" t="n">
        <v>44466</v>
      </c>
      <c r="C4532" s="1" t="n">
        <v>45657</v>
      </c>
      <c r="D4532" t="inlineStr">
        <is>
          <t>VÄSTERNORRLANDS LÄN</t>
        </is>
      </c>
      <c r="E4532" t="inlineStr">
        <is>
          <t>ÖRNSKÖLDSVIK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52651-2021</t>
        </is>
      </c>
      <c r="B4533" s="1" t="n">
        <v>44466</v>
      </c>
      <c r="C4533" s="1" t="n">
        <v>45657</v>
      </c>
      <c r="D4533" t="inlineStr">
        <is>
          <t>VÄSTERNORRLANDS LÄN</t>
        </is>
      </c>
      <c r="E4533" t="inlineStr">
        <is>
          <t>SUNDSVALL</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52554-2021</t>
        </is>
      </c>
      <c r="B4534" s="1" t="n">
        <v>44466</v>
      </c>
      <c r="C4534" s="1" t="n">
        <v>45657</v>
      </c>
      <c r="D4534" t="inlineStr">
        <is>
          <t>VÄSTERNORRLANDS LÄN</t>
        </is>
      </c>
      <c r="E4534" t="inlineStr">
        <is>
          <t>SUNDSVALL</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52652-2021</t>
        </is>
      </c>
      <c r="B4535" s="1" t="n">
        <v>44466</v>
      </c>
      <c r="C4535" s="1" t="n">
        <v>45657</v>
      </c>
      <c r="D4535" t="inlineStr">
        <is>
          <t>VÄSTERNORRLANDS LÄN</t>
        </is>
      </c>
      <c r="E4535" t="inlineStr">
        <is>
          <t>ÖRNSKÖLDSVIK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52705-2021</t>
        </is>
      </c>
      <c r="B4536" s="1" t="n">
        <v>44466</v>
      </c>
      <c r="C4536" s="1" t="n">
        <v>45657</v>
      </c>
      <c r="D4536" t="inlineStr">
        <is>
          <t>VÄSTERNORRLANDS LÄN</t>
        </is>
      </c>
      <c r="E4536" t="inlineStr">
        <is>
          <t>ÅNGE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52723-2021</t>
        </is>
      </c>
      <c r="B4537" s="1" t="n">
        <v>44466</v>
      </c>
      <c r="C4537" s="1" t="n">
        <v>45657</v>
      </c>
      <c r="D4537" t="inlineStr">
        <is>
          <t>VÄSTERNORRLANDS LÄN</t>
        </is>
      </c>
      <c r="E4537" t="inlineStr">
        <is>
          <t>KRAMFORS</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53308-2021</t>
        </is>
      </c>
      <c r="B4538" s="1" t="n">
        <v>44466</v>
      </c>
      <c r="C4538" s="1" t="n">
        <v>45657</v>
      </c>
      <c r="D4538" t="inlineStr">
        <is>
          <t>VÄSTERNORRLANDS LÄN</t>
        </is>
      </c>
      <c r="E4538" t="inlineStr">
        <is>
          <t>ÖRNSKÖLDSVIK</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52724-2021</t>
        </is>
      </c>
      <c r="B4539" s="1" t="n">
        <v>44467</v>
      </c>
      <c r="C4539" s="1" t="n">
        <v>45657</v>
      </c>
      <c r="D4539" t="inlineStr">
        <is>
          <t>VÄSTERNORRLANDS LÄN</t>
        </is>
      </c>
      <c r="E4539" t="inlineStr">
        <is>
          <t>KRAMFORS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52447-2021</t>
        </is>
      </c>
      <c r="B4540" s="1" t="n">
        <v>44466</v>
      </c>
      <c r="C4540" s="1" t="n">
        <v>45657</v>
      </c>
      <c r="D4540" t="inlineStr">
        <is>
          <t>VÄSTERNORRLANDS LÄN</t>
        </is>
      </c>
      <c r="E4540" t="inlineStr">
        <is>
          <t>SOLLEFTEÅ</t>
        </is>
      </c>
      <c r="F4540" t="inlineStr">
        <is>
          <t>Holmen skog AB</t>
        </is>
      </c>
      <c r="G4540" t="n">
        <v>8.9</v>
      </c>
      <c r="H4540" t="n">
        <v>0</v>
      </c>
      <c r="I4540" t="n">
        <v>0</v>
      </c>
      <c r="J4540" t="n">
        <v>0</v>
      </c>
      <c r="K4540" t="n">
        <v>0</v>
      </c>
      <c r="L4540" t="n">
        <v>0</v>
      </c>
      <c r="M4540" t="n">
        <v>0</v>
      </c>
      <c r="N4540" t="n">
        <v>0</v>
      </c>
      <c r="O4540" t="n">
        <v>0</v>
      </c>
      <c r="P4540" t="n">
        <v>0</v>
      </c>
      <c r="Q4540" t="n">
        <v>0</v>
      </c>
      <c r="R4540" s="2" t="inlineStr"/>
    </row>
    <row r="4541" ht="15" customHeight="1">
      <c r="A4541" t="inlineStr">
        <is>
          <t>A 52726-2021</t>
        </is>
      </c>
      <c r="B4541" s="1" t="n">
        <v>44466</v>
      </c>
      <c r="C4541" s="1" t="n">
        <v>45657</v>
      </c>
      <c r="D4541" t="inlineStr">
        <is>
          <t>VÄSTERNORRLANDS LÄN</t>
        </is>
      </c>
      <c r="E4541" t="inlineStr">
        <is>
          <t>ÅNGE</t>
        </is>
      </c>
      <c r="F4541" t="inlineStr">
        <is>
          <t>SCA</t>
        </is>
      </c>
      <c r="G4541" t="n">
        <v>9.5</v>
      </c>
      <c r="H4541" t="n">
        <v>0</v>
      </c>
      <c r="I4541" t="n">
        <v>0</v>
      </c>
      <c r="J4541" t="n">
        <v>0</v>
      </c>
      <c r="K4541" t="n">
        <v>0</v>
      </c>
      <c r="L4541" t="n">
        <v>0</v>
      </c>
      <c r="M4541" t="n">
        <v>0</v>
      </c>
      <c r="N4541" t="n">
        <v>0</v>
      </c>
      <c r="O4541" t="n">
        <v>0</v>
      </c>
      <c r="P4541" t="n">
        <v>0</v>
      </c>
      <c r="Q4541" t="n">
        <v>0</v>
      </c>
      <c r="R4541" s="2" t="inlineStr"/>
    </row>
    <row r="4542" ht="15" customHeight="1">
      <c r="A4542" t="inlineStr">
        <is>
          <t>A 53003-2021</t>
        </is>
      </c>
      <c r="B4542" s="1" t="n">
        <v>44467</v>
      </c>
      <c r="C4542" s="1" t="n">
        <v>45657</v>
      </c>
      <c r="D4542" t="inlineStr">
        <is>
          <t>VÄSTERNORRLANDS LÄN</t>
        </is>
      </c>
      <c r="E4542" t="inlineStr">
        <is>
          <t>ÖRNSKÖLDSVIK</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53231-2021</t>
        </is>
      </c>
      <c r="B4543" s="1" t="n">
        <v>44467</v>
      </c>
      <c r="C4543" s="1" t="n">
        <v>45657</v>
      </c>
      <c r="D4543" t="inlineStr">
        <is>
          <t>VÄSTERNORRLANDS LÄN</t>
        </is>
      </c>
      <c r="E4543" t="inlineStr">
        <is>
          <t>ÖRNSKÖLDSVIK</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53292-2021</t>
        </is>
      </c>
      <c r="B4544" s="1" t="n">
        <v>44467</v>
      </c>
      <c r="C4544" s="1" t="n">
        <v>45657</v>
      </c>
      <c r="D4544" t="inlineStr">
        <is>
          <t>VÄSTERNORRLANDS LÄN</t>
        </is>
      </c>
      <c r="E4544" t="inlineStr">
        <is>
          <t>ÖRNSKÖLDSVIK</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53305-2021</t>
        </is>
      </c>
      <c r="B4545" s="1" t="n">
        <v>44467</v>
      </c>
      <c r="C4545" s="1" t="n">
        <v>45657</v>
      </c>
      <c r="D4545" t="inlineStr">
        <is>
          <t>VÄSTERNORRLANDS LÄN</t>
        </is>
      </c>
      <c r="E4545" t="inlineStr">
        <is>
          <t>TIMRÅ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53221-2021</t>
        </is>
      </c>
      <c r="B4546" s="1" t="n">
        <v>44467</v>
      </c>
      <c r="C4546" s="1" t="n">
        <v>45657</v>
      </c>
      <c r="D4546" t="inlineStr">
        <is>
          <t>VÄSTERNORRLANDS LÄN</t>
        </is>
      </c>
      <c r="E4546" t="inlineStr">
        <is>
          <t>ÖRNSKÖLDSVIK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53289-2021</t>
        </is>
      </c>
      <c r="B4547" s="1" t="n">
        <v>44467</v>
      </c>
      <c r="C4547" s="1" t="n">
        <v>45657</v>
      </c>
      <c r="D4547" t="inlineStr">
        <is>
          <t>VÄSTERNORRLANDS LÄN</t>
        </is>
      </c>
      <c r="E4547" t="inlineStr">
        <is>
          <t>SOLLEFTEÅ</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53278-2021</t>
        </is>
      </c>
      <c r="B4548" s="1" t="n">
        <v>44467</v>
      </c>
      <c r="C4548" s="1" t="n">
        <v>45657</v>
      </c>
      <c r="D4548" t="inlineStr">
        <is>
          <t>VÄSTERNORRLANDS LÄN</t>
        </is>
      </c>
      <c r="E4548" t="inlineStr">
        <is>
          <t>SOLLEFTEÅ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53163-2021</t>
        </is>
      </c>
      <c r="B4549" s="1" t="n">
        <v>44468</v>
      </c>
      <c r="C4549" s="1" t="n">
        <v>45657</v>
      </c>
      <c r="D4549" t="inlineStr">
        <is>
          <t>VÄSTERNORRLANDS LÄN</t>
        </is>
      </c>
      <c r="E4549" t="inlineStr">
        <is>
          <t>ÖRNSKÖLDSVIK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53215-2021</t>
        </is>
      </c>
      <c r="B4550" s="1" t="n">
        <v>44468</v>
      </c>
      <c r="C4550" s="1" t="n">
        <v>45657</v>
      </c>
      <c r="D4550" t="inlineStr">
        <is>
          <t>VÄSTERNORRLANDS LÄN</t>
        </is>
      </c>
      <c r="E4550" t="inlineStr">
        <is>
          <t>ÖRNSKÖLDSVIK</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53162-2021</t>
        </is>
      </c>
      <c r="B4551" s="1" t="n">
        <v>44468</v>
      </c>
      <c r="C4551" s="1" t="n">
        <v>45657</v>
      </c>
      <c r="D4551" t="inlineStr">
        <is>
          <t>VÄSTERNORRLANDS LÄN</t>
        </is>
      </c>
      <c r="E4551" t="inlineStr">
        <is>
          <t>ÖRNSKÖLDSVIK</t>
        </is>
      </c>
      <c r="F4551" t="inlineStr">
        <is>
          <t>Holmen skog AB</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53332-2021</t>
        </is>
      </c>
      <c r="B4552" s="1" t="n">
        <v>44468</v>
      </c>
      <c r="C4552" s="1" t="n">
        <v>45657</v>
      </c>
      <c r="D4552" t="inlineStr">
        <is>
          <t>VÄSTERNORRLANDS LÄN</t>
        </is>
      </c>
      <c r="E4552" t="inlineStr">
        <is>
          <t>ÖRNSKÖLDSVIK</t>
        </is>
      </c>
      <c r="G4552" t="n">
        <v>10.5</v>
      </c>
      <c r="H4552" t="n">
        <v>0</v>
      </c>
      <c r="I4552" t="n">
        <v>0</v>
      </c>
      <c r="J4552" t="n">
        <v>0</v>
      </c>
      <c r="K4552" t="n">
        <v>0</v>
      </c>
      <c r="L4552" t="n">
        <v>0</v>
      </c>
      <c r="M4552" t="n">
        <v>0</v>
      </c>
      <c r="N4552" t="n">
        <v>0</v>
      </c>
      <c r="O4552" t="n">
        <v>0</v>
      </c>
      <c r="P4552" t="n">
        <v>0</v>
      </c>
      <c r="Q4552" t="n">
        <v>0</v>
      </c>
      <c r="R4552" s="2" t="inlineStr"/>
    </row>
    <row r="4553" ht="15" customHeight="1">
      <c r="A4553" t="inlineStr">
        <is>
          <t>A 53222-2021</t>
        </is>
      </c>
      <c r="B4553" s="1" t="n">
        <v>44468</v>
      </c>
      <c r="C4553" s="1" t="n">
        <v>45657</v>
      </c>
      <c r="D4553" t="inlineStr">
        <is>
          <t>VÄSTERNORRLANDS LÄN</t>
        </is>
      </c>
      <c r="E4553" t="inlineStr">
        <is>
          <t>ÖRNSKÖLDSVIK</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53401-2021</t>
        </is>
      </c>
      <c r="B4554" s="1" t="n">
        <v>44468</v>
      </c>
      <c r="C4554" s="1" t="n">
        <v>45657</v>
      </c>
      <c r="D4554" t="inlineStr">
        <is>
          <t>VÄSTERNORRLANDS LÄN</t>
        </is>
      </c>
      <c r="E4554" t="inlineStr">
        <is>
          <t>ÖRNSKÖLDSVIK</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53524-2021</t>
        </is>
      </c>
      <c r="B4555" s="1" t="n">
        <v>44468</v>
      </c>
      <c r="C4555" s="1" t="n">
        <v>45657</v>
      </c>
      <c r="D4555" t="inlineStr">
        <is>
          <t>VÄSTERNORRLANDS LÄN</t>
        </is>
      </c>
      <c r="E4555" t="inlineStr">
        <is>
          <t>SOLLEFTEÅ</t>
        </is>
      </c>
      <c r="F4555" t="inlineStr">
        <is>
          <t>SCA</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53578-2021</t>
        </is>
      </c>
      <c r="B4556" s="1" t="n">
        <v>44469</v>
      </c>
      <c r="C4556" s="1" t="n">
        <v>45657</v>
      </c>
      <c r="D4556" t="inlineStr">
        <is>
          <t>VÄSTERNORRLANDS LÄN</t>
        </is>
      </c>
      <c r="E4556" t="inlineStr">
        <is>
          <t>KRAMFORS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53576-2021</t>
        </is>
      </c>
      <c r="B4557" s="1" t="n">
        <v>44469</v>
      </c>
      <c r="C4557" s="1" t="n">
        <v>45657</v>
      </c>
      <c r="D4557" t="inlineStr">
        <is>
          <t>VÄSTERNORRLANDS LÄN</t>
        </is>
      </c>
      <c r="E4557" t="inlineStr">
        <is>
          <t>KRAMFORS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53568-2021</t>
        </is>
      </c>
      <c r="B4558" s="1" t="n">
        <v>44469</v>
      </c>
      <c r="C4558" s="1" t="n">
        <v>45657</v>
      </c>
      <c r="D4558" t="inlineStr">
        <is>
          <t>VÄSTERNORRLANDS LÄN</t>
        </is>
      </c>
      <c r="E4558" t="inlineStr">
        <is>
          <t>HÄRNÖSAND</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53626-2021</t>
        </is>
      </c>
      <c r="B4559" s="1" t="n">
        <v>44469</v>
      </c>
      <c r="C4559" s="1" t="n">
        <v>45657</v>
      </c>
      <c r="D4559" t="inlineStr">
        <is>
          <t>VÄSTERNORRLANDS LÄN</t>
        </is>
      </c>
      <c r="E4559" t="inlineStr">
        <is>
          <t>ÖRNSKÖLDSVIK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53699-2021</t>
        </is>
      </c>
      <c r="B4560" s="1" t="n">
        <v>44469</v>
      </c>
      <c r="C4560" s="1" t="n">
        <v>45657</v>
      </c>
      <c r="D4560" t="inlineStr">
        <is>
          <t>VÄSTERNORRLANDS LÄN</t>
        </is>
      </c>
      <c r="E4560" t="inlineStr">
        <is>
          <t>TIMRÅ</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53703-2021</t>
        </is>
      </c>
      <c r="B4561" s="1" t="n">
        <v>44469</v>
      </c>
      <c r="C4561" s="1" t="n">
        <v>45657</v>
      </c>
      <c r="D4561" t="inlineStr">
        <is>
          <t>VÄSTERNORRLANDS LÄN</t>
        </is>
      </c>
      <c r="E4561" t="inlineStr">
        <is>
          <t>TIMRÅ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53807-2021</t>
        </is>
      </c>
      <c r="B4562" s="1" t="n">
        <v>44469</v>
      </c>
      <c r="C4562" s="1" t="n">
        <v>45657</v>
      </c>
      <c r="D4562" t="inlineStr">
        <is>
          <t>VÄSTERNORRLANDS LÄN</t>
        </is>
      </c>
      <c r="E4562" t="inlineStr">
        <is>
          <t>ÖRNSKÖLDSVIK</t>
        </is>
      </c>
      <c r="F4562" t="inlineStr">
        <is>
          <t>Holmen skog AB</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53799-2021</t>
        </is>
      </c>
      <c r="B4563" s="1" t="n">
        <v>44469</v>
      </c>
      <c r="C4563" s="1" t="n">
        <v>45657</v>
      </c>
      <c r="D4563" t="inlineStr">
        <is>
          <t>VÄSTERNORRLANDS LÄN</t>
        </is>
      </c>
      <c r="E4563" t="inlineStr">
        <is>
          <t>ÖRNSKÖLDSVIK</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53812-2021</t>
        </is>
      </c>
      <c r="B4564" s="1" t="n">
        <v>44469</v>
      </c>
      <c r="C4564" s="1" t="n">
        <v>45657</v>
      </c>
      <c r="D4564" t="inlineStr">
        <is>
          <t>VÄSTERNORRLANDS LÄN</t>
        </is>
      </c>
      <c r="E4564" t="inlineStr">
        <is>
          <t>ÖRNSKÖLDSVIK</t>
        </is>
      </c>
      <c r="F4564" t="inlineStr">
        <is>
          <t>Holmen skog AB</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53970-2021</t>
        </is>
      </c>
      <c r="B4565" s="1" t="n">
        <v>44469</v>
      </c>
      <c r="C4565" s="1" t="n">
        <v>45657</v>
      </c>
      <c r="D4565" t="inlineStr">
        <is>
          <t>VÄSTERNORRLANDS LÄN</t>
        </is>
      </c>
      <c r="E4565" t="inlineStr">
        <is>
          <t>ÅNGE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53955-2021</t>
        </is>
      </c>
      <c r="B4566" s="1" t="n">
        <v>44469</v>
      </c>
      <c r="C4566" s="1" t="n">
        <v>45657</v>
      </c>
      <c r="D4566" t="inlineStr">
        <is>
          <t>VÄSTERNORRLANDS LÄN</t>
        </is>
      </c>
      <c r="E4566" t="inlineStr">
        <is>
          <t>SOLLEFTEÅ</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53969-2021</t>
        </is>
      </c>
      <c r="B4567" s="1" t="n">
        <v>44469</v>
      </c>
      <c r="C4567" s="1" t="n">
        <v>45657</v>
      </c>
      <c r="D4567" t="inlineStr">
        <is>
          <t>VÄSTERNORRLANDS LÄN</t>
        </is>
      </c>
      <c r="E4567" t="inlineStr">
        <is>
          <t>ÅNGE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54146-2021</t>
        </is>
      </c>
      <c r="B4568" s="1" t="n">
        <v>44469</v>
      </c>
      <c r="C4568" s="1" t="n">
        <v>45657</v>
      </c>
      <c r="D4568" t="inlineStr">
        <is>
          <t>VÄSTERNORRLANDS LÄN</t>
        </is>
      </c>
      <c r="E4568" t="inlineStr">
        <is>
          <t>SOLLEFTEÅ</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54034-2021</t>
        </is>
      </c>
      <c r="B4569" s="1" t="n">
        <v>44470</v>
      </c>
      <c r="C4569" s="1" t="n">
        <v>45657</v>
      </c>
      <c r="D4569" t="inlineStr">
        <is>
          <t>VÄSTERNORRLANDS LÄN</t>
        </is>
      </c>
      <c r="E4569" t="inlineStr">
        <is>
          <t>ÖRNSKÖLDSVIK</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54252-2021</t>
        </is>
      </c>
      <c r="B4570" s="1" t="n">
        <v>44470</v>
      </c>
      <c r="C4570" s="1" t="n">
        <v>45657</v>
      </c>
      <c r="D4570" t="inlineStr">
        <is>
          <t>VÄSTERNORRLANDS LÄN</t>
        </is>
      </c>
      <c r="E4570" t="inlineStr">
        <is>
          <t>ÖRNSKÖLDSVIK</t>
        </is>
      </c>
      <c r="F4570" t="inlineStr">
        <is>
          <t>Holmen skog AB</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54174-2021</t>
        </is>
      </c>
      <c r="B4571" s="1" t="n">
        <v>44470</v>
      </c>
      <c r="C4571" s="1" t="n">
        <v>45657</v>
      </c>
      <c r="D4571" t="inlineStr">
        <is>
          <t>VÄSTERNORRLANDS LÄN</t>
        </is>
      </c>
      <c r="E4571" t="inlineStr">
        <is>
          <t>ÖRNSKÖLDSVIK</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54416-2021</t>
        </is>
      </c>
      <c r="B4572" s="1" t="n">
        <v>44472</v>
      </c>
      <c r="C4572" s="1" t="n">
        <v>45657</v>
      </c>
      <c r="D4572" t="inlineStr">
        <is>
          <t>VÄSTERNORRLANDS LÄN</t>
        </is>
      </c>
      <c r="E4572" t="inlineStr">
        <is>
          <t>ÖRNSKÖLDSVIK</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54401-2021</t>
        </is>
      </c>
      <c r="B4573" s="1" t="n">
        <v>44472</v>
      </c>
      <c r="C4573" s="1" t="n">
        <v>45657</v>
      </c>
      <c r="D4573" t="inlineStr">
        <is>
          <t>VÄSTERNORRLANDS LÄN</t>
        </is>
      </c>
      <c r="E4573" t="inlineStr">
        <is>
          <t>ÖRNSKÖLDSVIK</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54339-2021</t>
        </is>
      </c>
      <c r="B4574" s="1" t="n">
        <v>44473</v>
      </c>
      <c r="C4574" s="1" t="n">
        <v>45657</v>
      </c>
      <c r="D4574" t="inlineStr">
        <is>
          <t>VÄSTERNORRLANDS LÄN</t>
        </is>
      </c>
      <c r="E4574" t="inlineStr">
        <is>
          <t>ÖRNSKÖLDSVIK</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54340-2021</t>
        </is>
      </c>
      <c r="B4575" s="1" t="n">
        <v>44473</v>
      </c>
      <c r="C4575" s="1" t="n">
        <v>45657</v>
      </c>
      <c r="D4575" t="inlineStr">
        <is>
          <t>VÄSTERNORRLANDS LÄN</t>
        </is>
      </c>
      <c r="E4575" t="inlineStr">
        <is>
          <t>ÖRNSKÖLDSVIK</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54391-2021</t>
        </is>
      </c>
      <c r="B4576" s="1" t="n">
        <v>44473</v>
      </c>
      <c r="C4576" s="1" t="n">
        <v>45657</v>
      </c>
      <c r="D4576" t="inlineStr">
        <is>
          <t>VÄSTERNORRLANDS LÄN</t>
        </is>
      </c>
      <c r="E4576" t="inlineStr">
        <is>
          <t>ÖRNSKÖLDSVIK</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54500-2021</t>
        </is>
      </c>
      <c r="B4577" s="1" t="n">
        <v>44473</v>
      </c>
      <c r="C4577" s="1" t="n">
        <v>45657</v>
      </c>
      <c r="D4577" t="inlineStr">
        <is>
          <t>VÄSTERNORRLANDS LÄN</t>
        </is>
      </c>
      <c r="E4577" t="inlineStr">
        <is>
          <t>ÖRNSKÖLDSVIK</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54461-2021</t>
        </is>
      </c>
      <c r="B4578" s="1" t="n">
        <v>44473</v>
      </c>
      <c r="C4578" s="1" t="n">
        <v>45657</v>
      </c>
      <c r="D4578" t="inlineStr">
        <is>
          <t>VÄSTERNORRLANDS LÄN</t>
        </is>
      </c>
      <c r="E4578" t="inlineStr">
        <is>
          <t>ÖRNSKÖLDSVIK</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54470-2021</t>
        </is>
      </c>
      <c r="B4579" s="1" t="n">
        <v>44473</v>
      </c>
      <c r="C4579" s="1" t="n">
        <v>45657</v>
      </c>
      <c r="D4579" t="inlineStr">
        <is>
          <t>VÄSTERNORRLANDS LÄN</t>
        </is>
      </c>
      <c r="E4579" t="inlineStr">
        <is>
          <t>SUNDSVALL</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54341-2021</t>
        </is>
      </c>
      <c r="B4580" s="1" t="n">
        <v>44473</v>
      </c>
      <c r="C4580" s="1" t="n">
        <v>45657</v>
      </c>
      <c r="D4580" t="inlineStr">
        <is>
          <t>VÄSTERNORRLANDS LÄN</t>
        </is>
      </c>
      <c r="E4580" t="inlineStr">
        <is>
          <t>ÖRNSKÖLDSVIK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54377-2021</t>
        </is>
      </c>
      <c r="B4581" s="1" t="n">
        <v>44473</v>
      </c>
      <c r="C4581" s="1" t="n">
        <v>45657</v>
      </c>
      <c r="D4581" t="inlineStr">
        <is>
          <t>VÄSTERNORRLANDS LÄN</t>
        </is>
      </c>
      <c r="E4581" t="inlineStr">
        <is>
          <t>ÖRNSKÖLDSVIK</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54424-2021</t>
        </is>
      </c>
      <c r="B4582" s="1" t="n">
        <v>44473</v>
      </c>
      <c r="C4582" s="1" t="n">
        <v>45657</v>
      </c>
      <c r="D4582" t="inlineStr">
        <is>
          <t>VÄSTERNORRLANDS LÄN</t>
        </is>
      </c>
      <c r="E4582" t="inlineStr">
        <is>
          <t>ÖRNSKÖLDSVIK</t>
        </is>
      </c>
      <c r="F4582" t="inlineStr">
        <is>
          <t>Holmen skog AB</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54436-2021</t>
        </is>
      </c>
      <c r="B4583" s="1" t="n">
        <v>44473</v>
      </c>
      <c r="C4583" s="1" t="n">
        <v>45657</v>
      </c>
      <c r="D4583" t="inlineStr">
        <is>
          <t>VÄSTERNORRLANDS LÄN</t>
        </is>
      </c>
      <c r="E4583" t="inlineStr">
        <is>
          <t>ÖRNSKÖLDSVIK</t>
        </is>
      </c>
      <c r="F4583" t="inlineStr">
        <is>
          <t>Holmen skog AB</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54506-2021</t>
        </is>
      </c>
      <c r="B4584" s="1" t="n">
        <v>44473</v>
      </c>
      <c r="C4584" s="1" t="n">
        <v>45657</v>
      </c>
      <c r="D4584" t="inlineStr">
        <is>
          <t>VÄSTERNORRLANDS LÄN</t>
        </is>
      </c>
      <c r="E4584" t="inlineStr">
        <is>
          <t>SUNDSVALL</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54728-2021</t>
        </is>
      </c>
      <c r="B4585" s="1" t="n">
        <v>44473</v>
      </c>
      <c r="C4585" s="1" t="n">
        <v>45657</v>
      </c>
      <c r="D4585" t="inlineStr">
        <is>
          <t>VÄSTERNORRLANDS LÄN</t>
        </is>
      </c>
      <c r="E4585" t="inlineStr">
        <is>
          <t>SOLLEFTEÅ</t>
        </is>
      </c>
      <c r="F4585" t="inlineStr">
        <is>
          <t>Holmen skog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54739-2021</t>
        </is>
      </c>
      <c r="B4586" s="1" t="n">
        <v>44473</v>
      </c>
      <c r="C4586" s="1" t="n">
        <v>45657</v>
      </c>
      <c r="D4586" t="inlineStr">
        <is>
          <t>VÄSTERNORRLANDS LÄN</t>
        </is>
      </c>
      <c r="E4586" t="inlineStr">
        <is>
          <t>SUNDSVALL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54626-2021</t>
        </is>
      </c>
      <c r="B4587" s="1" t="n">
        <v>44473</v>
      </c>
      <c r="C4587" s="1" t="n">
        <v>45657</v>
      </c>
      <c r="D4587" t="inlineStr">
        <is>
          <t>VÄSTERNORRLANDS LÄN</t>
        </is>
      </c>
      <c r="E4587" t="inlineStr">
        <is>
          <t>ÖRNSKÖLDSVIK</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54750-2021</t>
        </is>
      </c>
      <c r="B4588" s="1" t="n">
        <v>44473</v>
      </c>
      <c r="C4588" s="1" t="n">
        <v>45657</v>
      </c>
      <c r="D4588" t="inlineStr">
        <is>
          <t>VÄSTERNORRLANDS LÄN</t>
        </is>
      </c>
      <c r="E4588" t="inlineStr">
        <is>
          <t>ÅNGE</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54800-2021</t>
        </is>
      </c>
      <c r="B4589" s="1" t="n">
        <v>44474</v>
      </c>
      <c r="C4589" s="1" t="n">
        <v>45657</v>
      </c>
      <c r="D4589" t="inlineStr">
        <is>
          <t>VÄSTERNORRLANDS LÄN</t>
        </is>
      </c>
      <c r="E4589" t="inlineStr">
        <is>
          <t>ÅNGE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55016-2021</t>
        </is>
      </c>
      <c r="B4590" s="1" t="n">
        <v>44474</v>
      </c>
      <c r="C4590" s="1" t="n">
        <v>45657</v>
      </c>
      <c r="D4590" t="inlineStr">
        <is>
          <t>VÄSTERNORRLANDS LÄN</t>
        </is>
      </c>
      <c r="E4590" t="inlineStr">
        <is>
          <t>SOLLEFTEÅ</t>
        </is>
      </c>
      <c r="F4590" t="inlineStr">
        <is>
          <t>Övriga Aktiebolag</t>
        </is>
      </c>
      <c r="G4590" t="n">
        <v>12.7</v>
      </c>
      <c r="H4590" t="n">
        <v>0</v>
      </c>
      <c r="I4590" t="n">
        <v>0</v>
      </c>
      <c r="J4590" t="n">
        <v>0</v>
      </c>
      <c r="K4590" t="n">
        <v>0</v>
      </c>
      <c r="L4590" t="n">
        <v>0</v>
      </c>
      <c r="M4590" t="n">
        <v>0</v>
      </c>
      <c r="N4590" t="n">
        <v>0</v>
      </c>
      <c r="O4590" t="n">
        <v>0</v>
      </c>
      <c r="P4590" t="n">
        <v>0</v>
      </c>
      <c r="Q4590" t="n">
        <v>0</v>
      </c>
      <c r="R4590" s="2" t="inlineStr"/>
    </row>
    <row r="4591" ht="15" customHeight="1">
      <c r="A4591" t="inlineStr">
        <is>
          <t>A 54987-2021</t>
        </is>
      </c>
      <c r="B4591" s="1" t="n">
        <v>44474</v>
      </c>
      <c r="C4591" s="1" t="n">
        <v>45657</v>
      </c>
      <c r="D4591" t="inlineStr">
        <is>
          <t>VÄSTERNORRLANDS LÄN</t>
        </is>
      </c>
      <c r="E4591" t="inlineStr">
        <is>
          <t>ÖRNSKÖLDSVIK</t>
        </is>
      </c>
      <c r="G4591" t="n">
        <v>14.3</v>
      </c>
      <c r="H4591" t="n">
        <v>0</v>
      </c>
      <c r="I4591" t="n">
        <v>0</v>
      </c>
      <c r="J4591" t="n">
        <v>0</v>
      </c>
      <c r="K4591" t="n">
        <v>0</v>
      </c>
      <c r="L4591" t="n">
        <v>0</v>
      </c>
      <c r="M4591" t="n">
        <v>0</v>
      </c>
      <c r="N4591" t="n">
        <v>0</v>
      </c>
      <c r="O4591" t="n">
        <v>0</v>
      </c>
      <c r="P4591" t="n">
        <v>0</v>
      </c>
      <c r="Q4591" t="n">
        <v>0</v>
      </c>
      <c r="R4591" s="2" t="inlineStr"/>
    </row>
    <row r="4592" ht="15" customHeight="1">
      <c r="A4592" t="inlineStr">
        <is>
          <t>A 55018-2021</t>
        </is>
      </c>
      <c r="B4592" s="1" t="n">
        <v>44474</v>
      </c>
      <c r="C4592" s="1" t="n">
        <v>45657</v>
      </c>
      <c r="D4592" t="inlineStr">
        <is>
          <t>VÄSTERNORRLANDS LÄN</t>
        </is>
      </c>
      <c r="E4592" t="inlineStr">
        <is>
          <t>SOLLEFTEÅ</t>
        </is>
      </c>
      <c r="F4592" t="inlineStr">
        <is>
          <t>Övriga Aktiebolag</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54857-2021</t>
        </is>
      </c>
      <c r="B4593" s="1" t="n">
        <v>44474</v>
      </c>
      <c r="C4593" s="1" t="n">
        <v>45657</v>
      </c>
      <c r="D4593" t="inlineStr">
        <is>
          <t>VÄSTERNORRLANDS LÄN</t>
        </is>
      </c>
      <c r="E4593" t="inlineStr">
        <is>
          <t>KRAMFORS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54908-2021</t>
        </is>
      </c>
      <c r="B4594" s="1" t="n">
        <v>44474</v>
      </c>
      <c r="C4594" s="1" t="n">
        <v>45657</v>
      </c>
      <c r="D4594" t="inlineStr">
        <is>
          <t>VÄSTERNORRLANDS LÄN</t>
        </is>
      </c>
      <c r="E4594" t="inlineStr">
        <is>
          <t>ÅNGE</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55158-2021</t>
        </is>
      </c>
      <c r="B4595" s="1" t="n">
        <v>44474</v>
      </c>
      <c r="C4595" s="1" t="n">
        <v>45657</v>
      </c>
      <c r="D4595" t="inlineStr">
        <is>
          <t>VÄSTERNORRLANDS LÄN</t>
        </is>
      </c>
      <c r="E4595" t="inlineStr">
        <is>
          <t>SUNDSVALL</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55102-2021</t>
        </is>
      </c>
      <c r="B4596" s="1" t="n">
        <v>44474</v>
      </c>
      <c r="C4596" s="1" t="n">
        <v>45657</v>
      </c>
      <c r="D4596" t="inlineStr">
        <is>
          <t>VÄSTERNORRLANDS LÄN</t>
        </is>
      </c>
      <c r="E4596" t="inlineStr">
        <is>
          <t>ÖRNSKÖLDSVIK</t>
        </is>
      </c>
      <c r="F4596" t="inlineStr">
        <is>
          <t>Kommuner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55161-2021</t>
        </is>
      </c>
      <c r="B4597" s="1" t="n">
        <v>44475</v>
      </c>
      <c r="C4597" s="1" t="n">
        <v>45657</v>
      </c>
      <c r="D4597" t="inlineStr">
        <is>
          <t>VÄSTERNORRLANDS LÄN</t>
        </is>
      </c>
      <c r="E4597" t="inlineStr">
        <is>
          <t>SUNDSVALL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54946-2021</t>
        </is>
      </c>
      <c r="B4598" s="1" t="n">
        <v>44474</v>
      </c>
      <c r="C4598" s="1" t="n">
        <v>45657</v>
      </c>
      <c r="D4598" t="inlineStr">
        <is>
          <t>VÄSTERNORRLANDS LÄN</t>
        </is>
      </c>
      <c r="E4598" t="inlineStr">
        <is>
          <t>ÅNGE</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55402-2021</t>
        </is>
      </c>
      <c r="B4599" s="1" t="n">
        <v>44475</v>
      </c>
      <c r="C4599" s="1" t="n">
        <v>45657</v>
      </c>
      <c r="D4599" t="inlineStr">
        <is>
          <t>VÄSTERNORRLANDS LÄN</t>
        </is>
      </c>
      <c r="E4599" t="inlineStr">
        <is>
          <t>ÖRNSKÖLDSVIK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55455-2021</t>
        </is>
      </c>
      <c r="B4600" s="1" t="n">
        <v>44475</v>
      </c>
      <c r="C4600" s="1" t="n">
        <v>45657</v>
      </c>
      <c r="D4600" t="inlineStr">
        <is>
          <t>VÄSTERNORRLANDS LÄN</t>
        </is>
      </c>
      <c r="E4600" t="inlineStr">
        <is>
          <t>ÖRNSKÖLDSVIK</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55311-2021</t>
        </is>
      </c>
      <c r="B4601" s="1" t="n">
        <v>44475</v>
      </c>
      <c r="C4601" s="1" t="n">
        <v>45657</v>
      </c>
      <c r="D4601" t="inlineStr">
        <is>
          <t>VÄSTERNORRLANDS LÄN</t>
        </is>
      </c>
      <c r="E4601" t="inlineStr">
        <is>
          <t>ÖRNSKÖLDSVIK</t>
        </is>
      </c>
      <c r="F4601" t="inlineStr">
        <is>
          <t>Holmen skog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55404-2021</t>
        </is>
      </c>
      <c r="B4602" s="1" t="n">
        <v>44475</v>
      </c>
      <c r="C4602" s="1" t="n">
        <v>45657</v>
      </c>
      <c r="D4602" t="inlineStr">
        <is>
          <t>VÄSTERNORRLANDS LÄN</t>
        </is>
      </c>
      <c r="E4602" t="inlineStr">
        <is>
          <t>KRAMFORS</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55411-2021</t>
        </is>
      </c>
      <c r="B4603" s="1" t="n">
        <v>44475</v>
      </c>
      <c r="C4603" s="1" t="n">
        <v>45657</v>
      </c>
      <c r="D4603" t="inlineStr">
        <is>
          <t>VÄSTERNORRLANDS LÄN</t>
        </is>
      </c>
      <c r="E4603" t="inlineStr">
        <is>
          <t>KRAMFORS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55451-2021</t>
        </is>
      </c>
      <c r="B4604" s="1" t="n">
        <v>44475</v>
      </c>
      <c r="C4604" s="1" t="n">
        <v>45657</v>
      </c>
      <c r="D4604" t="inlineStr">
        <is>
          <t>VÄSTERNORRLANDS LÄN</t>
        </is>
      </c>
      <c r="E4604" t="inlineStr">
        <is>
          <t>ÖRNSKÖLDSVIK</t>
        </is>
      </c>
      <c r="F4604" t="inlineStr">
        <is>
          <t>Holmen skog AB</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55459-2021</t>
        </is>
      </c>
      <c r="B4605" s="1" t="n">
        <v>44475</v>
      </c>
      <c r="C4605" s="1" t="n">
        <v>45657</v>
      </c>
      <c r="D4605" t="inlineStr">
        <is>
          <t>VÄSTERNORRLANDS LÄN</t>
        </is>
      </c>
      <c r="E4605" t="inlineStr">
        <is>
          <t>ÖRNSKÖLDSVIK</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55520-2021</t>
        </is>
      </c>
      <c r="B4606" s="1" t="n">
        <v>44475</v>
      </c>
      <c r="C4606" s="1" t="n">
        <v>45657</v>
      </c>
      <c r="D4606" t="inlineStr">
        <is>
          <t>VÄSTERNORRLANDS LÄN</t>
        </is>
      </c>
      <c r="E4606" t="inlineStr">
        <is>
          <t>ÖRNSKÖLDSVIK</t>
        </is>
      </c>
      <c r="F4606" t="inlineStr">
        <is>
          <t>Holmen skog AB</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55316-2021</t>
        </is>
      </c>
      <c r="B4607" s="1" t="n">
        <v>44475</v>
      </c>
      <c r="C4607" s="1" t="n">
        <v>45657</v>
      </c>
      <c r="D4607" t="inlineStr">
        <is>
          <t>VÄSTERNORRLANDS LÄN</t>
        </is>
      </c>
      <c r="E4607" t="inlineStr">
        <is>
          <t>ÅNGE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55570-2021</t>
        </is>
      </c>
      <c r="B4608" s="1" t="n">
        <v>44475</v>
      </c>
      <c r="C4608" s="1" t="n">
        <v>45657</v>
      </c>
      <c r="D4608" t="inlineStr">
        <is>
          <t>VÄSTERNORRLANDS LÄN</t>
        </is>
      </c>
      <c r="E4608" t="inlineStr">
        <is>
          <t>ÖRNSKÖLDSVIK</t>
        </is>
      </c>
      <c r="F4608" t="inlineStr">
        <is>
          <t>Holmen skog AB</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55553-2021</t>
        </is>
      </c>
      <c r="B4609" s="1" t="n">
        <v>44475</v>
      </c>
      <c r="C4609" s="1" t="n">
        <v>45657</v>
      </c>
      <c r="D4609" t="inlineStr">
        <is>
          <t>VÄSTERNORRLANDS LÄN</t>
        </is>
      </c>
      <c r="E4609" t="inlineStr">
        <is>
          <t>ÖRNSKÖLDSVIK</t>
        </is>
      </c>
      <c r="F4609" t="inlineStr">
        <is>
          <t>Holmen skog AB</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55566-2021</t>
        </is>
      </c>
      <c r="B4610" s="1" t="n">
        <v>44475</v>
      </c>
      <c r="C4610" s="1" t="n">
        <v>45657</v>
      </c>
      <c r="D4610" t="inlineStr">
        <is>
          <t>VÄSTERNORRLANDS LÄN</t>
        </is>
      </c>
      <c r="E4610" t="inlineStr">
        <is>
          <t>HÄRNÖSAND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55593-2021</t>
        </is>
      </c>
      <c r="B4611" s="1" t="n">
        <v>44476</v>
      </c>
      <c r="C4611" s="1" t="n">
        <v>45657</v>
      </c>
      <c r="D4611" t="inlineStr">
        <is>
          <t>VÄSTERNORRLANDS LÄN</t>
        </is>
      </c>
      <c r="E4611" t="inlineStr">
        <is>
          <t>ÅNGE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55610-2021</t>
        </is>
      </c>
      <c r="B4612" s="1" t="n">
        <v>44476</v>
      </c>
      <c r="C4612" s="1" t="n">
        <v>45657</v>
      </c>
      <c r="D4612" t="inlineStr">
        <is>
          <t>VÄSTERNORRLANDS LÄN</t>
        </is>
      </c>
      <c r="E4612" t="inlineStr">
        <is>
          <t>SOLLEFTEÅ</t>
        </is>
      </c>
      <c r="F4612" t="inlineStr">
        <is>
          <t>SCA</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55643-2021</t>
        </is>
      </c>
      <c r="B4613" s="1" t="n">
        <v>44475</v>
      </c>
      <c r="C4613" s="1" t="n">
        <v>45657</v>
      </c>
      <c r="D4613" t="inlineStr">
        <is>
          <t>VÄSTERNORRLANDS LÄN</t>
        </is>
      </c>
      <c r="E4613" t="inlineStr">
        <is>
          <t>SOLLEFTEÅ</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55584-2021</t>
        </is>
      </c>
      <c r="B4614" s="1" t="n">
        <v>44475</v>
      </c>
      <c r="C4614" s="1" t="n">
        <v>45657</v>
      </c>
      <c r="D4614" t="inlineStr">
        <is>
          <t>VÄSTERNORRLANDS LÄN</t>
        </is>
      </c>
      <c r="E4614" t="inlineStr">
        <is>
          <t>HÄRNÖSAND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55583-2021</t>
        </is>
      </c>
      <c r="B4615" s="1" t="n">
        <v>44475</v>
      </c>
      <c r="C4615" s="1" t="n">
        <v>45657</v>
      </c>
      <c r="D4615" t="inlineStr">
        <is>
          <t>VÄSTERNORRLANDS LÄN</t>
        </is>
      </c>
      <c r="E4615" t="inlineStr">
        <is>
          <t>HÄRNÖSAND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55594-2021</t>
        </is>
      </c>
      <c r="B4616" s="1" t="n">
        <v>44475</v>
      </c>
      <c r="C4616" s="1" t="n">
        <v>45657</v>
      </c>
      <c r="D4616" t="inlineStr">
        <is>
          <t>VÄSTERNORRLANDS LÄN</t>
        </is>
      </c>
      <c r="E4616" t="inlineStr">
        <is>
          <t>SUNDSVALL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55676-2021</t>
        </is>
      </c>
      <c r="B4617" s="1" t="n">
        <v>44476</v>
      </c>
      <c r="C4617" s="1" t="n">
        <v>45657</v>
      </c>
      <c r="D4617" t="inlineStr">
        <is>
          <t>VÄSTERNORRLANDS LÄN</t>
        </is>
      </c>
      <c r="E4617" t="inlineStr">
        <is>
          <t>SUNDSVALL</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55640-2021</t>
        </is>
      </c>
      <c r="B4618" s="1" t="n">
        <v>44476</v>
      </c>
      <c r="C4618" s="1" t="n">
        <v>45657</v>
      </c>
      <c r="D4618" t="inlineStr">
        <is>
          <t>VÄSTERNORRLANDS LÄN</t>
        </is>
      </c>
      <c r="E4618" t="inlineStr">
        <is>
          <t>ÖRNSKÖLDSVIK</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55790-2021</t>
        </is>
      </c>
      <c r="B4619" s="1" t="n">
        <v>44476</v>
      </c>
      <c r="C4619" s="1" t="n">
        <v>45657</v>
      </c>
      <c r="D4619" t="inlineStr">
        <is>
          <t>VÄSTERNORRLANDS LÄN</t>
        </is>
      </c>
      <c r="E4619" t="inlineStr">
        <is>
          <t>HÄRNÖSAND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55638-2021</t>
        </is>
      </c>
      <c r="B4620" s="1" t="n">
        <v>44476</v>
      </c>
      <c r="C4620" s="1" t="n">
        <v>45657</v>
      </c>
      <c r="D4620" t="inlineStr">
        <is>
          <t>VÄSTERNORRLANDS LÄN</t>
        </is>
      </c>
      <c r="E4620" t="inlineStr">
        <is>
          <t>ÖRNSKÖLDSVIK</t>
        </is>
      </c>
      <c r="F4620" t="inlineStr">
        <is>
          <t>Holmen skog AB</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55905-2021</t>
        </is>
      </c>
      <c r="B4621" s="1" t="n">
        <v>44477</v>
      </c>
      <c r="C4621" s="1" t="n">
        <v>45657</v>
      </c>
      <c r="D4621" t="inlineStr">
        <is>
          <t>VÄSTERNORRLANDS LÄN</t>
        </is>
      </c>
      <c r="E4621" t="inlineStr">
        <is>
          <t>ÅNGE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55904-2021</t>
        </is>
      </c>
      <c r="B4622" s="1" t="n">
        <v>44476</v>
      </c>
      <c r="C4622" s="1" t="n">
        <v>45657</v>
      </c>
      <c r="D4622" t="inlineStr">
        <is>
          <t>VÄSTERNORRLANDS LÄN</t>
        </is>
      </c>
      <c r="E4622" t="inlineStr">
        <is>
          <t>SOLLEFTEÅ</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55912-2021</t>
        </is>
      </c>
      <c r="B4623" s="1" t="n">
        <v>44477</v>
      </c>
      <c r="C4623" s="1" t="n">
        <v>45657</v>
      </c>
      <c r="D4623" t="inlineStr">
        <is>
          <t>VÄSTERNORRLANDS LÄN</t>
        </is>
      </c>
      <c r="E4623" t="inlineStr">
        <is>
          <t>ÅNGE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55924-2021</t>
        </is>
      </c>
      <c r="B4624" s="1" t="n">
        <v>44476</v>
      </c>
      <c r="C4624" s="1" t="n">
        <v>45657</v>
      </c>
      <c r="D4624" t="inlineStr">
        <is>
          <t>VÄSTERNORRLANDS LÄN</t>
        </is>
      </c>
      <c r="E4624" t="inlineStr">
        <is>
          <t>KRAMFORS</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55955-2021</t>
        </is>
      </c>
      <c r="B4625" s="1" t="n">
        <v>44477</v>
      </c>
      <c r="C4625" s="1" t="n">
        <v>45657</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56008-2021</t>
        </is>
      </c>
      <c r="B4626" s="1" t="n">
        <v>44477</v>
      </c>
      <c r="C4626" s="1" t="n">
        <v>45657</v>
      </c>
      <c r="D4626" t="inlineStr">
        <is>
          <t>VÄSTERNORRLANDS LÄN</t>
        </is>
      </c>
      <c r="E4626" t="inlineStr">
        <is>
          <t>HÄRNÖSAND</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56004-2021</t>
        </is>
      </c>
      <c r="B4627" s="1" t="n">
        <v>44477</v>
      </c>
      <c r="C4627" s="1" t="n">
        <v>45657</v>
      </c>
      <c r="D4627" t="inlineStr">
        <is>
          <t>VÄSTERNORRLANDS LÄN</t>
        </is>
      </c>
      <c r="E4627" t="inlineStr">
        <is>
          <t>HÄRNÖSAND</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56169-2021</t>
        </is>
      </c>
      <c r="B4628" s="1" t="n">
        <v>44477</v>
      </c>
      <c r="C4628" s="1" t="n">
        <v>45657</v>
      </c>
      <c r="D4628" t="inlineStr">
        <is>
          <t>VÄSTERNORRLANDS LÄN</t>
        </is>
      </c>
      <c r="E4628" t="inlineStr">
        <is>
          <t>KRAMFORS</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56211-2021</t>
        </is>
      </c>
      <c r="B4629" s="1" t="n">
        <v>44478</v>
      </c>
      <c r="C4629" s="1" t="n">
        <v>45657</v>
      </c>
      <c r="D4629" t="inlineStr">
        <is>
          <t>VÄSTERNORRLANDS LÄN</t>
        </is>
      </c>
      <c r="E4629" t="inlineStr">
        <is>
          <t>SOLLEFTEÅ</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56216-2021</t>
        </is>
      </c>
      <c r="B4630" s="1" t="n">
        <v>44478</v>
      </c>
      <c r="C4630" s="1" t="n">
        <v>45657</v>
      </c>
      <c r="D4630" t="inlineStr">
        <is>
          <t>VÄSTERNORRLANDS LÄN</t>
        </is>
      </c>
      <c r="E4630" t="inlineStr">
        <is>
          <t>SUNDSVALL</t>
        </is>
      </c>
      <c r="F4630" t="inlineStr">
        <is>
          <t>SCA</t>
        </is>
      </c>
      <c r="G4630" t="n">
        <v>11.8</v>
      </c>
      <c r="H4630" t="n">
        <v>0</v>
      </c>
      <c r="I4630" t="n">
        <v>0</v>
      </c>
      <c r="J4630" t="n">
        <v>0</v>
      </c>
      <c r="K4630" t="n">
        <v>0</v>
      </c>
      <c r="L4630" t="n">
        <v>0</v>
      </c>
      <c r="M4630" t="n">
        <v>0</v>
      </c>
      <c r="N4630" t="n">
        <v>0</v>
      </c>
      <c r="O4630" t="n">
        <v>0</v>
      </c>
      <c r="P4630" t="n">
        <v>0</v>
      </c>
      <c r="Q4630" t="n">
        <v>0</v>
      </c>
      <c r="R4630" s="2" t="inlineStr"/>
    </row>
    <row r="4631" ht="15" customHeight="1">
      <c r="A4631" t="inlineStr">
        <is>
          <t>A 56217-2021</t>
        </is>
      </c>
      <c r="B4631" s="1" t="n">
        <v>44478</v>
      </c>
      <c r="C4631" s="1" t="n">
        <v>45657</v>
      </c>
      <c r="D4631" t="inlineStr">
        <is>
          <t>VÄSTERNORRLANDS LÄN</t>
        </is>
      </c>
      <c r="E4631" t="inlineStr">
        <is>
          <t>SUNDSVALL</t>
        </is>
      </c>
      <c r="F4631" t="inlineStr">
        <is>
          <t>SCA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56434-2021</t>
        </is>
      </c>
      <c r="B4632" s="1" t="n">
        <v>44477</v>
      </c>
      <c r="C4632" s="1" t="n">
        <v>45657</v>
      </c>
      <c r="D4632" t="inlineStr">
        <is>
          <t>VÄSTERNORRLANDS LÄN</t>
        </is>
      </c>
      <c r="E4632" t="inlineStr">
        <is>
          <t>ÅNGE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56218-2021</t>
        </is>
      </c>
      <c r="B4633" s="1" t="n">
        <v>44478</v>
      </c>
      <c r="C4633" s="1" t="n">
        <v>45657</v>
      </c>
      <c r="D4633" t="inlineStr">
        <is>
          <t>VÄSTERNORRLANDS LÄN</t>
        </is>
      </c>
      <c r="E4633" t="inlineStr">
        <is>
          <t>SUNDSVALL</t>
        </is>
      </c>
      <c r="F4633" t="inlineStr">
        <is>
          <t>SCA</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56437-2021</t>
        </is>
      </c>
      <c r="B4634" s="1" t="n">
        <v>44477</v>
      </c>
      <c r="C4634" s="1" t="n">
        <v>45657</v>
      </c>
      <c r="D4634" t="inlineStr">
        <is>
          <t>VÄSTERNORRLANDS LÄN</t>
        </is>
      </c>
      <c r="E4634" t="inlineStr">
        <is>
          <t>ÅNGE</t>
        </is>
      </c>
      <c r="G4634" t="n">
        <v>18.7</v>
      </c>
      <c r="H4634" t="n">
        <v>0</v>
      </c>
      <c r="I4634" t="n">
        <v>0</v>
      </c>
      <c r="J4634" t="n">
        <v>0</v>
      </c>
      <c r="K4634" t="n">
        <v>0</v>
      </c>
      <c r="L4634" t="n">
        <v>0</v>
      </c>
      <c r="M4634" t="n">
        <v>0</v>
      </c>
      <c r="N4634" t="n">
        <v>0</v>
      </c>
      <c r="O4634" t="n">
        <v>0</v>
      </c>
      <c r="P4634" t="n">
        <v>0</v>
      </c>
      <c r="Q4634" t="n">
        <v>0</v>
      </c>
      <c r="R4634" s="2" t="inlineStr"/>
    </row>
    <row r="4635" ht="15" customHeight="1">
      <c r="A4635" t="inlineStr">
        <is>
          <t>A 56513-2021</t>
        </is>
      </c>
      <c r="B4635" s="1" t="n">
        <v>44480</v>
      </c>
      <c r="C4635" s="1" t="n">
        <v>45657</v>
      </c>
      <c r="D4635" t="inlineStr">
        <is>
          <t>VÄSTERNORRLANDS LÄN</t>
        </is>
      </c>
      <c r="E4635" t="inlineStr">
        <is>
          <t>ÖRNSKÖLDSVIK</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56334-2021</t>
        </is>
      </c>
      <c r="B4636" s="1" t="n">
        <v>44480</v>
      </c>
      <c r="C4636" s="1" t="n">
        <v>45657</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56361-2021</t>
        </is>
      </c>
      <c r="B4637" s="1" t="n">
        <v>44480</v>
      </c>
      <c r="C4637" s="1" t="n">
        <v>45657</v>
      </c>
      <c r="D4637" t="inlineStr">
        <is>
          <t>VÄSTERNORRLANDS LÄN</t>
        </is>
      </c>
      <c r="E4637" t="inlineStr">
        <is>
          <t>ÖRNSKÖLDSVIK</t>
        </is>
      </c>
      <c r="F4637" t="inlineStr">
        <is>
          <t>Holmen skog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56538-2021</t>
        </is>
      </c>
      <c r="B4638" s="1" t="n">
        <v>44480</v>
      </c>
      <c r="C4638" s="1" t="n">
        <v>45657</v>
      </c>
      <c r="D4638" t="inlineStr">
        <is>
          <t>VÄSTERNORRLANDS LÄN</t>
        </is>
      </c>
      <c r="E4638" t="inlineStr">
        <is>
          <t>ÖRNSKÖLDSVIK</t>
        </is>
      </c>
      <c r="F4638" t="inlineStr">
        <is>
          <t>Holmen skog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56596-2021</t>
        </is>
      </c>
      <c r="B4639" s="1" t="n">
        <v>44480</v>
      </c>
      <c r="C4639" s="1" t="n">
        <v>45657</v>
      </c>
      <c r="D4639" t="inlineStr">
        <is>
          <t>VÄSTERNORRLANDS LÄN</t>
        </is>
      </c>
      <c r="E4639" t="inlineStr">
        <is>
          <t>ÖRNSKÖLDSVIK</t>
        </is>
      </c>
      <c r="F4639" t="inlineStr">
        <is>
          <t>Holmen skog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56660-2021</t>
        </is>
      </c>
      <c r="B4640" s="1" t="n">
        <v>44481</v>
      </c>
      <c r="C4640" s="1" t="n">
        <v>45657</v>
      </c>
      <c r="D4640" t="inlineStr">
        <is>
          <t>VÄSTERNORRLANDS LÄN</t>
        </is>
      </c>
      <c r="E4640" t="inlineStr">
        <is>
          <t>SUNDSVALL</t>
        </is>
      </c>
      <c r="F4640" t="inlineStr">
        <is>
          <t>Naturvårdsverket</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56894-2021</t>
        </is>
      </c>
      <c r="B4641" s="1" t="n">
        <v>44481</v>
      </c>
      <c r="C4641" s="1" t="n">
        <v>45657</v>
      </c>
      <c r="D4641" t="inlineStr">
        <is>
          <t>VÄSTERNORRLANDS LÄN</t>
        </is>
      </c>
      <c r="E4641" t="inlineStr">
        <is>
          <t>SUNDSVALL</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56918-2021</t>
        </is>
      </c>
      <c r="B4642" s="1" t="n">
        <v>44482</v>
      </c>
      <c r="C4642" s="1" t="n">
        <v>45657</v>
      </c>
      <c r="D4642" t="inlineStr">
        <is>
          <t>VÄSTERNORRLANDS LÄN</t>
        </is>
      </c>
      <c r="E4642" t="inlineStr">
        <is>
          <t>SOLLEFTEÅ</t>
        </is>
      </c>
      <c r="F4642" t="inlineStr">
        <is>
          <t>SCA</t>
        </is>
      </c>
      <c r="G4642" t="n">
        <v>13.9</v>
      </c>
      <c r="H4642" t="n">
        <v>0</v>
      </c>
      <c r="I4642" t="n">
        <v>0</v>
      </c>
      <c r="J4642" t="n">
        <v>0</v>
      </c>
      <c r="K4642" t="n">
        <v>0</v>
      </c>
      <c r="L4642" t="n">
        <v>0</v>
      </c>
      <c r="M4642" t="n">
        <v>0</v>
      </c>
      <c r="N4642" t="n">
        <v>0</v>
      </c>
      <c r="O4642" t="n">
        <v>0</v>
      </c>
      <c r="P4642" t="n">
        <v>0</v>
      </c>
      <c r="Q4642" t="n">
        <v>0</v>
      </c>
      <c r="R4642" s="2" t="inlineStr"/>
    </row>
    <row r="4643" ht="15" customHeight="1">
      <c r="A4643" t="inlineStr">
        <is>
          <t>A 56755-2021</t>
        </is>
      </c>
      <c r="B4643" s="1" t="n">
        <v>44481</v>
      </c>
      <c r="C4643" s="1" t="n">
        <v>45657</v>
      </c>
      <c r="D4643" t="inlineStr">
        <is>
          <t>VÄSTERNORRLANDS LÄN</t>
        </is>
      </c>
      <c r="E4643" t="inlineStr">
        <is>
          <t>SUNDSVALL</t>
        </is>
      </c>
      <c r="F4643" t="inlineStr">
        <is>
          <t>Kommuner</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56679-2021</t>
        </is>
      </c>
      <c r="B4644" s="1" t="n">
        <v>44481</v>
      </c>
      <c r="C4644" s="1" t="n">
        <v>45657</v>
      </c>
      <c r="D4644" t="inlineStr">
        <is>
          <t>VÄSTERNORRLANDS LÄN</t>
        </is>
      </c>
      <c r="E4644" t="inlineStr">
        <is>
          <t>ÖRNSKÖLDSVIK</t>
        </is>
      </c>
      <c r="F4644" t="inlineStr">
        <is>
          <t>Holmen skog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56741-2021</t>
        </is>
      </c>
      <c r="B4645" s="1" t="n">
        <v>44481</v>
      </c>
      <c r="C4645" s="1" t="n">
        <v>45657</v>
      </c>
      <c r="D4645" t="inlineStr">
        <is>
          <t>VÄSTERNORRLANDS LÄN</t>
        </is>
      </c>
      <c r="E4645" t="inlineStr">
        <is>
          <t>ÖRNSKÖLDSVIK</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56907-2021</t>
        </is>
      </c>
      <c r="B4646" s="1" t="n">
        <v>44482</v>
      </c>
      <c r="C4646" s="1" t="n">
        <v>45657</v>
      </c>
      <c r="D4646" t="inlineStr">
        <is>
          <t>VÄSTERNORRLANDS LÄN</t>
        </is>
      </c>
      <c r="E4646" t="inlineStr">
        <is>
          <t>ÅNGE</t>
        </is>
      </c>
      <c r="F4646" t="inlineStr">
        <is>
          <t>SCA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56892-2021</t>
        </is>
      </c>
      <c r="B4647" s="1" t="n">
        <v>44481</v>
      </c>
      <c r="C4647" s="1" t="n">
        <v>45657</v>
      </c>
      <c r="D4647" t="inlineStr">
        <is>
          <t>VÄSTERNORRLANDS LÄN</t>
        </is>
      </c>
      <c r="E4647" t="inlineStr">
        <is>
          <t>SUNDSVALL</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56908-2021</t>
        </is>
      </c>
      <c r="B4648" s="1" t="n">
        <v>44482</v>
      </c>
      <c r="C4648" s="1" t="n">
        <v>45657</v>
      </c>
      <c r="D4648" t="inlineStr">
        <is>
          <t>VÄSTERNORRLANDS LÄN</t>
        </is>
      </c>
      <c r="E4648" t="inlineStr">
        <is>
          <t>ÅNGE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57007-2021</t>
        </is>
      </c>
      <c r="B4649" s="1" t="n">
        <v>44482</v>
      </c>
      <c r="C4649" s="1" t="n">
        <v>45657</v>
      </c>
      <c r="D4649" t="inlineStr">
        <is>
          <t>VÄSTERNORRLANDS LÄN</t>
        </is>
      </c>
      <c r="E4649" t="inlineStr">
        <is>
          <t>SOLLEFTEÅ</t>
        </is>
      </c>
      <c r="G4649" t="n">
        <v>7.4</v>
      </c>
      <c r="H4649" t="n">
        <v>0</v>
      </c>
      <c r="I4649" t="n">
        <v>0</v>
      </c>
      <c r="J4649" t="n">
        <v>0</v>
      </c>
      <c r="K4649" t="n">
        <v>0</v>
      </c>
      <c r="L4649" t="n">
        <v>0</v>
      </c>
      <c r="M4649" t="n">
        <v>0</v>
      </c>
      <c r="N4649" t="n">
        <v>0</v>
      </c>
      <c r="O4649" t="n">
        <v>0</v>
      </c>
      <c r="P4649" t="n">
        <v>0</v>
      </c>
      <c r="Q4649" t="n">
        <v>0</v>
      </c>
      <c r="R4649" s="2" t="inlineStr"/>
    </row>
    <row r="4650" ht="15" customHeight="1">
      <c r="A4650" t="inlineStr">
        <is>
          <t>A 57203-2021</t>
        </is>
      </c>
      <c r="B4650" s="1" t="n">
        <v>44482</v>
      </c>
      <c r="C4650" s="1" t="n">
        <v>45657</v>
      </c>
      <c r="D4650" t="inlineStr">
        <is>
          <t>VÄSTERNORRLANDS LÄN</t>
        </is>
      </c>
      <c r="E4650" t="inlineStr">
        <is>
          <t>KRAMFORS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57213-2021</t>
        </is>
      </c>
      <c r="B4651" s="1" t="n">
        <v>44482</v>
      </c>
      <c r="C4651" s="1" t="n">
        <v>45657</v>
      </c>
      <c r="D4651" t="inlineStr">
        <is>
          <t>VÄSTERNORRLANDS LÄN</t>
        </is>
      </c>
      <c r="E4651" t="inlineStr">
        <is>
          <t>KRAMFORS</t>
        </is>
      </c>
      <c r="F4651" t="inlineStr">
        <is>
          <t>SCA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57143-2021</t>
        </is>
      </c>
      <c r="B4652" s="1" t="n">
        <v>44482</v>
      </c>
      <c r="C4652" s="1" t="n">
        <v>45657</v>
      </c>
      <c r="D4652" t="inlineStr">
        <is>
          <t>VÄSTERNORRLANDS LÄN</t>
        </is>
      </c>
      <c r="E4652" t="inlineStr">
        <is>
          <t>ÖRNSKÖLDSVIK</t>
        </is>
      </c>
      <c r="F4652" t="inlineStr">
        <is>
          <t>Holmen skog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57162-2021</t>
        </is>
      </c>
      <c r="B4653" s="1" t="n">
        <v>44482</v>
      </c>
      <c r="C4653" s="1" t="n">
        <v>45657</v>
      </c>
      <c r="D4653" t="inlineStr">
        <is>
          <t>VÄSTERNORRLANDS LÄN</t>
        </is>
      </c>
      <c r="E4653" t="inlineStr">
        <is>
          <t>ÅNGE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57202-2021</t>
        </is>
      </c>
      <c r="B4654" s="1" t="n">
        <v>44482</v>
      </c>
      <c r="C4654" s="1" t="n">
        <v>45657</v>
      </c>
      <c r="D4654" t="inlineStr">
        <is>
          <t>VÄSTERNORRLANDS LÄN</t>
        </is>
      </c>
      <c r="E4654" t="inlineStr">
        <is>
          <t>SUNDSVALL</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57212-2021</t>
        </is>
      </c>
      <c r="B4655" s="1" t="n">
        <v>44483</v>
      </c>
      <c r="C4655" s="1" t="n">
        <v>45657</v>
      </c>
      <c r="D4655" t="inlineStr">
        <is>
          <t>VÄSTERNORRLANDS LÄN</t>
        </is>
      </c>
      <c r="E4655" t="inlineStr">
        <is>
          <t>SUNDSVALL</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57082-2021</t>
        </is>
      </c>
      <c r="B4656" s="1" t="n">
        <v>44482</v>
      </c>
      <c r="C4656" s="1" t="n">
        <v>45657</v>
      </c>
      <c r="D4656" t="inlineStr">
        <is>
          <t>VÄSTERNORRLANDS LÄN</t>
        </is>
      </c>
      <c r="E4656" t="inlineStr">
        <is>
          <t>SUNDSVALL</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57234-2021</t>
        </is>
      </c>
      <c r="B4657" s="1" t="n">
        <v>44482</v>
      </c>
      <c r="C4657" s="1" t="n">
        <v>45657</v>
      </c>
      <c r="D4657" t="inlineStr">
        <is>
          <t>VÄSTERNORRLANDS LÄN</t>
        </is>
      </c>
      <c r="E4657" t="inlineStr">
        <is>
          <t>SUNDSVALL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57204-2021</t>
        </is>
      </c>
      <c r="B4658" s="1" t="n">
        <v>44482</v>
      </c>
      <c r="C4658" s="1" t="n">
        <v>45657</v>
      </c>
      <c r="D4658" t="inlineStr">
        <is>
          <t>VÄSTERNORRLANDS LÄN</t>
        </is>
      </c>
      <c r="E4658" t="inlineStr">
        <is>
          <t>KRAMFORS</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57306-2021</t>
        </is>
      </c>
      <c r="B4659" s="1" t="n">
        <v>44483</v>
      </c>
      <c r="C4659" s="1" t="n">
        <v>45657</v>
      </c>
      <c r="D4659" t="inlineStr">
        <is>
          <t>VÄSTERNORRLANDS LÄN</t>
        </is>
      </c>
      <c r="E4659" t="inlineStr">
        <is>
          <t>ÖRNSKÖLDSVIK</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57342-2021</t>
        </is>
      </c>
      <c r="B4660" s="1" t="n">
        <v>44483</v>
      </c>
      <c r="C4660" s="1" t="n">
        <v>45657</v>
      </c>
      <c r="D4660" t="inlineStr">
        <is>
          <t>VÄSTERNORRLANDS LÄN</t>
        </is>
      </c>
      <c r="E4660" t="inlineStr">
        <is>
          <t>ÖRNSKÖLDSVIK</t>
        </is>
      </c>
      <c r="F4660" t="inlineStr">
        <is>
          <t>Holmen skog AB</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57418-2021</t>
        </is>
      </c>
      <c r="B4661" s="1" t="n">
        <v>44483</v>
      </c>
      <c r="C4661" s="1" t="n">
        <v>45657</v>
      </c>
      <c r="D4661" t="inlineStr">
        <is>
          <t>VÄSTERNORRLANDS LÄN</t>
        </is>
      </c>
      <c r="E4661" t="inlineStr">
        <is>
          <t>ÅNGE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57310-2021</t>
        </is>
      </c>
      <c r="B4662" s="1" t="n">
        <v>44483</v>
      </c>
      <c r="C4662" s="1" t="n">
        <v>45657</v>
      </c>
      <c r="D4662" t="inlineStr">
        <is>
          <t>VÄSTERNORRLANDS LÄN</t>
        </is>
      </c>
      <c r="E4662" t="inlineStr">
        <is>
          <t>ÖRNSKÖLDSVIK</t>
        </is>
      </c>
      <c r="F4662" t="inlineStr">
        <is>
          <t>Holmen skog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57233-2021</t>
        </is>
      </c>
      <c r="B4663" s="1" t="n">
        <v>44483</v>
      </c>
      <c r="C4663" s="1" t="n">
        <v>45657</v>
      </c>
      <c r="D4663" t="inlineStr">
        <is>
          <t>VÄSTERNORRLANDS LÄN</t>
        </is>
      </c>
      <c r="E4663" t="inlineStr">
        <is>
          <t>KRAMFORS</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57438-2021</t>
        </is>
      </c>
      <c r="B4664" s="1" t="n">
        <v>44483</v>
      </c>
      <c r="C4664" s="1" t="n">
        <v>45657</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57550-2021</t>
        </is>
      </c>
      <c r="B4665" s="1" t="n">
        <v>44484</v>
      </c>
      <c r="C4665" s="1" t="n">
        <v>45657</v>
      </c>
      <c r="D4665" t="inlineStr">
        <is>
          <t>VÄSTERNORRLANDS LÄN</t>
        </is>
      </c>
      <c r="E4665" t="inlineStr">
        <is>
          <t>SOLLEFTEÅ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57533-2021</t>
        </is>
      </c>
      <c r="B4666" s="1" t="n">
        <v>44484</v>
      </c>
      <c r="C4666" s="1" t="n">
        <v>45657</v>
      </c>
      <c r="D4666" t="inlineStr">
        <is>
          <t>VÄSTERNORRLANDS LÄN</t>
        </is>
      </c>
      <c r="E4666" t="inlineStr">
        <is>
          <t>SUNDSVALL</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57552-2021</t>
        </is>
      </c>
      <c r="B4667" s="1" t="n">
        <v>44483</v>
      </c>
      <c r="C4667" s="1" t="n">
        <v>45657</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57543-2021</t>
        </is>
      </c>
      <c r="B4668" s="1" t="n">
        <v>44483</v>
      </c>
      <c r="C4668" s="1" t="n">
        <v>45657</v>
      </c>
      <c r="D4668" t="inlineStr">
        <is>
          <t>VÄSTERNORRLANDS LÄN</t>
        </is>
      </c>
      <c r="E4668" t="inlineStr">
        <is>
          <t>SUNDSVALL</t>
        </is>
      </c>
      <c r="F4668" t="inlineStr">
        <is>
          <t>SCA</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57735-2021</t>
        </is>
      </c>
      <c r="B4669" s="1" t="n">
        <v>44484</v>
      </c>
      <c r="C4669" s="1" t="n">
        <v>45657</v>
      </c>
      <c r="D4669" t="inlineStr">
        <is>
          <t>VÄSTERNORRLANDS LÄN</t>
        </is>
      </c>
      <c r="E4669" t="inlineStr">
        <is>
          <t>KRAMFORS</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57742-2021</t>
        </is>
      </c>
      <c r="B4670" s="1" t="n">
        <v>44484</v>
      </c>
      <c r="C4670" s="1" t="n">
        <v>45657</v>
      </c>
      <c r="D4670" t="inlineStr">
        <is>
          <t>VÄSTERNORRLANDS LÄN</t>
        </is>
      </c>
      <c r="E4670" t="inlineStr">
        <is>
          <t>KRAMFORS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57737-2021</t>
        </is>
      </c>
      <c r="B4671" s="1" t="n">
        <v>44484</v>
      </c>
      <c r="C4671" s="1" t="n">
        <v>45657</v>
      </c>
      <c r="D4671" t="inlineStr">
        <is>
          <t>VÄSTERNORRLANDS LÄN</t>
        </is>
      </c>
      <c r="E4671" t="inlineStr">
        <is>
          <t>KRAMFORS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57856-2021</t>
        </is>
      </c>
      <c r="B4672" s="1" t="n">
        <v>44485</v>
      </c>
      <c r="C4672" s="1" t="n">
        <v>45657</v>
      </c>
      <c r="D4672" t="inlineStr">
        <is>
          <t>VÄSTERNORRLANDS LÄN</t>
        </is>
      </c>
      <c r="E4672" t="inlineStr">
        <is>
          <t>SOLLEFTEÅ</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57739-2021</t>
        </is>
      </c>
      <c r="B4673" s="1" t="n">
        <v>44484</v>
      </c>
      <c r="C4673" s="1" t="n">
        <v>45657</v>
      </c>
      <c r="D4673" t="inlineStr">
        <is>
          <t>VÄSTERNORRLANDS LÄN</t>
        </is>
      </c>
      <c r="E4673" t="inlineStr">
        <is>
          <t>KRAMFORS</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57911-2021</t>
        </is>
      </c>
      <c r="B4674" s="1" t="n">
        <v>44486</v>
      </c>
      <c r="C4674" s="1" t="n">
        <v>45657</v>
      </c>
      <c r="D4674" t="inlineStr">
        <is>
          <t>VÄSTERNORRLANDS LÄN</t>
        </is>
      </c>
      <c r="E4674" t="inlineStr">
        <is>
          <t>SOLLEFTEÅ</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58268-2021</t>
        </is>
      </c>
      <c r="B4675" s="1" t="n">
        <v>44487</v>
      </c>
      <c r="C4675" s="1" t="n">
        <v>45657</v>
      </c>
      <c r="D4675" t="inlineStr">
        <is>
          <t>VÄSTERNORRLANDS LÄN</t>
        </is>
      </c>
      <c r="E4675" t="inlineStr">
        <is>
          <t>SOLLEFTEÅ</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58276-2021</t>
        </is>
      </c>
      <c r="B4676" s="1" t="n">
        <v>44488</v>
      </c>
      <c r="C4676" s="1" t="n">
        <v>45657</v>
      </c>
      <c r="D4676" t="inlineStr">
        <is>
          <t>VÄSTERNORRLANDS LÄN</t>
        </is>
      </c>
      <c r="E4676" t="inlineStr">
        <is>
          <t>SOLLEFTEÅ</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58032-2021</t>
        </is>
      </c>
      <c r="B4677" s="1" t="n">
        <v>44487</v>
      </c>
      <c r="C4677" s="1" t="n">
        <v>45657</v>
      </c>
      <c r="D4677" t="inlineStr">
        <is>
          <t>VÄSTERNORRLANDS LÄN</t>
        </is>
      </c>
      <c r="E4677" t="inlineStr">
        <is>
          <t>SUNDSVALL</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58037-2021</t>
        </is>
      </c>
      <c r="B4678" s="1" t="n">
        <v>44487</v>
      </c>
      <c r="C4678" s="1" t="n">
        <v>45657</v>
      </c>
      <c r="D4678" t="inlineStr">
        <is>
          <t>VÄSTERNORRLANDS LÄN</t>
        </is>
      </c>
      <c r="E4678" t="inlineStr">
        <is>
          <t>SUNDSVALL</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58078-2021</t>
        </is>
      </c>
      <c r="B4679" s="1" t="n">
        <v>44487</v>
      </c>
      <c r="C4679" s="1" t="n">
        <v>45657</v>
      </c>
      <c r="D4679" t="inlineStr">
        <is>
          <t>VÄSTERNORRLANDS LÄN</t>
        </is>
      </c>
      <c r="E4679" t="inlineStr">
        <is>
          <t>ÖRNSKÖLDSVIK</t>
        </is>
      </c>
      <c r="F4679" t="inlineStr">
        <is>
          <t>Holmen skog AB</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58170-2021</t>
        </is>
      </c>
      <c r="B4680" s="1" t="n">
        <v>44487</v>
      </c>
      <c r="C4680" s="1" t="n">
        <v>45657</v>
      </c>
      <c r="D4680" t="inlineStr">
        <is>
          <t>VÄSTERNORRLANDS LÄN</t>
        </is>
      </c>
      <c r="E4680" t="inlineStr">
        <is>
          <t>ÖRNSKÖLDSVIK</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58149-2021</t>
        </is>
      </c>
      <c r="B4681" s="1" t="n">
        <v>44487</v>
      </c>
      <c r="C4681" s="1" t="n">
        <v>45657</v>
      </c>
      <c r="D4681" t="inlineStr">
        <is>
          <t>VÄSTERNORRLANDS LÄN</t>
        </is>
      </c>
      <c r="E4681" t="inlineStr">
        <is>
          <t>HÄRNÖSAND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58179-2021</t>
        </is>
      </c>
      <c r="B4682" s="1" t="n">
        <v>44487</v>
      </c>
      <c r="C4682" s="1" t="n">
        <v>45657</v>
      </c>
      <c r="D4682" t="inlineStr">
        <is>
          <t>VÄSTERNORRLANDS LÄN</t>
        </is>
      </c>
      <c r="E4682" t="inlineStr">
        <is>
          <t>SOLLEFTEÅ</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58274-2021</t>
        </is>
      </c>
      <c r="B4683" s="1" t="n">
        <v>44488</v>
      </c>
      <c r="C4683" s="1" t="n">
        <v>45657</v>
      </c>
      <c r="D4683" t="inlineStr">
        <is>
          <t>VÄSTERNORRLANDS LÄN</t>
        </is>
      </c>
      <c r="E4683" t="inlineStr">
        <is>
          <t>SUNDSVALL</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58442-2021</t>
        </is>
      </c>
      <c r="B4684" s="1" t="n">
        <v>44488</v>
      </c>
      <c r="C4684" s="1" t="n">
        <v>45657</v>
      </c>
      <c r="D4684" t="inlineStr">
        <is>
          <t>VÄSTERNORRLANDS LÄN</t>
        </is>
      </c>
      <c r="E4684" t="inlineStr">
        <is>
          <t>ÖRNSKÖLDSVIK</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58475-2021</t>
        </is>
      </c>
      <c r="B4685" s="1" t="n">
        <v>44488</v>
      </c>
      <c r="C4685" s="1" t="n">
        <v>45657</v>
      </c>
      <c r="D4685" t="inlineStr">
        <is>
          <t>VÄSTERNORRLANDS LÄN</t>
        </is>
      </c>
      <c r="E4685" t="inlineStr">
        <is>
          <t>ÖRNSKÖLDSVIK</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58461-2021</t>
        </is>
      </c>
      <c r="B4686" s="1" t="n">
        <v>44488</v>
      </c>
      <c r="C4686" s="1" t="n">
        <v>45657</v>
      </c>
      <c r="D4686" t="inlineStr">
        <is>
          <t>VÄSTERNORRLANDS LÄN</t>
        </is>
      </c>
      <c r="E4686" t="inlineStr">
        <is>
          <t>ÖRNSKÖLDSVIK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58478-2021</t>
        </is>
      </c>
      <c r="B4687" s="1" t="n">
        <v>44488</v>
      </c>
      <c r="C4687" s="1" t="n">
        <v>45657</v>
      </c>
      <c r="D4687" t="inlineStr">
        <is>
          <t>VÄSTERNORRLANDS LÄN</t>
        </is>
      </c>
      <c r="E4687" t="inlineStr">
        <is>
          <t>SOLLEFTEÅ</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58486-2021</t>
        </is>
      </c>
      <c r="B4688" s="1" t="n">
        <v>44488</v>
      </c>
      <c r="C4688" s="1" t="n">
        <v>45657</v>
      </c>
      <c r="D4688" t="inlineStr">
        <is>
          <t>VÄSTERNORRLANDS LÄN</t>
        </is>
      </c>
      <c r="E4688" t="inlineStr">
        <is>
          <t>SOLLEFTEÅ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58571-2021</t>
        </is>
      </c>
      <c r="B4689" s="1" t="n">
        <v>44488</v>
      </c>
      <c r="C4689" s="1" t="n">
        <v>45657</v>
      </c>
      <c r="D4689" t="inlineStr">
        <is>
          <t>VÄSTERNORRLANDS LÄN</t>
        </is>
      </c>
      <c r="E4689" t="inlineStr">
        <is>
          <t>SOLLEFTEÅ</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58573-2021</t>
        </is>
      </c>
      <c r="B4690" s="1" t="n">
        <v>44488</v>
      </c>
      <c r="C4690" s="1" t="n">
        <v>45657</v>
      </c>
      <c r="D4690" t="inlineStr">
        <is>
          <t>VÄSTERNORRLANDS LÄN</t>
        </is>
      </c>
      <c r="E4690" t="inlineStr">
        <is>
          <t>SOLLEFTEÅ</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58726-2021</t>
        </is>
      </c>
      <c r="B4691" s="1" t="n">
        <v>44489</v>
      </c>
      <c r="C4691" s="1" t="n">
        <v>45657</v>
      </c>
      <c r="D4691" t="inlineStr">
        <is>
          <t>VÄSTERNORRLANDS LÄN</t>
        </is>
      </c>
      <c r="E4691" t="inlineStr">
        <is>
          <t>SOLLEFTEÅ</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58742-2021</t>
        </is>
      </c>
      <c r="B4692" s="1" t="n">
        <v>44489</v>
      </c>
      <c r="C4692" s="1" t="n">
        <v>45657</v>
      </c>
      <c r="D4692" t="inlineStr">
        <is>
          <t>VÄSTERNORRLANDS LÄN</t>
        </is>
      </c>
      <c r="E4692" t="inlineStr">
        <is>
          <t>SOLLEFTEÅ</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58755-2021</t>
        </is>
      </c>
      <c r="B4693" s="1" t="n">
        <v>44489</v>
      </c>
      <c r="C4693" s="1" t="n">
        <v>45657</v>
      </c>
      <c r="D4693" t="inlineStr">
        <is>
          <t>VÄSTERNORRLANDS LÄN</t>
        </is>
      </c>
      <c r="E4693" t="inlineStr">
        <is>
          <t>SOLLEFTEÅ</t>
        </is>
      </c>
      <c r="G4693" t="n">
        <v>12.2</v>
      </c>
      <c r="H4693" t="n">
        <v>0</v>
      </c>
      <c r="I4693" t="n">
        <v>0</v>
      </c>
      <c r="J4693" t="n">
        <v>0</v>
      </c>
      <c r="K4693" t="n">
        <v>0</v>
      </c>
      <c r="L4693" t="n">
        <v>0</v>
      </c>
      <c r="M4693" t="n">
        <v>0</v>
      </c>
      <c r="N4693" t="n">
        <v>0</v>
      </c>
      <c r="O4693" t="n">
        <v>0</v>
      </c>
      <c r="P4693" t="n">
        <v>0</v>
      </c>
      <c r="Q4693" t="n">
        <v>0</v>
      </c>
      <c r="R4693" s="2" t="inlineStr"/>
    </row>
    <row r="4694" ht="15" customHeight="1">
      <c r="A4694" t="inlineStr">
        <is>
          <t>A 58688-2021</t>
        </is>
      </c>
      <c r="B4694" s="1" t="n">
        <v>44489</v>
      </c>
      <c r="C4694" s="1" t="n">
        <v>45657</v>
      </c>
      <c r="D4694" t="inlineStr">
        <is>
          <t>VÄSTERNORRLANDS LÄN</t>
        </is>
      </c>
      <c r="E4694" t="inlineStr">
        <is>
          <t>SOLLEFTEÅ</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58939-2021</t>
        </is>
      </c>
      <c r="B4695" s="1" t="n">
        <v>44489</v>
      </c>
      <c r="C4695" s="1" t="n">
        <v>45657</v>
      </c>
      <c r="D4695" t="inlineStr">
        <is>
          <t>VÄSTERNORRLANDS LÄN</t>
        </is>
      </c>
      <c r="E4695" t="inlineStr">
        <is>
          <t>ÅNGE</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58715-2021</t>
        </is>
      </c>
      <c r="B4696" s="1" t="n">
        <v>44489</v>
      </c>
      <c r="C4696" s="1" t="n">
        <v>45657</v>
      </c>
      <c r="D4696" t="inlineStr">
        <is>
          <t>VÄSTERNORRLANDS LÄN</t>
        </is>
      </c>
      <c r="E4696" t="inlineStr">
        <is>
          <t>SOLLEFTEÅ</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58941-2021</t>
        </is>
      </c>
      <c r="B4697" s="1" t="n">
        <v>44490</v>
      </c>
      <c r="C4697" s="1" t="n">
        <v>45657</v>
      </c>
      <c r="D4697" t="inlineStr">
        <is>
          <t>VÄSTERNORRLANDS LÄN</t>
        </is>
      </c>
      <c r="E4697" t="inlineStr">
        <is>
          <t>ÅNGE</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58942-2021</t>
        </is>
      </c>
      <c r="B4698" s="1" t="n">
        <v>44490</v>
      </c>
      <c r="C4698" s="1" t="n">
        <v>45657</v>
      </c>
      <c r="D4698" t="inlineStr">
        <is>
          <t>VÄSTERNORRLANDS LÄN</t>
        </is>
      </c>
      <c r="E4698" t="inlineStr">
        <is>
          <t>ÅNGE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59127-2021</t>
        </is>
      </c>
      <c r="B4699" s="1" t="n">
        <v>44490</v>
      </c>
      <c r="C4699" s="1" t="n">
        <v>45657</v>
      </c>
      <c r="D4699" t="inlineStr">
        <is>
          <t>VÄSTERNORRLANDS LÄN</t>
        </is>
      </c>
      <c r="E4699" t="inlineStr">
        <is>
          <t>SUNDSVALL</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59146-2021</t>
        </is>
      </c>
      <c r="B4700" s="1" t="n">
        <v>44490</v>
      </c>
      <c r="C4700" s="1" t="n">
        <v>45657</v>
      </c>
      <c r="D4700" t="inlineStr">
        <is>
          <t>VÄSTERNORRLANDS LÄN</t>
        </is>
      </c>
      <c r="E4700" t="inlineStr">
        <is>
          <t>SUNDSVALL</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59227-2021</t>
        </is>
      </c>
      <c r="B4701" s="1" t="n">
        <v>44490</v>
      </c>
      <c r="C4701" s="1" t="n">
        <v>45657</v>
      </c>
      <c r="D4701" t="inlineStr">
        <is>
          <t>VÄSTERNORRLANDS LÄN</t>
        </is>
      </c>
      <c r="E4701" t="inlineStr">
        <is>
          <t>ÖRNSKÖLDSVIK</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59196-2021</t>
        </is>
      </c>
      <c r="B4702" s="1" t="n">
        <v>44490</v>
      </c>
      <c r="C4702" s="1" t="n">
        <v>45657</v>
      </c>
      <c r="D4702" t="inlineStr">
        <is>
          <t>VÄSTERNORRLANDS LÄN</t>
        </is>
      </c>
      <c r="E4702" t="inlineStr">
        <is>
          <t>ÖRNSKÖLDSVIK</t>
        </is>
      </c>
      <c r="F4702" t="inlineStr">
        <is>
          <t>Holmen skog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59194-2021</t>
        </is>
      </c>
      <c r="B4703" s="1" t="n">
        <v>44490</v>
      </c>
      <c r="C4703" s="1" t="n">
        <v>45657</v>
      </c>
      <c r="D4703" t="inlineStr">
        <is>
          <t>VÄSTERNORRLANDS LÄN</t>
        </is>
      </c>
      <c r="E4703" t="inlineStr">
        <is>
          <t>ÖRNSKÖLDSVIK</t>
        </is>
      </c>
      <c r="F4703" t="inlineStr">
        <is>
          <t>Holmen skog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59326-2021</t>
        </is>
      </c>
      <c r="B4704" s="1" t="n">
        <v>44491</v>
      </c>
      <c r="C4704" s="1" t="n">
        <v>45657</v>
      </c>
      <c r="D4704" t="inlineStr">
        <is>
          <t>VÄSTERNORRLANDS LÄN</t>
        </is>
      </c>
      <c r="E4704" t="inlineStr">
        <is>
          <t>SUNDSVALL</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59344-2021</t>
        </is>
      </c>
      <c r="B4705" s="1" t="n">
        <v>44490</v>
      </c>
      <c r="C4705" s="1" t="n">
        <v>45657</v>
      </c>
      <c r="D4705" t="inlineStr">
        <is>
          <t>VÄSTERNORRLANDS LÄN</t>
        </is>
      </c>
      <c r="E4705" t="inlineStr">
        <is>
          <t>SOLLEFTEÅ</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59309-2021</t>
        </is>
      </c>
      <c r="B4706" s="1" t="n">
        <v>44491</v>
      </c>
      <c r="C4706" s="1" t="n">
        <v>45657</v>
      </c>
      <c r="D4706" t="inlineStr">
        <is>
          <t>VÄSTERNORRLANDS LÄN</t>
        </is>
      </c>
      <c r="E4706" t="inlineStr">
        <is>
          <t>SOLLEFTEÅ</t>
        </is>
      </c>
      <c r="F4706" t="inlineStr">
        <is>
          <t>SCA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59325-2021</t>
        </is>
      </c>
      <c r="B4707" s="1" t="n">
        <v>44491</v>
      </c>
      <c r="C4707" s="1" t="n">
        <v>45657</v>
      </c>
      <c r="D4707" t="inlineStr">
        <is>
          <t>VÄSTERNORRLANDS LÄN</t>
        </is>
      </c>
      <c r="E4707" t="inlineStr">
        <is>
          <t>SUNDSVALL</t>
        </is>
      </c>
      <c r="F4707" t="inlineStr">
        <is>
          <t>SCA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59343-2021</t>
        </is>
      </c>
      <c r="B4708" s="1" t="n">
        <v>44490</v>
      </c>
      <c r="C4708" s="1" t="n">
        <v>45657</v>
      </c>
      <c r="D4708" t="inlineStr">
        <is>
          <t>VÄSTERNORRLANDS LÄN</t>
        </is>
      </c>
      <c r="E4708" t="inlineStr">
        <is>
          <t>SOLLEFTEÅ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59496-2021</t>
        </is>
      </c>
      <c r="B4709" s="1" t="n">
        <v>44491</v>
      </c>
      <c r="C4709" s="1" t="n">
        <v>45657</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59440-2021</t>
        </is>
      </c>
      <c r="B4710" s="1" t="n">
        <v>44491</v>
      </c>
      <c r="C4710" s="1" t="n">
        <v>45657</v>
      </c>
      <c r="D4710" t="inlineStr">
        <is>
          <t>VÄSTERNORRLANDS LÄN</t>
        </is>
      </c>
      <c r="E4710" t="inlineStr">
        <is>
          <t>SUNDSVALL</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59525-2021</t>
        </is>
      </c>
      <c r="B4711" s="1" t="n">
        <v>44491</v>
      </c>
      <c r="C4711" s="1" t="n">
        <v>45657</v>
      </c>
      <c r="D4711" t="inlineStr">
        <is>
          <t>VÄSTERNORRLANDS LÄN</t>
        </is>
      </c>
      <c r="E4711" t="inlineStr">
        <is>
          <t>ÖRNSKÖLDSVIK</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59545-2021</t>
        </is>
      </c>
      <c r="B4712" s="1" t="n">
        <v>44491</v>
      </c>
      <c r="C4712" s="1" t="n">
        <v>45657</v>
      </c>
      <c r="D4712" t="inlineStr">
        <is>
          <t>VÄSTERNORRLANDS LÄN</t>
        </is>
      </c>
      <c r="E4712" t="inlineStr">
        <is>
          <t>ÖRNSKÖLDSVIK</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59579-2021</t>
        </is>
      </c>
      <c r="B4713" s="1" t="n">
        <v>44491</v>
      </c>
      <c r="C4713" s="1" t="n">
        <v>45657</v>
      </c>
      <c r="D4713" t="inlineStr">
        <is>
          <t>VÄSTERNORRLANDS LÄN</t>
        </is>
      </c>
      <c r="E4713" t="inlineStr">
        <is>
          <t>SUNDSVALL</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59570-2021</t>
        </is>
      </c>
      <c r="B4714" s="1" t="n">
        <v>44491</v>
      </c>
      <c r="C4714" s="1" t="n">
        <v>45657</v>
      </c>
      <c r="D4714" t="inlineStr">
        <is>
          <t>VÄSTERNORRLANDS LÄN</t>
        </is>
      </c>
      <c r="E4714" t="inlineStr">
        <is>
          <t>TIMRÅ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59533-2021</t>
        </is>
      </c>
      <c r="B4715" s="1" t="n">
        <v>44491</v>
      </c>
      <c r="C4715" s="1" t="n">
        <v>45657</v>
      </c>
      <c r="D4715" t="inlineStr">
        <is>
          <t>VÄSTERNORRLANDS LÄN</t>
        </is>
      </c>
      <c r="E4715" t="inlineStr">
        <is>
          <t>ÖRNSKÖLDSVIK</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59875-2021</t>
        </is>
      </c>
      <c r="B4716" s="1" t="n">
        <v>44493</v>
      </c>
      <c r="C4716" s="1" t="n">
        <v>45657</v>
      </c>
      <c r="D4716" t="inlineStr">
        <is>
          <t>VÄSTERNORRLANDS LÄN</t>
        </is>
      </c>
      <c r="E4716" t="inlineStr">
        <is>
          <t>ÖRNSKÖLDSVIK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59879-2021</t>
        </is>
      </c>
      <c r="B4717" s="1" t="n">
        <v>44493</v>
      </c>
      <c r="C4717" s="1" t="n">
        <v>45657</v>
      </c>
      <c r="D4717" t="inlineStr">
        <is>
          <t>VÄSTERNORRLANDS LÄN</t>
        </is>
      </c>
      <c r="E4717" t="inlineStr">
        <is>
          <t>ÖRNSKÖLDSVIK</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59660-2021</t>
        </is>
      </c>
      <c r="B4718" s="1" t="n">
        <v>44494</v>
      </c>
      <c r="C4718" s="1" t="n">
        <v>45657</v>
      </c>
      <c r="D4718" t="inlineStr">
        <is>
          <t>VÄSTERNORRLANDS LÄN</t>
        </is>
      </c>
      <c r="E4718" t="inlineStr">
        <is>
          <t>ÖRNSKÖLDSVIK</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59912-2021</t>
        </is>
      </c>
      <c r="B4719" s="1" t="n">
        <v>44494</v>
      </c>
      <c r="C4719" s="1" t="n">
        <v>45657</v>
      </c>
      <c r="D4719" t="inlineStr">
        <is>
          <t>VÄSTERNORRLANDS LÄN</t>
        </is>
      </c>
      <c r="E4719" t="inlineStr">
        <is>
          <t>ÖRNSKÖLDSVIK</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59978-2021</t>
        </is>
      </c>
      <c r="B4720" s="1" t="n">
        <v>44495</v>
      </c>
      <c r="C4720" s="1" t="n">
        <v>45657</v>
      </c>
      <c r="D4720" t="inlineStr">
        <is>
          <t>VÄSTERNORRLANDS LÄN</t>
        </is>
      </c>
      <c r="E4720" t="inlineStr">
        <is>
          <t>SUNDSVALL</t>
        </is>
      </c>
      <c r="F4720" t="inlineStr">
        <is>
          <t>SCA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59876-2021</t>
        </is>
      </c>
      <c r="B4721" s="1" t="n">
        <v>44494</v>
      </c>
      <c r="C4721" s="1" t="n">
        <v>45657</v>
      </c>
      <c r="D4721" t="inlineStr">
        <is>
          <t>VÄSTERNORRLANDS LÄN</t>
        </is>
      </c>
      <c r="E4721" t="inlineStr">
        <is>
          <t>ÖRNSKÖLDSVIK</t>
        </is>
      </c>
      <c r="F4721" t="inlineStr">
        <is>
          <t>Holmen skog AB</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59973-2021</t>
        </is>
      </c>
      <c r="B4722" s="1" t="n">
        <v>44495</v>
      </c>
      <c r="C4722" s="1" t="n">
        <v>45657</v>
      </c>
      <c r="D4722" t="inlineStr">
        <is>
          <t>VÄSTERNORRLANDS LÄN</t>
        </is>
      </c>
      <c r="E4722" t="inlineStr">
        <is>
          <t>SUNDSVALL</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59982-2021</t>
        </is>
      </c>
      <c r="B4723" s="1" t="n">
        <v>44495</v>
      </c>
      <c r="C4723" s="1" t="n">
        <v>45657</v>
      </c>
      <c r="D4723" t="inlineStr">
        <is>
          <t>VÄSTERNORRLANDS LÄN</t>
        </is>
      </c>
      <c r="E4723" t="inlineStr">
        <is>
          <t>ÅNGE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59972-2021</t>
        </is>
      </c>
      <c r="B4724" s="1" t="n">
        <v>44495</v>
      </c>
      <c r="C4724" s="1" t="n">
        <v>45657</v>
      </c>
      <c r="D4724" t="inlineStr">
        <is>
          <t>VÄSTERNORRLANDS LÄN</t>
        </is>
      </c>
      <c r="E4724" t="inlineStr">
        <is>
          <t>ÅNGE</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59979-2021</t>
        </is>
      </c>
      <c r="B4725" s="1" t="n">
        <v>44494</v>
      </c>
      <c r="C4725" s="1" t="n">
        <v>45657</v>
      </c>
      <c r="D4725" t="inlineStr">
        <is>
          <t>VÄSTERNORRLANDS LÄN</t>
        </is>
      </c>
      <c r="E4725" t="inlineStr">
        <is>
          <t>ÅNGE</t>
        </is>
      </c>
      <c r="F4725" t="inlineStr">
        <is>
          <t>SCA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59964-2021</t>
        </is>
      </c>
      <c r="B4726" s="1" t="n">
        <v>44494</v>
      </c>
      <c r="C4726" s="1" t="n">
        <v>45657</v>
      </c>
      <c r="D4726" t="inlineStr">
        <is>
          <t>VÄSTERNORRLANDS LÄN</t>
        </is>
      </c>
      <c r="E4726" t="inlineStr">
        <is>
          <t>TIMRÅ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59975-2021</t>
        </is>
      </c>
      <c r="B4727" s="1" t="n">
        <v>44495</v>
      </c>
      <c r="C4727" s="1" t="n">
        <v>45657</v>
      </c>
      <c r="D4727" t="inlineStr">
        <is>
          <t>VÄSTERNORRLANDS LÄN</t>
        </is>
      </c>
      <c r="E4727" t="inlineStr">
        <is>
          <t>SUNDSVALL</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59986-2021</t>
        </is>
      </c>
      <c r="B4728" s="1" t="n">
        <v>44494</v>
      </c>
      <c r="C4728" s="1" t="n">
        <v>45657</v>
      </c>
      <c r="D4728" t="inlineStr">
        <is>
          <t>VÄSTERNORRLANDS LÄN</t>
        </is>
      </c>
      <c r="E4728" t="inlineStr">
        <is>
          <t>ÅNGE</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60065-2021</t>
        </is>
      </c>
      <c r="B4729" s="1" t="n">
        <v>44494</v>
      </c>
      <c r="C4729" s="1" t="n">
        <v>45657</v>
      </c>
      <c r="D4729" t="inlineStr">
        <is>
          <t>VÄSTERNORRLANDS LÄN</t>
        </is>
      </c>
      <c r="E4729" t="inlineStr">
        <is>
          <t>ÖRNSKÖLDSVIK</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60227-2021</t>
        </is>
      </c>
      <c r="B4730" s="1" t="n">
        <v>44495</v>
      </c>
      <c r="C4730" s="1" t="n">
        <v>45657</v>
      </c>
      <c r="D4730" t="inlineStr">
        <is>
          <t>VÄSTERNORRLANDS LÄN</t>
        </is>
      </c>
      <c r="E4730" t="inlineStr">
        <is>
          <t>ÖRNSKÖLDSVIK</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60068-2021</t>
        </is>
      </c>
      <c r="B4731" s="1" t="n">
        <v>44495</v>
      </c>
      <c r="C4731" s="1" t="n">
        <v>45657</v>
      </c>
      <c r="D4731" t="inlineStr">
        <is>
          <t>VÄSTERNORRLANDS LÄN</t>
        </is>
      </c>
      <c r="E4731" t="inlineStr">
        <is>
          <t>KRAMFORS</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60220-2021</t>
        </is>
      </c>
      <c r="B4732" s="1" t="n">
        <v>44495</v>
      </c>
      <c r="C4732" s="1" t="n">
        <v>45657</v>
      </c>
      <c r="D4732" t="inlineStr">
        <is>
          <t>VÄSTERNORRLANDS LÄN</t>
        </is>
      </c>
      <c r="E4732" t="inlineStr">
        <is>
          <t>ÖRNSKÖLDSVIK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60296-2021</t>
        </is>
      </c>
      <c r="B4733" s="1" t="n">
        <v>44495</v>
      </c>
      <c r="C4733" s="1" t="n">
        <v>45657</v>
      </c>
      <c r="D4733" t="inlineStr">
        <is>
          <t>VÄSTERNORRLANDS LÄN</t>
        </is>
      </c>
      <c r="E4733" t="inlineStr">
        <is>
          <t>ÅNGE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60324-2021</t>
        </is>
      </c>
      <c r="B4734" s="1" t="n">
        <v>44496</v>
      </c>
      <c r="C4734" s="1" t="n">
        <v>45657</v>
      </c>
      <c r="D4734" t="inlineStr">
        <is>
          <t>VÄSTERNORRLANDS LÄN</t>
        </is>
      </c>
      <c r="E4734" t="inlineStr">
        <is>
          <t>SOLLEFTEÅ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60511-2021</t>
        </is>
      </c>
      <c r="B4735" s="1" t="n">
        <v>44495</v>
      </c>
      <c r="C4735" s="1" t="n">
        <v>45657</v>
      </c>
      <c r="D4735" t="inlineStr">
        <is>
          <t>VÄSTERNORRLANDS LÄN</t>
        </is>
      </c>
      <c r="E4735" t="inlineStr">
        <is>
          <t>ÖRNSKÖLDSVIK</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60612-2021</t>
        </is>
      </c>
      <c r="B4736" s="1" t="n">
        <v>44495</v>
      </c>
      <c r="C4736" s="1" t="n">
        <v>45657</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60498-2021</t>
        </is>
      </c>
      <c r="B4737" s="1" t="n">
        <v>44495</v>
      </c>
      <c r="C4737" s="1" t="n">
        <v>45657</v>
      </c>
      <c r="D4737" t="inlineStr">
        <is>
          <t>VÄSTERNORRLANDS LÄN</t>
        </is>
      </c>
      <c r="E4737" t="inlineStr">
        <is>
          <t>ÖRNSKÖLDSVIK</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60887-2021</t>
        </is>
      </c>
      <c r="B4738" s="1" t="n">
        <v>44495</v>
      </c>
      <c r="C4738" s="1" t="n">
        <v>45657</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60361-2021</t>
        </is>
      </c>
      <c r="B4739" s="1" t="n">
        <v>44496</v>
      </c>
      <c r="C4739" s="1" t="n">
        <v>45657</v>
      </c>
      <c r="D4739" t="inlineStr">
        <is>
          <t>VÄSTERNORRLANDS LÄN</t>
        </is>
      </c>
      <c r="E4739" t="inlineStr">
        <is>
          <t>ÖRNSKÖLDSVIK</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60450-2021</t>
        </is>
      </c>
      <c r="B4740" s="1" t="n">
        <v>44496</v>
      </c>
      <c r="C4740" s="1" t="n">
        <v>45657</v>
      </c>
      <c r="D4740" t="inlineStr">
        <is>
          <t>VÄSTERNORRLANDS LÄN</t>
        </is>
      </c>
      <c r="E4740" t="inlineStr">
        <is>
          <t>ÖRNSKÖLDSVIK</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60469-2021</t>
        </is>
      </c>
      <c r="B4741" s="1" t="n">
        <v>44496</v>
      </c>
      <c r="C4741" s="1" t="n">
        <v>45657</v>
      </c>
      <c r="D4741" t="inlineStr">
        <is>
          <t>VÄSTERNORRLANDS LÄN</t>
        </is>
      </c>
      <c r="E4741" t="inlineStr">
        <is>
          <t>ÖRNSKÖLDSVIK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60630-2021</t>
        </is>
      </c>
      <c r="B4742" s="1" t="n">
        <v>44496</v>
      </c>
      <c r="C4742" s="1" t="n">
        <v>45657</v>
      </c>
      <c r="D4742" t="inlineStr">
        <is>
          <t>VÄSTERNORRLANDS LÄN</t>
        </is>
      </c>
      <c r="E4742" t="inlineStr">
        <is>
          <t>KRAMFORS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60667-2021</t>
        </is>
      </c>
      <c r="B4743" s="1" t="n">
        <v>44496</v>
      </c>
      <c r="C4743" s="1" t="n">
        <v>45657</v>
      </c>
      <c r="D4743" t="inlineStr">
        <is>
          <t>VÄSTERNORRLANDS LÄN</t>
        </is>
      </c>
      <c r="E4743" t="inlineStr">
        <is>
          <t>ÖRNSKÖLDSVIK</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60676-2021</t>
        </is>
      </c>
      <c r="B4744" s="1" t="n">
        <v>44496</v>
      </c>
      <c r="C4744" s="1" t="n">
        <v>45657</v>
      </c>
      <c r="D4744" t="inlineStr">
        <is>
          <t>VÄSTERNORRLANDS LÄN</t>
        </is>
      </c>
      <c r="E4744" t="inlineStr">
        <is>
          <t>ÖRNSKÖLDSVIK</t>
        </is>
      </c>
      <c r="F4744" t="inlineStr">
        <is>
          <t>Holmen skog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60693-2021</t>
        </is>
      </c>
      <c r="B4745" s="1" t="n">
        <v>44496</v>
      </c>
      <c r="C4745" s="1" t="n">
        <v>45657</v>
      </c>
      <c r="D4745" t="inlineStr">
        <is>
          <t>VÄSTERNORRLANDS LÄN</t>
        </is>
      </c>
      <c r="E4745" t="inlineStr">
        <is>
          <t>ÖRNSKÖLDSVIK</t>
        </is>
      </c>
      <c r="F4745" t="inlineStr">
        <is>
          <t>Holmen skog AB</t>
        </is>
      </c>
      <c r="G4745" t="n">
        <v>14.6</v>
      </c>
      <c r="H4745" t="n">
        <v>0</v>
      </c>
      <c r="I4745" t="n">
        <v>0</v>
      </c>
      <c r="J4745" t="n">
        <v>0</v>
      </c>
      <c r="K4745" t="n">
        <v>0</v>
      </c>
      <c r="L4745" t="n">
        <v>0</v>
      </c>
      <c r="M4745" t="n">
        <v>0</v>
      </c>
      <c r="N4745" t="n">
        <v>0</v>
      </c>
      <c r="O4745" t="n">
        <v>0</v>
      </c>
      <c r="P4745" t="n">
        <v>0</v>
      </c>
      <c r="Q4745" t="n">
        <v>0</v>
      </c>
      <c r="R4745" s="2" t="inlineStr"/>
    </row>
    <row r="4746" ht="15" customHeight="1">
      <c r="A4746" t="inlineStr">
        <is>
          <t>A 60620-2021</t>
        </is>
      </c>
      <c r="B4746" s="1" t="n">
        <v>44496</v>
      </c>
      <c r="C4746" s="1" t="n">
        <v>45657</v>
      </c>
      <c r="D4746" t="inlineStr">
        <is>
          <t>VÄSTERNORRLANDS LÄN</t>
        </is>
      </c>
      <c r="E4746" t="inlineStr">
        <is>
          <t>ÖRNSKÖLDSVIK</t>
        </is>
      </c>
      <c r="F4746" t="inlineStr">
        <is>
          <t>Holmen skog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60757-2021</t>
        </is>
      </c>
      <c r="B4747" s="1" t="n">
        <v>44497</v>
      </c>
      <c r="C4747" s="1" t="n">
        <v>45657</v>
      </c>
      <c r="D4747" t="inlineStr">
        <is>
          <t>VÄSTERNORRLANDS LÄN</t>
        </is>
      </c>
      <c r="E4747" t="inlineStr">
        <is>
          <t>SOLLEFTEÅ</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60786-2021</t>
        </is>
      </c>
      <c r="B4748" s="1" t="n">
        <v>44496</v>
      </c>
      <c r="C4748" s="1" t="n">
        <v>45657</v>
      </c>
      <c r="D4748" t="inlineStr">
        <is>
          <t>VÄSTERNORRLANDS LÄN</t>
        </is>
      </c>
      <c r="E4748" t="inlineStr">
        <is>
          <t>ÖRNSKÖLDSVIK</t>
        </is>
      </c>
      <c r="F4748" t="inlineStr">
        <is>
          <t>SCA</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60970-2021</t>
        </is>
      </c>
      <c r="B4749" s="1" t="n">
        <v>44496</v>
      </c>
      <c r="C4749" s="1" t="n">
        <v>45657</v>
      </c>
      <c r="D4749" t="inlineStr">
        <is>
          <t>VÄSTERNORRLANDS LÄN</t>
        </is>
      </c>
      <c r="E4749" t="inlineStr">
        <is>
          <t>HÄRNÖSAND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60756-2021</t>
        </is>
      </c>
      <c r="B4750" s="1" t="n">
        <v>44496</v>
      </c>
      <c r="C4750" s="1" t="n">
        <v>45657</v>
      </c>
      <c r="D4750" t="inlineStr">
        <is>
          <t>VÄSTERNORRLANDS LÄN</t>
        </is>
      </c>
      <c r="E4750" t="inlineStr">
        <is>
          <t>SOLLEFTEÅ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60935-2021</t>
        </is>
      </c>
      <c r="B4751" s="1" t="n">
        <v>44496</v>
      </c>
      <c r="C4751" s="1" t="n">
        <v>45657</v>
      </c>
      <c r="D4751" t="inlineStr">
        <is>
          <t>VÄSTERNORRLANDS LÄN</t>
        </is>
      </c>
      <c r="E4751" t="inlineStr">
        <is>
          <t>HÄRNÖSAND</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60891-2021</t>
        </is>
      </c>
      <c r="B4752" s="1" t="n">
        <v>44497</v>
      </c>
      <c r="C4752" s="1" t="n">
        <v>45657</v>
      </c>
      <c r="D4752" t="inlineStr">
        <is>
          <t>VÄSTERNORRLANDS LÄN</t>
        </is>
      </c>
      <c r="E4752" t="inlineStr">
        <is>
          <t>SUNDSVALL</t>
        </is>
      </c>
      <c r="F4752" t="inlineStr">
        <is>
          <t>Kommuner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61300-2021</t>
        </is>
      </c>
      <c r="B4753" s="1" t="n">
        <v>44497</v>
      </c>
      <c r="C4753" s="1" t="n">
        <v>45657</v>
      </c>
      <c r="D4753" t="inlineStr">
        <is>
          <t>VÄSTERNORRLANDS LÄN</t>
        </is>
      </c>
      <c r="E4753" t="inlineStr">
        <is>
          <t>SUNDSVALL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61574-2021</t>
        </is>
      </c>
      <c r="B4754" s="1" t="n">
        <v>44497</v>
      </c>
      <c r="C4754" s="1" t="n">
        <v>45657</v>
      </c>
      <c r="D4754" t="inlineStr">
        <is>
          <t>VÄSTERNORRLANDS LÄN</t>
        </is>
      </c>
      <c r="E4754" t="inlineStr">
        <is>
          <t>HÄRNÖSAND</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60856-2021</t>
        </is>
      </c>
      <c r="B4755" s="1" t="n">
        <v>44497</v>
      </c>
      <c r="C4755" s="1" t="n">
        <v>45657</v>
      </c>
      <c r="D4755" t="inlineStr">
        <is>
          <t>VÄSTERNORRLANDS LÄN</t>
        </is>
      </c>
      <c r="E4755" t="inlineStr">
        <is>
          <t>ÖRNSKÖLDSVIK</t>
        </is>
      </c>
      <c r="F4755" t="inlineStr">
        <is>
          <t>Holmen skog AB</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60867-2021</t>
        </is>
      </c>
      <c r="B4756" s="1" t="n">
        <v>44497</v>
      </c>
      <c r="C4756" s="1" t="n">
        <v>45657</v>
      </c>
      <c r="D4756" t="inlineStr">
        <is>
          <t>VÄSTERNORRLANDS LÄN</t>
        </is>
      </c>
      <c r="E4756" t="inlineStr">
        <is>
          <t>ÖRNSKÖLDSVIK</t>
        </is>
      </c>
      <c r="F4756" t="inlineStr">
        <is>
          <t>Holmen skog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60846-2021</t>
        </is>
      </c>
      <c r="B4757" s="1" t="n">
        <v>44497</v>
      </c>
      <c r="C4757" s="1" t="n">
        <v>45657</v>
      </c>
      <c r="D4757" t="inlineStr">
        <is>
          <t>VÄSTERNORRLANDS LÄN</t>
        </is>
      </c>
      <c r="E4757" t="inlineStr">
        <is>
          <t>ÖRNSKÖLDSVIK</t>
        </is>
      </c>
      <c r="F4757" t="inlineStr">
        <is>
          <t>Holmen skog AB</t>
        </is>
      </c>
      <c r="G4757" t="n">
        <v>8.6</v>
      </c>
      <c r="H4757" t="n">
        <v>0</v>
      </c>
      <c r="I4757" t="n">
        <v>0</v>
      </c>
      <c r="J4757" t="n">
        <v>0</v>
      </c>
      <c r="K4757" t="n">
        <v>0</v>
      </c>
      <c r="L4757" t="n">
        <v>0</v>
      </c>
      <c r="M4757" t="n">
        <v>0</v>
      </c>
      <c r="N4757" t="n">
        <v>0</v>
      </c>
      <c r="O4757" t="n">
        <v>0</v>
      </c>
      <c r="P4757" t="n">
        <v>0</v>
      </c>
      <c r="Q4757" t="n">
        <v>0</v>
      </c>
      <c r="R4757" s="2" t="inlineStr"/>
    </row>
    <row r="4758" ht="15" customHeight="1">
      <c r="A4758" t="inlineStr">
        <is>
          <t>A 60911-2021</t>
        </is>
      </c>
      <c r="B4758" s="1" t="n">
        <v>44497</v>
      </c>
      <c r="C4758" s="1" t="n">
        <v>45657</v>
      </c>
      <c r="D4758" t="inlineStr">
        <is>
          <t>VÄSTERNORRLANDS LÄN</t>
        </is>
      </c>
      <c r="E4758" t="inlineStr">
        <is>
          <t>SUNDSVALL</t>
        </is>
      </c>
      <c r="F4758" t="inlineStr">
        <is>
          <t>Kommuner</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61102-2021</t>
        </is>
      </c>
      <c r="B4759" s="1" t="n">
        <v>44498</v>
      </c>
      <c r="C4759" s="1" t="n">
        <v>45657</v>
      </c>
      <c r="D4759" t="inlineStr">
        <is>
          <t>VÄSTERNORRLANDS LÄN</t>
        </is>
      </c>
      <c r="E4759" t="inlineStr">
        <is>
          <t>HÄRNÖSAND</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61356-2021</t>
        </is>
      </c>
      <c r="B4760" s="1" t="n">
        <v>44499</v>
      </c>
      <c r="C4760" s="1" t="n">
        <v>45657</v>
      </c>
      <c r="D4760" t="inlineStr">
        <is>
          <t>VÄSTERNORRLANDS LÄN</t>
        </is>
      </c>
      <c r="E4760" t="inlineStr">
        <is>
          <t>ÖRNSKÖLDSVIK</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61355-2021</t>
        </is>
      </c>
      <c r="B4761" s="1" t="n">
        <v>44498</v>
      </c>
      <c r="C4761" s="1" t="n">
        <v>45657</v>
      </c>
      <c r="D4761" t="inlineStr">
        <is>
          <t>VÄSTERNORRLANDS LÄN</t>
        </is>
      </c>
      <c r="E4761" t="inlineStr">
        <is>
          <t>ÖRNSKÖLDSVIK</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61623-2021</t>
        </is>
      </c>
      <c r="B4762" s="1" t="n">
        <v>44498</v>
      </c>
      <c r="C4762" s="1" t="n">
        <v>45657</v>
      </c>
      <c r="D4762" t="inlineStr">
        <is>
          <t>VÄSTERNORRLANDS LÄN</t>
        </is>
      </c>
      <c r="E4762" t="inlineStr">
        <is>
          <t>ÖRNSKÖLDSVIK</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61739-2021</t>
        </is>
      </c>
      <c r="B4763" s="1" t="n">
        <v>44498</v>
      </c>
      <c r="C4763" s="1" t="n">
        <v>45657</v>
      </c>
      <c r="D4763" t="inlineStr">
        <is>
          <t>VÄSTERNORRLANDS LÄN</t>
        </is>
      </c>
      <c r="E4763" t="inlineStr">
        <is>
          <t>SOLLEFTEÅ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61407-2021</t>
        </is>
      </c>
      <c r="B4764" s="1" t="n">
        <v>44500</v>
      </c>
      <c r="C4764" s="1" t="n">
        <v>45657</v>
      </c>
      <c r="D4764" t="inlineStr">
        <is>
          <t>VÄSTERNORRLANDS LÄN</t>
        </is>
      </c>
      <c r="E4764" t="inlineStr">
        <is>
          <t>SUNDSVALL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61424-2021</t>
        </is>
      </c>
      <c r="B4765" s="1" t="n">
        <v>44500</v>
      </c>
      <c r="C4765" s="1" t="n">
        <v>45657</v>
      </c>
      <c r="D4765" t="inlineStr">
        <is>
          <t>VÄSTERNORRLANDS LÄN</t>
        </is>
      </c>
      <c r="E4765" t="inlineStr">
        <is>
          <t>SOLLEFTEÅ</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61470-2021</t>
        </is>
      </c>
      <c r="B4766" s="1" t="n">
        <v>44500</v>
      </c>
      <c r="C4766" s="1" t="n">
        <v>45657</v>
      </c>
      <c r="D4766" t="inlineStr">
        <is>
          <t>VÄSTERNORRLANDS LÄN</t>
        </is>
      </c>
      <c r="E4766" t="inlineStr">
        <is>
          <t>SOLLEFTEÅ</t>
        </is>
      </c>
      <c r="F4766" t="inlineStr">
        <is>
          <t>SCA</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61480-2021</t>
        </is>
      </c>
      <c r="B4767" s="1" t="n">
        <v>44500</v>
      </c>
      <c r="C4767" s="1" t="n">
        <v>45657</v>
      </c>
      <c r="D4767" t="inlineStr">
        <is>
          <t>VÄSTERNORRLANDS LÄN</t>
        </is>
      </c>
      <c r="E4767" t="inlineStr">
        <is>
          <t>SOLLEFTEÅ</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61404-2021</t>
        </is>
      </c>
      <c r="B4768" s="1" t="n">
        <v>44500</v>
      </c>
      <c r="C4768" s="1" t="n">
        <v>45657</v>
      </c>
      <c r="D4768" t="inlineStr">
        <is>
          <t>VÄSTERNORRLANDS LÄN</t>
        </is>
      </c>
      <c r="E4768" t="inlineStr">
        <is>
          <t>ÅNGE</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61409-2021</t>
        </is>
      </c>
      <c r="B4769" s="1" t="n">
        <v>44500</v>
      </c>
      <c r="C4769" s="1" t="n">
        <v>45657</v>
      </c>
      <c r="D4769" t="inlineStr">
        <is>
          <t>VÄSTERNORRLANDS LÄN</t>
        </is>
      </c>
      <c r="E4769" t="inlineStr">
        <is>
          <t>SUNDSVALL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61426-2021</t>
        </is>
      </c>
      <c r="B4770" s="1" t="n">
        <v>44500</v>
      </c>
      <c r="C4770" s="1" t="n">
        <v>45657</v>
      </c>
      <c r="D4770" t="inlineStr">
        <is>
          <t>VÄSTERNORRLANDS LÄN</t>
        </is>
      </c>
      <c r="E4770" t="inlineStr">
        <is>
          <t>SOLLEFTEÅ</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61469-2021</t>
        </is>
      </c>
      <c r="B4771" s="1" t="n">
        <v>44500</v>
      </c>
      <c r="C4771" s="1" t="n">
        <v>45657</v>
      </c>
      <c r="D4771" t="inlineStr">
        <is>
          <t>VÄSTERNORRLANDS LÄN</t>
        </is>
      </c>
      <c r="E4771" t="inlineStr">
        <is>
          <t>SOLLEFTEÅ</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61496-2021</t>
        </is>
      </c>
      <c r="B4772" s="1" t="n">
        <v>44501</v>
      </c>
      <c r="C4772" s="1" t="n">
        <v>45657</v>
      </c>
      <c r="D4772" t="inlineStr">
        <is>
          <t>VÄSTERNORRLANDS LÄN</t>
        </is>
      </c>
      <c r="E4772" t="inlineStr">
        <is>
          <t>SOLLEFTEÅ</t>
        </is>
      </c>
      <c r="F4772" t="inlineStr">
        <is>
          <t>Holmen skog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61571-2021</t>
        </is>
      </c>
      <c r="B4773" s="1" t="n">
        <v>44501</v>
      </c>
      <c r="C4773" s="1" t="n">
        <v>45657</v>
      </c>
      <c r="D4773" t="inlineStr">
        <is>
          <t>VÄSTERNORRLANDS LÄN</t>
        </is>
      </c>
      <c r="E4773" t="inlineStr">
        <is>
          <t>ÖRNSKÖLDSVIK</t>
        </is>
      </c>
      <c r="F4773" t="inlineStr">
        <is>
          <t>Holmen skog AB</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61516-2021</t>
        </is>
      </c>
      <c r="B4774" s="1" t="n">
        <v>44501</v>
      </c>
      <c r="C4774" s="1" t="n">
        <v>45657</v>
      </c>
      <c r="D4774" t="inlineStr">
        <is>
          <t>VÄSTERNORRLANDS LÄN</t>
        </is>
      </c>
      <c r="E4774" t="inlineStr">
        <is>
          <t>ÖRNSKÖLDSVIK</t>
        </is>
      </c>
      <c r="F4774" t="inlineStr">
        <is>
          <t>Holmen skog AB</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61562-2021</t>
        </is>
      </c>
      <c r="B4775" s="1" t="n">
        <v>44501</v>
      </c>
      <c r="C4775" s="1" t="n">
        <v>45657</v>
      </c>
      <c r="D4775" t="inlineStr">
        <is>
          <t>VÄSTERNORRLANDS LÄN</t>
        </is>
      </c>
      <c r="E4775" t="inlineStr">
        <is>
          <t>SUNDSVALL</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61761-2021</t>
        </is>
      </c>
      <c r="B4776" s="1" t="n">
        <v>44501</v>
      </c>
      <c r="C4776" s="1" t="n">
        <v>45657</v>
      </c>
      <c r="D4776" t="inlineStr">
        <is>
          <t>VÄSTERNORRLANDS LÄN</t>
        </is>
      </c>
      <c r="E4776" t="inlineStr">
        <is>
          <t>ÅNGE</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61851-2021</t>
        </is>
      </c>
      <c r="B4777" s="1" t="n">
        <v>44501</v>
      </c>
      <c r="C4777" s="1" t="n">
        <v>45657</v>
      </c>
      <c r="D4777" t="inlineStr">
        <is>
          <t>VÄSTERNORRLANDS LÄN</t>
        </is>
      </c>
      <c r="E4777" t="inlineStr">
        <is>
          <t>SUNDSVALL</t>
        </is>
      </c>
      <c r="F4777" t="inlineStr">
        <is>
          <t>SCA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61872-2021</t>
        </is>
      </c>
      <c r="B4778" s="1" t="n">
        <v>44502</v>
      </c>
      <c r="C4778" s="1" t="n">
        <v>45657</v>
      </c>
      <c r="D4778" t="inlineStr">
        <is>
          <t>VÄSTERNORRLANDS LÄN</t>
        </is>
      </c>
      <c r="E4778" t="inlineStr">
        <is>
          <t>ÖRNSKÖLDSVIK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61909-2021</t>
        </is>
      </c>
      <c r="B4779" s="1" t="n">
        <v>44502</v>
      </c>
      <c r="C4779" s="1" t="n">
        <v>45657</v>
      </c>
      <c r="D4779" t="inlineStr">
        <is>
          <t>VÄSTERNORRLANDS LÄN</t>
        </is>
      </c>
      <c r="E4779" t="inlineStr">
        <is>
          <t>ÅNGE</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61928-2021</t>
        </is>
      </c>
      <c r="B4780" s="1" t="n">
        <v>44502</v>
      </c>
      <c r="C4780" s="1" t="n">
        <v>45657</v>
      </c>
      <c r="D4780" t="inlineStr">
        <is>
          <t>VÄSTERNORRLANDS LÄN</t>
        </is>
      </c>
      <c r="E4780" t="inlineStr">
        <is>
          <t>ÅNGE</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62011-2021</t>
        </is>
      </c>
      <c r="B4781" s="1" t="n">
        <v>44502</v>
      </c>
      <c r="C4781" s="1" t="n">
        <v>45657</v>
      </c>
      <c r="D4781" t="inlineStr">
        <is>
          <t>VÄSTERNORRLANDS LÄN</t>
        </is>
      </c>
      <c r="E4781" t="inlineStr">
        <is>
          <t>ÖRNSKÖLDSVIK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62069-2021</t>
        </is>
      </c>
      <c r="B4782" s="1" t="n">
        <v>44502</v>
      </c>
      <c r="C4782" s="1" t="n">
        <v>45657</v>
      </c>
      <c r="D4782" t="inlineStr">
        <is>
          <t>VÄSTERNORRLANDS LÄN</t>
        </is>
      </c>
      <c r="E4782" t="inlineStr">
        <is>
          <t>ÅNGE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62077-2021</t>
        </is>
      </c>
      <c r="B4783" s="1" t="n">
        <v>44502</v>
      </c>
      <c r="C4783" s="1" t="n">
        <v>45657</v>
      </c>
      <c r="D4783" t="inlineStr">
        <is>
          <t>VÄSTERNORRLANDS LÄN</t>
        </is>
      </c>
      <c r="E4783" t="inlineStr">
        <is>
          <t>SUNDSVALL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62013-2021</t>
        </is>
      </c>
      <c r="B4784" s="1" t="n">
        <v>44502</v>
      </c>
      <c r="C4784" s="1" t="n">
        <v>45657</v>
      </c>
      <c r="D4784" t="inlineStr">
        <is>
          <t>VÄSTERNORRLANDS LÄN</t>
        </is>
      </c>
      <c r="E4784" t="inlineStr">
        <is>
          <t>ÖRNSKÖLDSVIK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62080-2021</t>
        </is>
      </c>
      <c r="B4785" s="1" t="n">
        <v>44502</v>
      </c>
      <c r="C4785" s="1" t="n">
        <v>45657</v>
      </c>
      <c r="D4785" t="inlineStr">
        <is>
          <t>VÄSTERNORRLANDS LÄN</t>
        </is>
      </c>
      <c r="E4785" t="inlineStr">
        <is>
          <t>SUNDSVALL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62073-2021</t>
        </is>
      </c>
      <c r="B4786" s="1" t="n">
        <v>44502</v>
      </c>
      <c r="C4786" s="1" t="n">
        <v>45657</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62083-2021</t>
        </is>
      </c>
      <c r="B4787" s="1" t="n">
        <v>44502</v>
      </c>
      <c r="C4787" s="1" t="n">
        <v>45657</v>
      </c>
      <c r="D4787" t="inlineStr">
        <is>
          <t>VÄSTERNORRLANDS LÄN</t>
        </is>
      </c>
      <c r="E4787" t="inlineStr">
        <is>
          <t>SUNDSVALL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62214-2021</t>
        </is>
      </c>
      <c r="B4788" s="1" t="n">
        <v>44502</v>
      </c>
      <c r="C4788" s="1" t="n">
        <v>45657</v>
      </c>
      <c r="D4788" t="inlineStr">
        <is>
          <t>VÄSTERNORRLANDS LÄN</t>
        </is>
      </c>
      <c r="E4788" t="inlineStr">
        <is>
          <t>SOLLEFTEÅ</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62127-2021</t>
        </is>
      </c>
      <c r="B4789" s="1" t="n">
        <v>44502</v>
      </c>
      <c r="C4789" s="1" t="n">
        <v>45657</v>
      </c>
      <c r="D4789" t="inlineStr">
        <is>
          <t>VÄSTERNORRLANDS LÄN</t>
        </is>
      </c>
      <c r="E4789" t="inlineStr">
        <is>
          <t>ÅNGE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62184-2021</t>
        </is>
      </c>
      <c r="B4790" s="1" t="n">
        <v>44502</v>
      </c>
      <c r="C4790" s="1" t="n">
        <v>45657</v>
      </c>
      <c r="D4790" t="inlineStr">
        <is>
          <t>VÄSTERNORRLANDS LÄN</t>
        </is>
      </c>
      <c r="E4790" t="inlineStr">
        <is>
          <t>SUNDSVALL</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62210-2021</t>
        </is>
      </c>
      <c r="B4791" s="1" t="n">
        <v>44502</v>
      </c>
      <c r="C4791" s="1" t="n">
        <v>45657</v>
      </c>
      <c r="D4791" t="inlineStr">
        <is>
          <t>VÄSTERNORRLANDS LÄN</t>
        </is>
      </c>
      <c r="E4791" t="inlineStr">
        <is>
          <t>SOLLEFTEÅ</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62333-2021</t>
        </is>
      </c>
      <c r="B4792" s="1" t="n">
        <v>44502</v>
      </c>
      <c r="C4792" s="1" t="n">
        <v>45657</v>
      </c>
      <c r="D4792" t="inlineStr">
        <is>
          <t>VÄSTERNORRLANDS LÄN</t>
        </is>
      </c>
      <c r="E4792" t="inlineStr">
        <is>
          <t>HÄRNÖSAND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62300-2021</t>
        </is>
      </c>
      <c r="B4793" s="1" t="n">
        <v>44503</v>
      </c>
      <c r="C4793" s="1" t="n">
        <v>45657</v>
      </c>
      <c r="D4793" t="inlineStr">
        <is>
          <t>VÄSTERNORRLANDS LÄN</t>
        </is>
      </c>
      <c r="E4793" t="inlineStr">
        <is>
          <t>HÄRNÖSAND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62418-2021</t>
        </is>
      </c>
      <c r="B4794" s="1" t="n">
        <v>44503</v>
      </c>
      <c r="C4794" s="1" t="n">
        <v>45657</v>
      </c>
      <c r="D4794" t="inlineStr">
        <is>
          <t>VÄSTERNORRLANDS LÄN</t>
        </is>
      </c>
      <c r="E4794" t="inlineStr">
        <is>
          <t>SOLLEFTEÅ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62271-2021</t>
        </is>
      </c>
      <c r="B4795" s="1" t="n">
        <v>44503</v>
      </c>
      <c r="C4795" s="1" t="n">
        <v>45657</v>
      </c>
      <c r="D4795" t="inlineStr">
        <is>
          <t>VÄSTERNORRLANDS LÄN</t>
        </is>
      </c>
      <c r="E4795" t="inlineStr">
        <is>
          <t>KRAMFORS</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62288-2021</t>
        </is>
      </c>
      <c r="B4796" s="1" t="n">
        <v>44503</v>
      </c>
      <c r="C4796" s="1" t="n">
        <v>45657</v>
      </c>
      <c r="D4796" t="inlineStr">
        <is>
          <t>VÄSTERNORRLANDS LÄN</t>
        </is>
      </c>
      <c r="E4796" t="inlineStr">
        <is>
          <t>ÖRNSKÖLDSVIK</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62320-2021</t>
        </is>
      </c>
      <c r="B4797" s="1" t="n">
        <v>44503</v>
      </c>
      <c r="C4797" s="1" t="n">
        <v>45657</v>
      </c>
      <c r="D4797" t="inlineStr">
        <is>
          <t>VÄSTERNORRLANDS LÄN</t>
        </is>
      </c>
      <c r="E4797" t="inlineStr">
        <is>
          <t>KRAMFORS</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62569-2021</t>
        </is>
      </c>
      <c r="B4798" s="1" t="n">
        <v>44503</v>
      </c>
      <c r="C4798" s="1" t="n">
        <v>45657</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62243-2021</t>
        </is>
      </c>
      <c r="B4799" s="1" t="n">
        <v>44503</v>
      </c>
      <c r="C4799" s="1" t="n">
        <v>45657</v>
      </c>
      <c r="D4799" t="inlineStr">
        <is>
          <t>VÄSTERNORRLANDS LÄN</t>
        </is>
      </c>
      <c r="E4799" t="inlineStr">
        <is>
          <t>KRAMFORS</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62404-2021</t>
        </is>
      </c>
      <c r="B4800" s="1" t="n">
        <v>44503</v>
      </c>
      <c r="C4800" s="1" t="n">
        <v>45657</v>
      </c>
      <c r="D4800" t="inlineStr">
        <is>
          <t>VÄSTERNORRLANDS LÄN</t>
        </is>
      </c>
      <c r="E4800" t="inlineStr">
        <is>
          <t>ÖRNSKÖLDSVIK</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62477-2021</t>
        </is>
      </c>
      <c r="B4801" s="1" t="n">
        <v>44503</v>
      </c>
      <c r="C4801" s="1" t="n">
        <v>45657</v>
      </c>
      <c r="D4801" t="inlineStr">
        <is>
          <t>VÄSTERNORRLANDS LÄN</t>
        </is>
      </c>
      <c r="E4801" t="inlineStr">
        <is>
          <t>ÖRNSKÖLDSVIK</t>
        </is>
      </c>
      <c r="F4801" t="inlineStr">
        <is>
          <t>Holmen skog AB</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62236-2021</t>
        </is>
      </c>
      <c r="B4802" s="1" t="n">
        <v>44503</v>
      </c>
      <c r="C4802" s="1" t="n">
        <v>45657</v>
      </c>
      <c r="D4802" t="inlineStr">
        <is>
          <t>VÄSTERNORRLANDS LÄN</t>
        </is>
      </c>
      <c r="E4802" t="inlineStr">
        <is>
          <t>KRAMFORS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62472-2021</t>
        </is>
      </c>
      <c r="B4803" s="1" t="n">
        <v>44503</v>
      </c>
      <c r="C4803" s="1" t="n">
        <v>45657</v>
      </c>
      <c r="D4803" t="inlineStr">
        <is>
          <t>VÄSTERNORRLANDS LÄN</t>
        </is>
      </c>
      <c r="E4803" t="inlineStr">
        <is>
          <t>ÖRNSKÖLDSVIK</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62544-2021</t>
        </is>
      </c>
      <c r="B4804" s="1" t="n">
        <v>44503</v>
      </c>
      <c r="C4804" s="1" t="n">
        <v>45657</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62636-2021</t>
        </is>
      </c>
      <c r="B4805" s="1" t="n">
        <v>44503</v>
      </c>
      <c r="C4805" s="1" t="n">
        <v>45657</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62662-2021</t>
        </is>
      </c>
      <c r="B4806" s="1" t="n">
        <v>44503</v>
      </c>
      <c r="C4806" s="1" t="n">
        <v>45657</v>
      </c>
      <c r="D4806" t="inlineStr">
        <is>
          <t>VÄSTERNORRLANDS LÄN</t>
        </is>
      </c>
      <c r="E4806" t="inlineStr">
        <is>
          <t>SUNDSVALL</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62317-2021</t>
        </is>
      </c>
      <c r="B4807" s="1" t="n">
        <v>44503</v>
      </c>
      <c r="C4807" s="1" t="n">
        <v>45657</v>
      </c>
      <c r="D4807" t="inlineStr">
        <is>
          <t>VÄSTERNORRLANDS LÄN</t>
        </is>
      </c>
      <c r="E4807" t="inlineStr">
        <is>
          <t>KRAMFORS</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62647-2021</t>
        </is>
      </c>
      <c r="B4808" s="1" t="n">
        <v>44503</v>
      </c>
      <c r="C4808" s="1" t="n">
        <v>45657</v>
      </c>
      <c r="D4808" t="inlineStr">
        <is>
          <t>VÄSTERNORRLANDS LÄN</t>
        </is>
      </c>
      <c r="E4808" t="inlineStr">
        <is>
          <t>ÖRNSKÖLDSVIK</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62834-2021</t>
        </is>
      </c>
      <c r="B4809" s="1" t="n">
        <v>44503</v>
      </c>
      <c r="C4809" s="1" t="n">
        <v>45657</v>
      </c>
      <c r="D4809" t="inlineStr">
        <is>
          <t>VÄSTERNORRLANDS LÄN</t>
        </is>
      </c>
      <c r="E4809" t="inlineStr">
        <is>
          <t>ÅNGE</t>
        </is>
      </c>
      <c r="F4809" t="inlineStr">
        <is>
          <t>Övriga statliga verk och myndigheter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62870-2021</t>
        </is>
      </c>
      <c r="B4810" s="1" t="n">
        <v>44503</v>
      </c>
      <c r="C4810" s="1" t="n">
        <v>45657</v>
      </c>
      <c r="D4810" t="inlineStr">
        <is>
          <t>VÄSTERNORRLANDS LÄN</t>
        </is>
      </c>
      <c r="E4810" t="inlineStr">
        <is>
          <t>ÅNGE</t>
        </is>
      </c>
      <c r="F4810" t="inlineStr">
        <is>
          <t>Övriga statliga verk och myndigheter</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62790-2021</t>
        </is>
      </c>
      <c r="B4811" s="1" t="n">
        <v>44503</v>
      </c>
      <c r="C4811" s="1" t="n">
        <v>45657</v>
      </c>
      <c r="D4811" t="inlineStr">
        <is>
          <t>VÄSTERNORRLANDS LÄN</t>
        </is>
      </c>
      <c r="E4811" t="inlineStr">
        <is>
          <t>SOLLEFTEÅ</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62709-2021</t>
        </is>
      </c>
      <c r="B4812" s="1" t="n">
        <v>44504</v>
      </c>
      <c r="C4812" s="1" t="n">
        <v>45657</v>
      </c>
      <c r="D4812" t="inlineStr">
        <is>
          <t>VÄSTERNORRLANDS LÄN</t>
        </is>
      </c>
      <c r="E4812" t="inlineStr">
        <is>
          <t>ÖRNSKÖLDSVIK</t>
        </is>
      </c>
      <c r="F4812" t="inlineStr">
        <is>
          <t>Holmen skog AB</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62697-2021</t>
        </is>
      </c>
      <c r="B4813" s="1" t="n">
        <v>44504</v>
      </c>
      <c r="C4813" s="1" t="n">
        <v>45657</v>
      </c>
      <c r="D4813" t="inlineStr">
        <is>
          <t>VÄSTERNORRLANDS LÄN</t>
        </is>
      </c>
      <c r="E4813" t="inlineStr">
        <is>
          <t>SOLLEFTEÅ</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62692-2021</t>
        </is>
      </c>
      <c r="B4814" s="1" t="n">
        <v>44504</v>
      </c>
      <c r="C4814" s="1" t="n">
        <v>45657</v>
      </c>
      <c r="D4814" t="inlineStr">
        <is>
          <t>VÄSTERNORRLANDS LÄN</t>
        </is>
      </c>
      <c r="E4814" t="inlineStr">
        <is>
          <t>SOLLEFTEÅ</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62690-2021</t>
        </is>
      </c>
      <c r="B4815" s="1" t="n">
        <v>44504</v>
      </c>
      <c r="C4815" s="1" t="n">
        <v>45657</v>
      </c>
      <c r="D4815" t="inlineStr">
        <is>
          <t>VÄSTERNORRLANDS LÄN</t>
        </is>
      </c>
      <c r="E4815" t="inlineStr">
        <is>
          <t>ÖRNSKÖLDSVIK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62743-2021</t>
        </is>
      </c>
      <c r="B4816" s="1" t="n">
        <v>44504</v>
      </c>
      <c r="C4816" s="1" t="n">
        <v>45657</v>
      </c>
      <c r="D4816" t="inlineStr">
        <is>
          <t>VÄSTERNORRLANDS LÄN</t>
        </is>
      </c>
      <c r="E4816" t="inlineStr">
        <is>
          <t>ÖRNSKÖLDSVIK</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63710-2021</t>
        </is>
      </c>
      <c r="B4817" s="1" t="n">
        <v>44504</v>
      </c>
      <c r="C4817" s="1" t="n">
        <v>45657</v>
      </c>
      <c r="D4817" t="inlineStr">
        <is>
          <t>VÄSTERNORRLANDS LÄN</t>
        </is>
      </c>
      <c r="E4817" t="inlineStr">
        <is>
          <t>SOLLEFTEÅ</t>
        </is>
      </c>
      <c r="G4817" t="n">
        <v>10.6</v>
      </c>
      <c r="H4817" t="n">
        <v>0</v>
      </c>
      <c r="I4817" t="n">
        <v>0</v>
      </c>
      <c r="J4817" t="n">
        <v>0</v>
      </c>
      <c r="K4817" t="n">
        <v>0</v>
      </c>
      <c r="L4817" t="n">
        <v>0</v>
      </c>
      <c r="M4817" t="n">
        <v>0</v>
      </c>
      <c r="N4817" t="n">
        <v>0</v>
      </c>
      <c r="O4817" t="n">
        <v>0</v>
      </c>
      <c r="P4817" t="n">
        <v>0</v>
      </c>
      <c r="Q4817" t="n">
        <v>0</v>
      </c>
      <c r="R4817" s="2" t="inlineStr"/>
    </row>
    <row r="4818" ht="15" customHeight="1">
      <c r="A4818" t="inlineStr">
        <is>
          <t>A 63464-2021</t>
        </is>
      </c>
      <c r="B4818" s="1" t="n">
        <v>44504</v>
      </c>
      <c r="C4818" s="1" t="n">
        <v>45657</v>
      </c>
      <c r="D4818" t="inlineStr">
        <is>
          <t>VÄSTERNORRLANDS LÄN</t>
        </is>
      </c>
      <c r="E4818" t="inlineStr">
        <is>
          <t>SUNDSVALL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62944-2021</t>
        </is>
      </c>
      <c r="B4819" s="1" t="n">
        <v>44504</v>
      </c>
      <c r="C4819" s="1" t="n">
        <v>45657</v>
      </c>
      <c r="D4819" t="inlineStr">
        <is>
          <t>VÄSTERNORRLANDS LÄN</t>
        </is>
      </c>
      <c r="E4819" t="inlineStr">
        <is>
          <t>KRAMFORS</t>
        </is>
      </c>
      <c r="G4819" t="n">
        <v>7.8</v>
      </c>
      <c r="H4819" t="n">
        <v>0</v>
      </c>
      <c r="I4819" t="n">
        <v>0</v>
      </c>
      <c r="J4819" t="n">
        <v>0</v>
      </c>
      <c r="K4819" t="n">
        <v>0</v>
      </c>
      <c r="L4819" t="n">
        <v>0</v>
      </c>
      <c r="M4819" t="n">
        <v>0</v>
      </c>
      <c r="N4819" t="n">
        <v>0</v>
      </c>
      <c r="O4819" t="n">
        <v>0</v>
      </c>
      <c r="P4819" t="n">
        <v>0</v>
      </c>
      <c r="Q4819" t="n">
        <v>0</v>
      </c>
      <c r="R4819" s="2" t="inlineStr"/>
    </row>
    <row r="4820" ht="15" customHeight="1">
      <c r="A4820" t="inlineStr">
        <is>
          <t>A 62958-2021</t>
        </is>
      </c>
      <c r="B4820" s="1" t="n">
        <v>44504</v>
      </c>
      <c r="C4820" s="1" t="n">
        <v>45657</v>
      </c>
      <c r="D4820" t="inlineStr">
        <is>
          <t>VÄSTERNORRLANDS LÄN</t>
        </is>
      </c>
      <c r="E4820" t="inlineStr">
        <is>
          <t>HÄRNÖSAND</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62968-2021</t>
        </is>
      </c>
      <c r="B4821" s="1" t="n">
        <v>44505</v>
      </c>
      <c r="C4821" s="1" t="n">
        <v>45657</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62995-2021</t>
        </is>
      </c>
      <c r="B4822" s="1" t="n">
        <v>44505</v>
      </c>
      <c r="C4822" s="1" t="n">
        <v>45657</v>
      </c>
      <c r="D4822" t="inlineStr">
        <is>
          <t>VÄSTERNORRLANDS LÄN</t>
        </is>
      </c>
      <c r="E4822" t="inlineStr">
        <is>
          <t>ÖRNSKÖLDSVIK</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63039-2021</t>
        </is>
      </c>
      <c r="B4823" s="1" t="n">
        <v>44505</v>
      </c>
      <c r="C4823" s="1" t="n">
        <v>45657</v>
      </c>
      <c r="D4823" t="inlineStr">
        <is>
          <t>VÄSTERNORRLANDS LÄN</t>
        </is>
      </c>
      <c r="E4823" t="inlineStr">
        <is>
          <t>ÖRNSKÖLDSVIK</t>
        </is>
      </c>
      <c r="F4823" t="inlineStr">
        <is>
          <t>Holmen skog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63021-2021</t>
        </is>
      </c>
      <c r="B4824" s="1" t="n">
        <v>44505</v>
      </c>
      <c r="C4824" s="1" t="n">
        <v>45657</v>
      </c>
      <c r="D4824" t="inlineStr">
        <is>
          <t>VÄSTERNORRLANDS LÄN</t>
        </is>
      </c>
      <c r="E4824" t="inlineStr">
        <is>
          <t>ÖRNSKÖLDSVIK</t>
        </is>
      </c>
      <c r="F4824" t="inlineStr">
        <is>
          <t>Holmen skog AB</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63148-2021</t>
        </is>
      </c>
      <c r="B4825" s="1" t="n">
        <v>44505</v>
      </c>
      <c r="C4825" s="1" t="n">
        <v>45657</v>
      </c>
      <c r="D4825" t="inlineStr">
        <is>
          <t>VÄSTERNORRLANDS LÄN</t>
        </is>
      </c>
      <c r="E4825" t="inlineStr">
        <is>
          <t>ÅNGE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63365-2021</t>
        </is>
      </c>
      <c r="B4826" s="1" t="n">
        <v>44505</v>
      </c>
      <c r="C4826" s="1" t="n">
        <v>45657</v>
      </c>
      <c r="D4826" t="inlineStr">
        <is>
          <t>VÄSTERNORRLANDS LÄN</t>
        </is>
      </c>
      <c r="E4826" t="inlineStr">
        <is>
          <t>ÖRNSKÖLDSVIK</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63230-2021</t>
        </is>
      </c>
      <c r="B4827" s="1" t="n">
        <v>44505</v>
      </c>
      <c r="C4827" s="1" t="n">
        <v>45657</v>
      </c>
      <c r="D4827" t="inlineStr">
        <is>
          <t>VÄSTERNORRLANDS LÄN</t>
        </is>
      </c>
      <c r="E4827" t="inlineStr">
        <is>
          <t>ÖRNSKÖLDSVIK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63163-2021</t>
        </is>
      </c>
      <c r="B4828" s="1" t="n">
        <v>44505</v>
      </c>
      <c r="C4828" s="1" t="n">
        <v>45657</v>
      </c>
      <c r="D4828" t="inlineStr">
        <is>
          <t>VÄSTERNORRLANDS LÄN</t>
        </is>
      </c>
      <c r="E4828" t="inlineStr">
        <is>
          <t>SUNDSVALL</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63385-2021</t>
        </is>
      </c>
      <c r="B4829" s="1" t="n">
        <v>44505</v>
      </c>
      <c r="C4829" s="1" t="n">
        <v>45657</v>
      </c>
      <c r="D4829" t="inlineStr">
        <is>
          <t>VÄSTERNORRLANDS LÄN</t>
        </is>
      </c>
      <c r="E4829" t="inlineStr">
        <is>
          <t>ÖRNSKÖLDSVIK</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63237-2021</t>
        </is>
      </c>
      <c r="B4830" s="1" t="n">
        <v>44508</v>
      </c>
      <c r="C4830" s="1" t="n">
        <v>45657</v>
      </c>
      <c r="D4830" t="inlineStr">
        <is>
          <t>VÄSTERNORRLANDS LÄN</t>
        </is>
      </c>
      <c r="E4830" t="inlineStr">
        <is>
          <t>ÖRNSKÖLDSVIK</t>
        </is>
      </c>
      <c r="F4830" t="inlineStr">
        <is>
          <t>Holmen skog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63303-2021</t>
        </is>
      </c>
      <c r="B4831" s="1" t="n">
        <v>44508</v>
      </c>
      <c r="C4831" s="1" t="n">
        <v>45657</v>
      </c>
      <c r="D4831" t="inlineStr">
        <is>
          <t>VÄSTERNORRLANDS LÄN</t>
        </is>
      </c>
      <c r="E4831" t="inlineStr">
        <is>
          <t>ÖRNSKÖLDSVIK</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63424-2021</t>
        </is>
      </c>
      <c r="B4832" s="1" t="n">
        <v>44508</v>
      </c>
      <c r="C4832" s="1" t="n">
        <v>45657</v>
      </c>
      <c r="D4832" t="inlineStr">
        <is>
          <t>VÄSTERNORRLANDS LÄN</t>
        </is>
      </c>
      <c r="E4832" t="inlineStr">
        <is>
          <t>KRAMFORS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63434-2021</t>
        </is>
      </c>
      <c r="B4833" s="1" t="n">
        <v>44508</v>
      </c>
      <c r="C4833" s="1" t="n">
        <v>45657</v>
      </c>
      <c r="D4833" t="inlineStr">
        <is>
          <t>VÄSTERNORRLANDS LÄN</t>
        </is>
      </c>
      <c r="E4833" t="inlineStr">
        <is>
          <t>KRAMFORS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63447-2021</t>
        </is>
      </c>
      <c r="B4834" s="1" t="n">
        <v>44508</v>
      </c>
      <c r="C4834" s="1" t="n">
        <v>45657</v>
      </c>
      <c r="D4834" t="inlineStr">
        <is>
          <t>VÄSTERNORRLANDS LÄN</t>
        </is>
      </c>
      <c r="E4834" t="inlineStr">
        <is>
          <t>ÖRNSKÖLDSVIK</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63241-2021</t>
        </is>
      </c>
      <c r="B4835" s="1" t="n">
        <v>44508</v>
      </c>
      <c r="C4835" s="1" t="n">
        <v>45657</v>
      </c>
      <c r="D4835" t="inlineStr">
        <is>
          <t>VÄSTERNORRLANDS LÄN</t>
        </is>
      </c>
      <c r="E4835" t="inlineStr">
        <is>
          <t>ÖRNSKÖLDSVIK</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63550-2021</t>
        </is>
      </c>
      <c r="B4836" s="1" t="n">
        <v>44508</v>
      </c>
      <c r="C4836" s="1" t="n">
        <v>45657</v>
      </c>
      <c r="D4836" t="inlineStr">
        <is>
          <t>VÄSTERNORRLANDS LÄN</t>
        </is>
      </c>
      <c r="E4836" t="inlineStr">
        <is>
          <t>ÅNGE</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63426-2021</t>
        </is>
      </c>
      <c r="B4837" s="1" t="n">
        <v>44508</v>
      </c>
      <c r="C4837" s="1" t="n">
        <v>45657</v>
      </c>
      <c r="D4837" t="inlineStr">
        <is>
          <t>VÄSTERNORRLANDS LÄN</t>
        </is>
      </c>
      <c r="E4837" t="inlineStr">
        <is>
          <t>ÖRNSKÖLDSVIK</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63443-2021</t>
        </is>
      </c>
      <c r="B4838" s="1" t="n">
        <v>44508</v>
      </c>
      <c r="C4838" s="1" t="n">
        <v>45657</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63449-2021</t>
        </is>
      </c>
      <c r="B4839" s="1" t="n">
        <v>44508</v>
      </c>
      <c r="C4839" s="1" t="n">
        <v>45657</v>
      </c>
      <c r="D4839" t="inlineStr">
        <is>
          <t>VÄSTERNORRLANDS LÄN</t>
        </is>
      </c>
      <c r="E4839" t="inlineStr">
        <is>
          <t>ÖRNSKÖLDSVIK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63597-2021</t>
        </is>
      </c>
      <c r="B4840" s="1" t="n">
        <v>44508</v>
      </c>
      <c r="C4840" s="1" t="n">
        <v>45657</v>
      </c>
      <c r="D4840" t="inlineStr">
        <is>
          <t>VÄSTERNORRLANDS LÄN</t>
        </is>
      </c>
      <c r="E4840" t="inlineStr">
        <is>
          <t>ÅNGE</t>
        </is>
      </c>
      <c r="F4840" t="inlineStr">
        <is>
          <t>SCA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63446-2021</t>
        </is>
      </c>
      <c r="B4841" s="1" t="n">
        <v>44508</v>
      </c>
      <c r="C4841" s="1" t="n">
        <v>45657</v>
      </c>
      <c r="D4841" t="inlineStr">
        <is>
          <t>VÄSTERNORRLANDS LÄN</t>
        </is>
      </c>
      <c r="E4841" t="inlineStr">
        <is>
          <t>KRAMFORS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63458-2021</t>
        </is>
      </c>
      <c r="B4842" s="1" t="n">
        <v>44508</v>
      </c>
      <c r="C4842" s="1" t="n">
        <v>45657</v>
      </c>
      <c r="D4842" t="inlineStr">
        <is>
          <t>VÄSTERNORRLANDS LÄN</t>
        </is>
      </c>
      <c r="E4842" t="inlineStr">
        <is>
          <t>ÖRNSKÖLDSVIK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63429-2021</t>
        </is>
      </c>
      <c r="B4843" s="1" t="n">
        <v>44508</v>
      </c>
      <c r="C4843" s="1" t="n">
        <v>45657</v>
      </c>
      <c r="D4843" t="inlineStr">
        <is>
          <t>VÄSTERNORRLANDS LÄN</t>
        </is>
      </c>
      <c r="E4843" t="inlineStr">
        <is>
          <t>KRAMFORS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63452-2021</t>
        </is>
      </c>
      <c r="B4844" s="1" t="n">
        <v>44508</v>
      </c>
      <c r="C4844" s="1" t="n">
        <v>45657</v>
      </c>
      <c r="D4844" t="inlineStr">
        <is>
          <t>VÄSTERNORRLANDS LÄN</t>
        </is>
      </c>
      <c r="E4844" t="inlineStr">
        <is>
          <t>ÖRNSKÖLDSVIK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63522-2021</t>
        </is>
      </c>
      <c r="B4845" s="1" t="n">
        <v>44508</v>
      </c>
      <c r="C4845" s="1" t="n">
        <v>45657</v>
      </c>
      <c r="D4845" t="inlineStr">
        <is>
          <t>VÄSTERNORRLANDS LÄN</t>
        </is>
      </c>
      <c r="E4845" t="inlineStr">
        <is>
          <t>ÅNGE</t>
        </is>
      </c>
      <c r="F4845" t="inlineStr">
        <is>
          <t>Övriga Aktiebolag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63556-2021</t>
        </is>
      </c>
      <c r="B4846" s="1" t="n">
        <v>44508</v>
      </c>
      <c r="C4846" s="1" t="n">
        <v>45657</v>
      </c>
      <c r="D4846" t="inlineStr">
        <is>
          <t>VÄSTERNORRLANDS LÄN</t>
        </is>
      </c>
      <c r="E4846" t="inlineStr">
        <is>
          <t>ÅNGE</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63598-2021</t>
        </is>
      </c>
      <c r="B4847" s="1" t="n">
        <v>44508</v>
      </c>
      <c r="C4847" s="1" t="n">
        <v>45657</v>
      </c>
      <c r="D4847" t="inlineStr">
        <is>
          <t>VÄSTERNORRLANDS LÄN</t>
        </is>
      </c>
      <c r="E4847" t="inlineStr">
        <is>
          <t>ÅNGE</t>
        </is>
      </c>
      <c r="F4847" t="inlineStr">
        <is>
          <t>SCA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63607-2021</t>
        </is>
      </c>
      <c r="B4848" s="1" t="n">
        <v>44508</v>
      </c>
      <c r="C4848" s="1" t="n">
        <v>45657</v>
      </c>
      <c r="D4848" t="inlineStr">
        <is>
          <t>VÄSTERNORRLANDS LÄN</t>
        </is>
      </c>
      <c r="E4848" t="inlineStr">
        <is>
          <t>ÅNGE</t>
        </is>
      </c>
      <c r="F4848" t="inlineStr">
        <is>
          <t>SCA</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63651-2021</t>
        </is>
      </c>
      <c r="B4849" s="1" t="n">
        <v>44508</v>
      </c>
      <c r="C4849" s="1" t="n">
        <v>45657</v>
      </c>
      <c r="D4849" t="inlineStr">
        <is>
          <t>VÄSTERNORRLANDS LÄN</t>
        </is>
      </c>
      <c r="E4849" t="inlineStr">
        <is>
          <t>SUNDSVALL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63508-2021</t>
        </is>
      </c>
      <c r="B4850" s="1" t="n">
        <v>44508</v>
      </c>
      <c r="C4850" s="1" t="n">
        <v>45657</v>
      </c>
      <c r="D4850" t="inlineStr">
        <is>
          <t>VÄSTERNORRLANDS LÄN</t>
        </is>
      </c>
      <c r="E4850" t="inlineStr">
        <is>
          <t>ÖRNSKÖLDSVIK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63545-2021</t>
        </is>
      </c>
      <c r="B4851" s="1" t="n">
        <v>44508</v>
      </c>
      <c r="C4851" s="1" t="n">
        <v>45657</v>
      </c>
      <c r="D4851" t="inlineStr">
        <is>
          <t>VÄSTERNORRLANDS LÄN</t>
        </is>
      </c>
      <c r="E4851" t="inlineStr">
        <is>
          <t>ÖRNSKÖLDSVIK</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63599-2021</t>
        </is>
      </c>
      <c r="B4852" s="1" t="n">
        <v>44508</v>
      </c>
      <c r="C4852" s="1" t="n">
        <v>45657</v>
      </c>
      <c r="D4852" t="inlineStr">
        <is>
          <t>VÄSTERNORRLANDS LÄN</t>
        </is>
      </c>
      <c r="E4852" t="inlineStr">
        <is>
          <t>ÅNGE</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63608-2021</t>
        </is>
      </c>
      <c r="B4853" s="1" t="n">
        <v>44508</v>
      </c>
      <c r="C4853" s="1" t="n">
        <v>45657</v>
      </c>
      <c r="D4853" t="inlineStr">
        <is>
          <t>VÄSTERNORRLANDS LÄN</t>
        </is>
      </c>
      <c r="E4853" t="inlineStr">
        <is>
          <t>ÅNGE</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63655-2021</t>
        </is>
      </c>
      <c r="B4854" s="1" t="n">
        <v>44508</v>
      </c>
      <c r="C4854" s="1" t="n">
        <v>45657</v>
      </c>
      <c r="D4854" t="inlineStr">
        <is>
          <t>VÄSTERNORRLANDS LÄN</t>
        </is>
      </c>
      <c r="E4854" t="inlineStr">
        <is>
          <t>SUNDSVALL</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63665-2021</t>
        </is>
      </c>
      <c r="B4855" s="1" t="n">
        <v>44508</v>
      </c>
      <c r="C4855" s="1" t="n">
        <v>45657</v>
      </c>
      <c r="D4855" t="inlineStr">
        <is>
          <t>VÄSTERNORRLANDS LÄN</t>
        </is>
      </c>
      <c r="E4855" t="inlineStr">
        <is>
          <t>SUNDSVALL</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63609-2021</t>
        </is>
      </c>
      <c r="B4856" s="1" t="n">
        <v>44508</v>
      </c>
      <c r="C4856" s="1" t="n">
        <v>45657</v>
      </c>
      <c r="D4856" t="inlineStr">
        <is>
          <t>VÄSTERNORRLANDS LÄN</t>
        </is>
      </c>
      <c r="E4856" t="inlineStr">
        <is>
          <t>ÅNGE</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63661-2021</t>
        </is>
      </c>
      <c r="B4857" s="1" t="n">
        <v>44508</v>
      </c>
      <c r="C4857" s="1" t="n">
        <v>45657</v>
      </c>
      <c r="D4857" t="inlineStr">
        <is>
          <t>VÄSTERNORRLANDS LÄN</t>
        </is>
      </c>
      <c r="E4857" t="inlineStr">
        <is>
          <t>SUNDSVALL</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63806-2021</t>
        </is>
      </c>
      <c r="B4858" s="1" t="n">
        <v>44508</v>
      </c>
      <c r="C4858" s="1" t="n">
        <v>45657</v>
      </c>
      <c r="D4858" t="inlineStr">
        <is>
          <t>VÄSTERNORRLANDS LÄN</t>
        </is>
      </c>
      <c r="E4858" t="inlineStr">
        <is>
          <t>ÖRNSKÖLDSVIK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63701-2021</t>
        </is>
      </c>
      <c r="B4859" s="1" t="n">
        <v>44509</v>
      </c>
      <c r="C4859" s="1" t="n">
        <v>45657</v>
      </c>
      <c r="D4859" t="inlineStr">
        <is>
          <t>VÄSTERNORRLANDS LÄN</t>
        </is>
      </c>
      <c r="E4859" t="inlineStr">
        <is>
          <t>KRAMFORS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63784-2021</t>
        </is>
      </c>
      <c r="B4860" s="1" t="n">
        <v>44509</v>
      </c>
      <c r="C4860" s="1" t="n">
        <v>45657</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63841-2021</t>
        </is>
      </c>
      <c r="B4861" s="1" t="n">
        <v>44509</v>
      </c>
      <c r="C4861" s="1" t="n">
        <v>45657</v>
      </c>
      <c r="D4861" t="inlineStr">
        <is>
          <t>VÄSTERNORRLANDS LÄN</t>
        </is>
      </c>
      <c r="E4861" t="inlineStr">
        <is>
          <t>ÖRNSKÖLDSVIK</t>
        </is>
      </c>
      <c r="F4861" t="inlineStr">
        <is>
          <t>Holmen skog AB</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63699-2021</t>
        </is>
      </c>
      <c r="B4862" s="1" t="n">
        <v>44509</v>
      </c>
      <c r="C4862" s="1" t="n">
        <v>45657</v>
      </c>
      <c r="D4862" t="inlineStr">
        <is>
          <t>VÄSTERNORRLANDS LÄN</t>
        </is>
      </c>
      <c r="E4862" t="inlineStr">
        <is>
          <t>KRAMFORS</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63836-2021</t>
        </is>
      </c>
      <c r="B4863" s="1" t="n">
        <v>44509</v>
      </c>
      <c r="C4863" s="1" t="n">
        <v>45657</v>
      </c>
      <c r="D4863" t="inlineStr">
        <is>
          <t>VÄSTERNORRLANDS LÄN</t>
        </is>
      </c>
      <c r="E4863" t="inlineStr">
        <is>
          <t>ÅNGE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63897-2021</t>
        </is>
      </c>
      <c r="B4864" s="1" t="n">
        <v>44509</v>
      </c>
      <c r="C4864" s="1" t="n">
        <v>45657</v>
      </c>
      <c r="D4864" t="inlineStr">
        <is>
          <t>VÄSTERNORRLANDS LÄN</t>
        </is>
      </c>
      <c r="E4864" t="inlineStr">
        <is>
          <t>ÅNGE</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64108-2021</t>
        </is>
      </c>
      <c r="B4865" s="1" t="n">
        <v>44509</v>
      </c>
      <c r="C4865" s="1" t="n">
        <v>45657</v>
      </c>
      <c r="D4865" t="inlineStr">
        <is>
          <t>VÄSTERNORRLANDS LÄN</t>
        </is>
      </c>
      <c r="E4865" t="inlineStr">
        <is>
          <t>ÖRNSKÖLDSVIK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63974-2021</t>
        </is>
      </c>
      <c r="B4866" s="1" t="n">
        <v>44509</v>
      </c>
      <c r="C4866" s="1" t="n">
        <v>45657</v>
      </c>
      <c r="D4866" t="inlineStr">
        <is>
          <t>VÄSTERNORRLANDS LÄN</t>
        </is>
      </c>
      <c r="E4866" t="inlineStr">
        <is>
          <t>KRAMFORS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63971-2021</t>
        </is>
      </c>
      <c r="B4867" s="1" t="n">
        <v>44509</v>
      </c>
      <c r="C4867" s="1" t="n">
        <v>45657</v>
      </c>
      <c r="D4867" t="inlineStr">
        <is>
          <t>VÄSTERNORRLANDS LÄN</t>
        </is>
      </c>
      <c r="E4867" t="inlineStr">
        <is>
          <t>KRAMFORS</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64113-2021</t>
        </is>
      </c>
      <c r="B4868" s="1" t="n">
        <v>44509</v>
      </c>
      <c r="C4868" s="1" t="n">
        <v>45657</v>
      </c>
      <c r="D4868" t="inlineStr">
        <is>
          <t>VÄSTERNORRLANDS LÄN</t>
        </is>
      </c>
      <c r="E4868" t="inlineStr">
        <is>
          <t>ÖRNSKÖLDSVIK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64116-2021</t>
        </is>
      </c>
      <c r="B4869" s="1" t="n">
        <v>44509</v>
      </c>
      <c r="C4869" s="1" t="n">
        <v>45657</v>
      </c>
      <c r="D4869" t="inlineStr">
        <is>
          <t>VÄSTERNORRLANDS LÄN</t>
        </is>
      </c>
      <c r="E4869" t="inlineStr">
        <is>
          <t>ÖRNSKÖLDSVIK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64121-2021</t>
        </is>
      </c>
      <c r="B4870" s="1" t="n">
        <v>44510</v>
      </c>
      <c r="C4870" s="1" t="n">
        <v>45657</v>
      </c>
      <c r="D4870" t="inlineStr">
        <is>
          <t>VÄSTERNORRLANDS LÄN</t>
        </is>
      </c>
      <c r="E4870" t="inlineStr">
        <is>
          <t>ÅNGE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64018-2021</t>
        </is>
      </c>
      <c r="B4871" s="1" t="n">
        <v>44510</v>
      </c>
      <c r="C4871" s="1" t="n">
        <v>45657</v>
      </c>
      <c r="D4871" t="inlineStr">
        <is>
          <t>VÄSTERNORRLANDS LÄN</t>
        </is>
      </c>
      <c r="E4871" t="inlineStr">
        <is>
          <t>ÖRNSKÖLDSVIK</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64114-2021</t>
        </is>
      </c>
      <c r="B4872" s="1" t="n">
        <v>44510</v>
      </c>
      <c r="C4872" s="1" t="n">
        <v>45657</v>
      </c>
      <c r="D4872" t="inlineStr">
        <is>
          <t>VÄSTERNORRLANDS LÄN</t>
        </is>
      </c>
      <c r="E4872" t="inlineStr">
        <is>
          <t>ÖRNSKÖLDSVIK</t>
        </is>
      </c>
      <c r="F4872" t="inlineStr">
        <is>
          <t>Holmen skog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64054-2021</t>
        </is>
      </c>
      <c r="B4873" s="1" t="n">
        <v>44510</v>
      </c>
      <c r="C4873" s="1" t="n">
        <v>45657</v>
      </c>
      <c r="D4873" t="inlineStr">
        <is>
          <t>VÄSTERNORRLANDS LÄN</t>
        </is>
      </c>
      <c r="E4873" t="inlineStr">
        <is>
          <t>ÖRNSKÖLDSVIK</t>
        </is>
      </c>
      <c r="F4873" t="inlineStr">
        <is>
          <t>Holmen skog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64433-2021</t>
        </is>
      </c>
      <c r="B4874" s="1" t="n">
        <v>44511</v>
      </c>
      <c r="C4874" s="1" t="n">
        <v>45657</v>
      </c>
      <c r="D4874" t="inlineStr">
        <is>
          <t>VÄSTERNORRLANDS LÄN</t>
        </is>
      </c>
      <c r="E4874" t="inlineStr">
        <is>
          <t>TIMRÅ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64440-2021</t>
        </is>
      </c>
      <c r="B4875" s="1" t="n">
        <v>44511</v>
      </c>
      <c r="C4875" s="1" t="n">
        <v>45657</v>
      </c>
      <c r="D4875" t="inlineStr">
        <is>
          <t>VÄSTERNORRLANDS LÄN</t>
        </is>
      </c>
      <c r="E4875" t="inlineStr">
        <is>
          <t>KRAMFORS</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64434-2021</t>
        </is>
      </c>
      <c r="B4876" s="1" t="n">
        <v>44511</v>
      </c>
      <c r="C4876" s="1" t="n">
        <v>45657</v>
      </c>
      <c r="D4876" t="inlineStr">
        <is>
          <t>VÄSTERNORRLANDS LÄN</t>
        </is>
      </c>
      <c r="E4876" t="inlineStr">
        <is>
          <t>ÖRNSKÖLDSVIK</t>
        </is>
      </c>
      <c r="F4876" t="inlineStr">
        <is>
          <t>Holmen skog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64367-2021</t>
        </is>
      </c>
      <c r="B4877" s="1" t="n">
        <v>44511</v>
      </c>
      <c r="C4877" s="1" t="n">
        <v>45657</v>
      </c>
      <c r="D4877" t="inlineStr">
        <is>
          <t>VÄSTERNORRLANDS LÄN</t>
        </is>
      </c>
      <c r="E4877" t="inlineStr">
        <is>
          <t>SUNDSVALL</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64381-2021</t>
        </is>
      </c>
      <c r="B4878" s="1" t="n">
        <v>44511</v>
      </c>
      <c r="C4878" s="1" t="n">
        <v>45657</v>
      </c>
      <c r="D4878" t="inlineStr">
        <is>
          <t>VÄSTERNORRLANDS LÄN</t>
        </is>
      </c>
      <c r="E4878" t="inlineStr">
        <is>
          <t>ÖRNSKÖLDSVIK</t>
        </is>
      </c>
      <c r="F4878" t="inlineStr">
        <is>
          <t>Holmen skog AB</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64437-2021</t>
        </is>
      </c>
      <c r="B4879" s="1" t="n">
        <v>44511</v>
      </c>
      <c r="C4879" s="1" t="n">
        <v>45657</v>
      </c>
      <c r="D4879" t="inlineStr">
        <is>
          <t>VÄSTERNORRLANDS LÄN</t>
        </is>
      </c>
      <c r="E4879" t="inlineStr">
        <is>
          <t>ÖRNSKÖLDSVIK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64478-2021</t>
        </is>
      </c>
      <c r="B4880" s="1" t="n">
        <v>44511</v>
      </c>
      <c r="C4880" s="1" t="n">
        <v>45657</v>
      </c>
      <c r="D4880" t="inlineStr">
        <is>
          <t>VÄSTERNORRLANDS LÄN</t>
        </is>
      </c>
      <c r="E4880" t="inlineStr">
        <is>
          <t>SUNDSVALL</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64390-2021</t>
        </is>
      </c>
      <c r="B4881" s="1" t="n">
        <v>44511</v>
      </c>
      <c r="C4881" s="1" t="n">
        <v>45657</v>
      </c>
      <c r="D4881" t="inlineStr">
        <is>
          <t>VÄSTERNORRLANDS LÄN</t>
        </is>
      </c>
      <c r="E4881" t="inlineStr">
        <is>
          <t>ÖRNSKÖLDSVIK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64641-2021</t>
        </is>
      </c>
      <c r="B4882" s="1" t="n">
        <v>44511</v>
      </c>
      <c r="C4882" s="1" t="n">
        <v>45657</v>
      </c>
      <c r="D4882" t="inlineStr">
        <is>
          <t>VÄSTERNORRLANDS LÄN</t>
        </is>
      </c>
      <c r="E4882" t="inlineStr">
        <is>
          <t>SUNDSVALL</t>
        </is>
      </c>
      <c r="F4882" t="inlineStr">
        <is>
          <t>SCA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64542-2021</t>
        </is>
      </c>
      <c r="B4883" s="1" t="n">
        <v>44511</v>
      </c>
      <c r="C4883" s="1" t="n">
        <v>45657</v>
      </c>
      <c r="D4883" t="inlineStr">
        <is>
          <t>VÄSTERNORRLANDS LÄN</t>
        </is>
      </c>
      <c r="E4883" t="inlineStr">
        <is>
          <t>ÖRNSKÖLDSVIK</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64649-2021</t>
        </is>
      </c>
      <c r="B4884" s="1" t="n">
        <v>44511</v>
      </c>
      <c r="C4884" s="1" t="n">
        <v>45657</v>
      </c>
      <c r="D4884" t="inlineStr">
        <is>
          <t>VÄSTERNORRLANDS LÄN</t>
        </is>
      </c>
      <c r="E4884" t="inlineStr">
        <is>
          <t>SUNDSVALL</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65555-2021</t>
        </is>
      </c>
      <c r="B4885" s="1" t="n">
        <v>44511</v>
      </c>
      <c r="C4885" s="1" t="n">
        <v>45657</v>
      </c>
      <c r="D4885" t="inlineStr">
        <is>
          <t>VÄSTERNORRLANDS LÄN</t>
        </is>
      </c>
      <c r="E4885" t="inlineStr">
        <is>
          <t>KRAMFORS</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64638-2021</t>
        </is>
      </c>
      <c r="B4886" s="1" t="n">
        <v>44511</v>
      </c>
      <c r="C4886" s="1" t="n">
        <v>45657</v>
      </c>
      <c r="D4886" t="inlineStr">
        <is>
          <t>VÄSTERNORRLANDS LÄN</t>
        </is>
      </c>
      <c r="E4886" t="inlineStr">
        <is>
          <t>SOLLEFTEÅ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64651-2021</t>
        </is>
      </c>
      <c r="B4887" s="1" t="n">
        <v>44511</v>
      </c>
      <c r="C4887" s="1" t="n">
        <v>45657</v>
      </c>
      <c r="D4887" t="inlineStr">
        <is>
          <t>VÄSTERNORRLANDS LÄN</t>
        </is>
      </c>
      <c r="E4887" t="inlineStr">
        <is>
          <t>SOLLEFTEÅ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64653-2021</t>
        </is>
      </c>
      <c r="B4888" s="1" t="n">
        <v>44511</v>
      </c>
      <c r="C4888" s="1" t="n">
        <v>45657</v>
      </c>
      <c r="D4888" t="inlineStr">
        <is>
          <t>VÄSTERNORRLANDS LÄN</t>
        </is>
      </c>
      <c r="E4888" t="inlineStr">
        <is>
          <t>SOLLEFTEÅ</t>
        </is>
      </c>
      <c r="F4888" t="inlineStr">
        <is>
          <t>SCA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64714-2021</t>
        </is>
      </c>
      <c r="B4889" s="1" t="n">
        <v>44512</v>
      </c>
      <c r="C4889" s="1" t="n">
        <v>45657</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64682-2021</t>
        </is>
      </c>
      <c r="B4890" s="1" t="n">
        <v>44512</v>
      </c>
      <c r="C4890" s="1" t="n">
        <v>45657</v>
      </c>
      <c r="D4890" t="inlineStr">
        <is>
          <t>VÄSTERNORRLANDS LÄN</t>
        </is>
      </c>
      <c r="E4890" t="inlineStr">
        <is>
          <t>HÄRNÖSAND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64707-2021</t>
        </is>
      </c>
      <c r="B4891" s="1" t="n">
        <v>44512</v>
      </c>
      <c r="C4891" s="1" t="n">
        <v>45657</v>
      </c>
      <c r="D4891" t="inlineStr">
        <is>
          <t>VÄSTERNORRLANDS LÄN</t>
        </is>
      </c>
      <c r="E4891" t="inlineStr">
        <is>
          <t>ÖRNSKÖLDSVIK</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64716-2021</t>
        </is>
      </c>
      <c r="B4892" s="1" t="n">
        <v>44512</v>
      </c>
      <c r="C4892" s="1" t="n">
        <v>45657</v>
      </c>
      <c r="D4892" t="inlineStr">
        <is>
          <t>VÄSTERNORRLANDS LÄN</t>
        </is>
      </c>
      <c r="E4892" t="inlineStr">
        <is>
          <t>ÖRNSKÖLDSVIK</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64722-2021</t>
        </is>
      </c>
      <c r="B4893" s="1" t="n">
        <v>44512</v>
      </c>
      <c r="C4893" s="1" t="n">
        <v>45657</v>
      </c>
      <c r="D4893" t="inlineStr">
        <is>
          <t>VÄSTERNORRLANDS LÄN</t>
        </is>
      </c>
      <c r="E4893" t="inlineStr">
        <is>
          <t>ÖRNSKÖLDSVIK</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64793-2021</t>
        </is>
      </c>
      <c r="B4894" s="1" t="n">
        <v>44512</v>
      </c>
      <c r="C4894" s="1" t="n">
        <v>45657</v>
      </c>
      <c r="D4894" t="inlineStr">
        <is>
          <t>VÄSTERNORRLANDS LÄN</t>
        </is>
      </c>
      <c r="E4894" t="inlineStr">
        <is>
          <t>ÖRNSKÖLDSVIK</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64939-2021</t>
        </is>
      </c>
      <c r="B4895" s="1" t="n">
        <v>44512</v>
      </c>
      <c r="C4895" s="1" t="n">
        <v>45657</v>
      </c>
      <c r="D4895" t="inlineStr">
        <is>
          <t>VÄSTERNORRLANDS LÄN</t>
        </is>
      </c>
      <c r="E4895" t="inlineStr">
        <is>
          <t>SOLLEFTEÅ</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64962-2021</t>
        </is>
      </c>
      <c r="B4896" s="1" t="n">
        <v>44512</v>
      </c>
      <c r="C4896" s="1" t="n">
        <v>45657</v>
      </c>
      <c r="D4896" t="inlineStr">
        <is>
          <t>VÄSTERNORRLANDS LÄN</t>
        </is>
      </c>
      <c r="E4896" t="inlineStr">
        <is>
          <t>ÅNGE</t>
        </is>
      </c>
      <c r="F4896" t="inlineStr">
        <is>
          <t>SCA</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64917-2021</t>
        </is>
      </c>
      <c r="B4897" s="1" t="n">
        <v>44512</v>
      </c>
      <c r="C4897" s="1" t="n">
        <v>45657</v>
      </c>
      <c r="D4897" t="inlineStr">
        <is>
          <t>VÄSTERNORRLANDS LÄN</t>
        </is>
      </c>
      <c r="E4897" t="inlineStr">
        <is>
          <t>SUNDSVALL</t>
        </is>
      </c>
      <c r="F4897" t="inlineStr">
        <is>
          <t>Kommuner</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64933-2021</t>
        </is>
      </c>
      <c r="B4898" s="1" t="n">
        <v>44512</v>
      </c>
      <c r="C4898" s="1" t="n">
        <v>45657</v>
      </c>
      <c r="D4898" t="inlineStr">
        <is>
          <t>VÄSTERNORRLANDS LÄN</t>
        </is>
      </c>
      <c r="E4898" t="inlineStr">
        <is>
          <t>HÄRNÖSAND</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64911-2021</t>
        </is>
      </c>
      <c r="B4899" s="1" t="n">
        <v>44512</v>
      </c>
      <c r="C4899" s="1" t="n">
        <v>45657</v>
      </c>
      <c r="D4899" t="inlineStr">
        <is>
          <t>VÄSTERNORRLANDS LÄN</t>
        </is>
      </c>
      <c r="E4899" t="inlineStr">
        <is>
          <t>ÖRNSKÖLDSVIK</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64947-2021</t>
        </is>
      </c>
      <c r="B4900" s="1" t="n">
        <v>44512</v>
      </c>
      <c r="C4900" s="1" t="n">
        <v>45657</v>
      </c>
      <c r="D4900" t="inlineStr">
        <is>
          <t>VÄSTERNORRLANDS LÄN</t>
        </is>
      </c>
      <c r="E4900" t="inlineStr">
        <is>
          <t>SOLLEFTEÅ</t>
        </is>
      </c>
      <c r="F4900" t="inlineStr">
        <is>
          <t>SCA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64944-2021</t>
        </is>
      </c>
      <c r="B4901" s="1" t="n">
        <v>44512</v>
      </c>
      <c r="C4901" s="1" t="n">
        <v>45657</v>
      </c>
      <c r="D4901" t="inlineStr">
        <is>
          <t>VÄSTERNORRLANDS LÄN</t>
        </is>
      </c>
      <c r="E4901" t="inlineStr">
        <is>
          <t>SOLLEFTEÅ</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65034-2021</t>
        </is>
      </c>
      <c r="B4902" s="1" t="n">
        <v>44512</v>
      </c>
      <c r="C4902" s="1" t="n">
        <v>45657</v>
      </c>
      <c r="D4902" t="inlineStr">
        <is>
          <t>VÄSTERNORRLANDS LÄN</t>
        </is>
      </c>
      <c r="E4902" t="inlineStr">
        <is>
          <t>HÄRNÖSAND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64987-2021</t>
        </is>
      </c>
      <c r="B4903" s="1" t="n">
        <v>44514</v>
      </c>
      <c r="C4903" s="1" t="n">
        <v>45657</v>
      </c>
      <c r="D4903" t="inlineStr">
        <is>
          <t>VÄSTERNORRLANDS LÄN</t>
        </is>
      </c>
      <c r="E4903" t="inlineStr">
        <is>
          <t>ÖRNSKÖLDSVIK</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65009-2021</t>
        </is>
      </c>
      <c r="B4904" s="1" t="n">
        <v>44514</v>
      </c>
      <c r="C4904" s="1" t="n">
        <v>45657</v>
      </c>
      <c r="D4904" t="inlineStr">
        <is>
          <t>VÄSTERNORRLANDS LÄN</t>
        </is>
      </c>
      <c r="E4904" t="inlineStr">
        <is>
          <t>SOLLEFTEÅ</t>
        </is>
      </c>
      <c r="G4904" t="n">
        <v>17.3</v>
      </c>
      <c r="H4904" t="n">
        <v>0</v>
      </c>
      <c r="I4904" t="n">
        <v>0</v>
      </c>
      <c r="J4904" t="n">
        <v>0</v>
      </c>
      <c r="K4904" t="n">
        <v>0</v>
      </c>
      <c r="L4904" t="n">
        <v>0</v>
      </c>
      <c r="M4904" t="n">
        <v>0</v>
      </c>
      <c r="N4904" t="n">
        <v>0</v>
      </c>
      <c r="O4904" t="n">
        <v>0</v>
      </c>
      <c r="P4904" t="n">
        <v>0</v>
      </c>
      <c r="Q4904" t="n">
        <v>0</v>
      </c>
      <c r="R4904" s="2" t="inlineStr"/>
    </row>
    <row r="4905" ht="15" customHeight="1">
      <c r="A4905" t="inlineStr">
        <is>
          <t>A 65107-2021</t>
        </is>
      </c>
      <c r="B4905" s="1" t="n">
        <v>44515</v>
      </c>
      <c r="C4905" s="1" t="n">
        <v>45657</v>
      </c>
      <c r="D4905" t="inlineStr">
        <is>
          <t>VÄSTERNORRLANDS LÄN</t>
        </is>
      </c>
      <c r="E4905" t="inlineStr">
        <is>
          <t>ÖRNSKÖLDSVIK</t>
        </is>
      </c>
      <c r="F4905" t="inlineStr">
        <is>
          <t>Holmen skog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65024-2021</t>
        </is>
      </c>
      <c r="B4906" s="1" t="n">
        <v>44515</v>
      </c>
      <c r="C4906" s="1" t="n">
        <v>45657</v>
      </c>
      <c r="D4906" t="inlineStr">
        <is>
          <t>VÄSTERNORRLANDS LÄN</t>
        </is>
      </c>
      <c r="E4906" t="inlineStr">
        <is>
          <t>HÄRNÖSAND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65229-2021</t>
        </is>
      </c>
      <c r="B4907" s="1" t="n">
        <v>44515</v>
      </c>
      <c r="C4907" s="1" t="n">
        <v>45657</v>
      </c>
      <c r="D4907" t="inlineStr">
        <is>
          <t>VÄSTERNORRLANDS LÄN</t>
        </is>
      </c>
      <c r="E4907" t="inlineStr">
        <is>
          <t>ÅNGE</t>
        </is>
      </c>
      <c r="G4907" t="n">
        <v>12.1</v>
      </c>
      <c r="H4907" t="n">
        <v>0</v>
      </c>
      <c r="I4907" t="n">
        <v>0</v>
      </c>
      <c r="J4907" t="n">
        <v>0</v>
      </c>
      <c r="K4907" t="n">
        <v>0</v>
      </c>
      <c r="L4907" t="n">
        <v>0</v>
      </c>
      <c r="M4907" t="n">
        <v>0</v>
      </c>
      <c r="N4907" t="n">
        <v>0</v>
      </c>
      <c r="O4907" t="n">
        <v>0</v>
      </c>
      <c r="P4907" t="n">
        <v>0</v>
      </c>
      <c r="Q4907" t="n">
        <v>0</v>
      </c>
      <c r="R4907" s="2" t="inlineStr"/>
    </row>
    <row r="4908" ht="15" customHeight="1">
      <c r="A4908" t="inlineStr">
        <is>
          <t>A 65189-2021</t>
        </is>
      </c>
      <c r="B4908" s="1" t="n">
        <v>44515</v>
      </c>
      <c r="C4908" s="1" t="n">
        <v>45657</v>
      </c>
      <c r="D4908" t="inlineStr">
        <is>
          <t>VÄSTERNORRLANDS LÄN</t>
        </is>
      </c>
      <c r="E4908" t="inlineStr">
        <is>
          <t>ÖRNSKÖLDSVIK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65368-2021</t>
        </is>
      </c>
      <c r="B4909" s="1" t="n">
        <v>44515</v>
      </c>
      <c r="C4909" s="1" t="n">
        <v>45657</v>
      </c>
      <c r="D4909" t="inlineStr">
        <is>
          <t>VÄSTERNORRLANDS LÄN</t>
        </is>
      </c>
      <c r="E4909" t="inlineStr">
        <is>
          <t>KRAMFORS</t>
        </is>
      </c>
      <c r="G4909" t="n">
        <v>13.4</v>
      </c>
      <c r="H4909" t="n">
        <v>0</v>
      </c>
      <c r="I4909" t="n">
        <v>0</v>
      </c>
      <c r="J4909" t="n">
        <v>0</v>
      </c>
      <c r="K4909" t="n">
        <v>0</v>
      </c>
      <c r="L4909" t="n">
        <v>0</v>
      </c>
      <c r="M4909" t="n">
        <v>0</v>
      </c>
      <c r="N4909" t="n">
        <v>0</v>
      </c>
      <c r="O4909" t="n">
        <v>0</v>
      </c>
      <c r="P4909" t="n">
        <v>0</v>
      </c>
      <c r="Q4909" t="n">
        <v>0</v>
      </c>
      <c r="R4909" s="2" t="inlineStr"/>
    </row>
    <row r="4910" ht="15" customHeight="1">
      <c r="A4910" t="inlineStr">
        <is>
          <t>A 65425-2021</t>
        </is>
      </c>
      <c r="B4910" s="1" t="n">
        <v>44515</v>
      </c>
      <c r="C4910" s="1" t="n">
        <v>45657</v>
      </c>
      <c r="D4910" t="inlineStr">
        <is>
          <t>VÄSTERNORRLANDS LÄN</t>
        </is>
      </c>
      <c r="E4910" t="inlineStr">
        <is>
          <t>ÅNGE</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65435-2021</t>
        </is>
      </c>
      <c r="B4911" s="1" t="n">
        <v>44515</v>
      </c>
      <c r="C4911" s="1" t="n">
        <v>45657</v>
      </c>
      <c r="D4911" t="inlineStr">
        <is>
          <t>VÄSTERNORRLANDS LÄN</t>
        </is>
      </c>
      <c r="E4911" t="inlineStr">
        <is>
          <t>ÅNGE</t>
        </is>
      </c>
      <c r="F4911" t="inlineStr">
        <is>
          <t>SCA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65437-2021</t>
        </is>
      </c>
      <c r="B4912" s="1" t="n">
        <v>44515</v>
      </c>
      <c r="C4912" s="1" t="n">
        <v>45657</v>
      </c>
      <c r="D4912" t="inlineStr">
        <is>
          <t>VÄSTERNORRLANDS LÄN</t>
        </is>
      </c>
      <c r="E4912" t="inlineStr">
        <is>
          <t>ÅNGE</t>
        </is>
      </c>
      <c r="F4912" t="inlineStr">
        <is>
          <t>SCA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65503-2021</t>
        </is>
      </c>
      <c r="B4913" s="1" t="n">
        <v>44516</v>
      </c>
      <c r="C4913" s="1" t="n">
        <v>45657</v>
      </c>
      <c r="D4913" t="inlineStr">
        <is>
          <t>VÄSTERNORRLANDS LÄN</t>
        </is>
      </c>
      <c r="E4913" t="inlineStr">
        <is>
          <t>ÖRNSKÖLDSVIK</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65577-2021</t>
        </is>
      </c>
      <c r="B4914" s="1" t="n">
        <v>44516</v>
      </c>
      <c r="C4914" s="1" t="n">
        <v>45657</v>
      </c>
      <c r="D4914" t="inlineStr">
        <is>
          <t>VÄSTERNORRLANDS LÄN</t>
        </is>
      </c>
      <c r="E4914" t="inlineStr">
        <is>
          <t>ÖRNSKÖLDSVIK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65633-2021</t>
        </is>
      </c>
      <c r="B4915" s="1" t="n">
        <v>44516</v>
      </c>
      <c r="C4915" s="1" t="n">
        <v>45657</v>
      </c>
      <c r="D4915" t="inlineStr">
        <is>
          <t>VÄSTERNORRLANDS LÄN</t>
        </is>
      </c>
      <c r="E4915" t="inlineStr">
        <is>
          <t>ÅNGE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65768-2021</t>
        </is>
      </c>
      <c r="B4916" s="1" t="n">
        <v>44516</v>
      </c>
      <c r="C4916" s="1" t="n">
        <v>45657</v>
      </c>
      <c r="D4916" t="inlineStr">
        <is>
          <t>VÄSTERNORRLANDS LÄN</t>
        </is>
      </c>
      <c r="E4916" t="inlineStr">
        <is>
          <t>KRAMFORS</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65785-2021</t>
        </is>
      </c>
      <c r="B4917" s="1" t="n">
        <v>44516</v>
      </c>
      <c r="C4917" s="1" t="n">
        <v>45657</v>
      </c>
      <c r="D4917" t="inlineStr">
        <is>
          <t>VÄSTERNORRLANDS LÄN</t>
        </is>
      </c>
      <c r="E4917" t="inlineStr">
        <is>
          <t>ÖRNSKÖLDSVIK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65743-2021</t>
        </is>
      </c>
      <c r="B4918" s="1" t="n">
        <v>44516</v>
      </c>
      <c r="C4918" s="1" t="n">
        <v>45657</v>
      </c>
      <c r="D4918" t="inlineStr">
        <is>
          <t>VÄSTERNORRLANDS LÄN</t>
        </is>
      </c>
      <c r="E4918" t="inlineStr">
        <is>
          <t>SUNDSVALL</t>
        </is>
      </c>
      <c r="F4918" t="inlineStr">
        <is>
          <t>Kommuner</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65790-2021</t>
        </is>
      </c>
      <c r="B4919" s="1" t="n">
        <v>44516</v>
      </c>
      <c r="C4919" s="1" t="n">
        <v>45657</v>
      </c>
      <c r="D4919" t="inlineStr">
        <is>
          <t>VÄSTERNORRLANDS LÄN</t>
        </is>
      </c>
      <c r="E4919" t="inlineStr">
        <is>
          <t>ÅNGE</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65696-2021</t>
        </is>
      </c>
      <c r="B4920" s="1" t="n">
        <v>44516</v>
      </c>
      <c r="C4920" s="1" t="n">
        <v>45657</v>
      </c>
      <c r="D4920" t="inlineStr">
        <is>
          <t>VÄSTERNORRLANDS LÄN</t>
        </is>
      </c>
      <c r="E4920" t="inlineStr">
        <is>
          <t>SUNDSVALL</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65829-2021</t>
        </is>
      </c>
      <c r="B4921" s="1" t="n">
        <v>44516</v>
      </c>
      <c r="C4921" s="1" t="n">
        <v>45657</v>
      </c>
      <c r="D4921" t="inlineStr">
        <is>
          <t>VÄSTERNORRLANDS LÄN</t>
        </is>
      </c>
      <c r="E4921" t="inlineStr">
        <is>
          <t>KRAMFORS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66027-2021</t>
        </is>
      </c>
      <c r="B4922" s="1" t="n">
        <v>44517</v>
      </c>
      <c r="C4922" s="1" t="n">
        <v>45657</v>
      </c>
      <c r="D4922" t="inlineStr">
        <is>
          <t>VÄSTERNORRLANDS LÄN</t>
        </is>
      </c>
      <c r="E4922" t="inlineStr">
        <is>
          <t>SUNDSVALL</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66162-2021</t>
        </is>
      </c>
      <c r="B4923" s="1" t="n">
        <v>44517</v>
      </c>
      <c r="C4923" s="1" t="n">
        <v>45657</v>
      </c>
      <c r="D4923" t="inlineStr">
        <is>
          <t>VÄSTERNORRLANDS LÄN</t>
        </is>
      </c>
      <c r="E4923" t="inlineStr">
        <is>
          <t>HÄRNÖSAND</t>
        </is>
      </c>
      <c r="F4923" t="inlineStr">
        <is>
          <t>SCA</t>
        </is>
      </c>
      <c r="G4923" t="n">
        <v>9.4</v>
      </c>
      <c r="H4923" t="n">
        <v>0</v>
      </c>
      <c r="I4923" t="n">
        <v>0</v>
      </c>
      <c r="J4923" t="n">
        <v>0</v>
      </c>
      <c r="K4923" t="n">
        <v>0</v>
      </c>
      <c r="L4923" t="n">
        <v>0</v>
      </c>
      <c r="M4923" t="n">
        <v>0</v>
      </c>
      <c r="N4923" t="n">
        <v>0</v>
      </c>
      <c r="O4923" t="n">
        <v>0</v>
      </c>
      <c r="P4923" t="n">
        <v>0</v>
      </c>
      <c r="Q4923" t="n">
        <v>0</v>
      </c>
      <c r="R4923" s="2" t="inlineStr"/>
    </row>
    <row r="4924" ht="15" customHeight="1">
      <c r="A4924" t="inlineStr">
        <is>
          <t>A 66159-2021</t>
        </is>
      </c>
      <c r="B4924" s="1" t="n">
        <v>44517</v>
      </c>
      <c r="C4924" s="1" t="n">
        <v>45657</v>
      </c>
      <c r="D4924" t="inlineStr">
        <is>
          <t>VÄSTERNORRLANDS LÄN</t>
        </is>
      </c>
      <c r="E4924" t="inlineStr">
        <is>
          <t>HÄRNÖSAND</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66191-2021</t>
        </is>
      </c>
      <c r="B4925" s="1" t="n">
        <v>44517</v>
      </c>
      <c r="C4925" s="1" t="n">
        <v>45657</v>
      </c>
      <c r="D4925" t="inlineStr">
        <is>
          <t>VÄSTERNORRLANDS LÄN</t>
        </is>
      </c>
      <c r="E4925" t="inlineStr">
        <is>
          <t>SUNDSVALL</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66178-2021</t>
        </is>
      </c>
      <c r="B4926" s="1" t="n">
        <v>44517</v>
      </c>
      <c r="C4926" s="1" t="n">
        <v>45657</v>
      </c>
      <c r="D4926" t="inlineStr">
        <is>
          <t>VÄSTERNORRLANDS LÄN</t>
        </is>
      </c>
      <c r="E4926" t="inlineStr">
        <is>
          <t>SOLLEFTEÅ</t>
        </is>
      </c>
      <c r="F4926" t="inlineStr">
        <is>
          <t>SCA</t>
        </is>
      </c>
      <c r="G4926" t="n">
        <v>31.7</v>
      </c>
      <c r="H4926" t="n">
        <v>0</v>
      </c>
      <c r="I4926" t="n">
        <v>0</v>
      </c>
      <c r="J4926" t="n">
        <v>0</v>
      </c>
      <c r="K4926" t="n">
        <v>0</v>
      </c>
      <c r="L4926" t="n">
        <v>0</v>
      </c>
      <c r="M4926" t="n">
        <v>0</v>
      </c>
      <c r="N4926" t="n">
        <v>0</v>
      </c>
      <c r="O4926" t="n">
        <v>0</v>
      </c>
      <c r="P4926" t="n">
        <v>0</v>
      </c>
      <c r="Q4926" t="n">
        <v>0</v>
      </c>
      <c r="R4926" s="2" t="inlineStr"/>
    </row>
    <row r="4927" ht="15" customHeight="1">
      <c r="A4927" t="inlineStr">
        <is>
          <t>A 66016-2021</t>
        </is>
      </c>
      <c r="B4927" s="1" t="n">
        <v>44517</v>
      </c>
      <c r="C4927" s="1" t="n">
        <v>45657</v>
      </c>
      <c r="D4927" t="inlineStr">
        <is>
          <t>VÄSTERNORRLANDS LÄN</t>
        </is>
      </c>
      <c r="E4927" t="inlineStr">
        <is>
          <t>KRAMFORS</t>
        </is>
      </c>
      <c r="G4927" t="n">
        <v>14.2</v>
      </c>
      <c r="H4927" t="n">
        <v>0</v>
      </c>
      <c r="I4927" t="n">
        <v>0</v>
      </c>
      <c r="J4927" t="n">
        <v>0</v>
      </c>
      <c r="K4927" t="n">
        <v>0</v>
      </c>
      <c r="L4927" t="n">
        <v>0</v>
      </c>
      <c r="M4927" t="n">
        <v>0</v>
      </c>
      <c r="N4927" t="n">
        <v>0</v>
      </c>
      <c r="O4927" t="n">
        <v>0</v>
      </c>
      <c r="P4927" t="n">
        <v>0</v>
      </c>
      <c r="Q4927" t="n">
        <v>0</v>
      </c>
      <c r="R4927" s="2" t="inlineStr"/>
    </row>
    <row r="4928" ht="15" customHeight="1">
      <c r="A4928" t="inlineStr">
        <is>
          <t>A 66154-2021</t>
        </is>
      </c>
      <c r="B4928" s="1" t="n">
        <v>44517</v>
      </c>
      <c r="C4928" s="1" t="n">
        <v>45657</v>
      </c>
      <c r="D4928" t="inlineStr">
        <is>
          <t>VÄSTERNORRLANDS LÄN</t>
        </is>
      </c>
      <c r="E4928" t="inlineStr">
        <is>
          <t>TIMRÅ</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66160-2021</t>
        </is>
      </c>
      <c r="B4929" s="1" t="n">
        <v>44517</v>
      </c>
      <c r="C4929" s="1" t="n">
        <v>45657</v>
      </c>
      <c r="D4929" t="inlineStr">
        <is>
          <t>VÄSTERNORRLANDS LÄN</t>
        </is>
      </c>
      <c r="E4929" t="inlineStr">
        <is>
          <t>SUNDSVALL</t>
        </is>
      </c>
      <c r="F4929" t="inlineStr">
        <is>
          <t>SCA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66504-2021</t>
        </is>
      </c>
      <c r="B4930" s="1" t="n">
        <v>44517</v>
      </c>
      <c r="C4930" s="1" t="n">
        <v>45657</v>
      </c>
      <c r="D4930" t="inlineStr">
        <is>
          <t>VÄSTERNORRLANDS LÄN</t>
        </is>
      </c>
      <c r="E4930" t="inlineStr">
        <is>
          <t>ÖRNSKÖLDSVIK</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66229-2021</t>
        </is>
      </c>
      <c r="B4931" s="1" t="n">
        <v>44518</v>
      </c>
      <c r="C4931" s="1" t="n">
        <v>45657</v>
      </c>
      <c r="D4931" t="inlineStr">
        <is>
          <t>VÄSTERNORRLANDS LÄN</t>
        </is>
      </c>
      <c r="E4931" t="inlineStr">
        <is>
          <t>ÅNGE</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66233-2021</t>
        </is>
      </c>
      <c r="B4932" s="1" t="n">
        <v>44518</v>
      </c>
      <c r="C4932" s="1" t="n">
        <v>45657</v>
      </c>
      <c r="D4932" t="inlineStr">
        <is>
          <t>VÄSTERNORRLANDS LÄN</t>
        </is>
      </c>
      <c r="E4932" t="inlineStr">
        <is>
          <t>ÅNGE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66255-2021</t>
        </is>
      </c>
      <c r="B4933" s="1" t="n">
        <v>44518</v>
      </c>
      <c r="C4933" s="1" t="n">
        <v>45657</v>
      </c>
      <c r="D4933" t="inlineStr">
        <is>
          <t>VÄSTERNORRLANDS LÄN</t>
        </is>
      </c>
      <c r="E4933" t="inlineStr">
        <is>
          <t>KRAMFORS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66262-2021</t>
        </is>
      </c>
      <c r="B4934" s="1" t="n">
        <v>44518</v>
      </c>
      <c r="C4934" s="1" t="n">
        <v>45657</v>
      </c>
      <c r="D4934" t="inlineStr">
        <is>
          <t>VÄSTERNORRLANDS LÄN</t>
        </is>
      </c>
      <c r="E4934" t="inlineStr">
        <is>
          <t>ÅNGE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66265-2021</t>
        </is>
      </c>
      <c r="B4935" s="1" t="n">
        <v>44518</v>
      </c>
      <c r="C4935" s="1" t="n">
        <v>45657</v>
      </c>
      <c r="D4935" t="inlineStr">
        <is>
          <t>VÄSTERNORRLANDS LÄN</t>
        </is>
      </c>
      <c r="E4935" t="inlineStr">
        <is>
          <t>ÅNGE</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66409-2021</t>
        </is>
      </c>
      <c r="B4936" s="1" t="n">
        <v>44518</v>
      </c>
      <c r="C4936" s="1" t="n">
        <v>45657</v>
      </c>
      <c r="D4936" t="inlineStr">
        <is>
          <t>VÄSTERNORRLANDS LÄN</t>
        </is>
      </c>
      <c r="E4936" t="inlineStr">
        <is>
          <t>TIMRÅ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66539-2021</t>
        </is>
      </c>
      <c r="B4937" s="1" t="n">
        <v>44518</v>
      </c>
      <c r="C4937" s="1" t="n">
        <v>45657</v>
      </c>
      <c r="D4937" t="inlineStr">
        <is>
          <t>VÄSTERNORRLANDS LÄN</t>
        </is>
      </c>
      <c r="E4937" t="inlineStr">
        <is>
          <t>KRAMFORS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66481-2021</t>
        </is>
      </c>
      <c r="B4938" s="1" t="n">
        <v>44518</v>
      </c>
      <c r="C4938" s="1" t="n">
        <v>45657</v>
      </c>
      <c r="D4938" t="inlineStr">
        <is>
          <t>VÄSTERNORRLANDS LÄN</t>
        </is>
      </c>
      <c r="E4938" t="inlineStr">
        <is>
          <t>HÄRNÖSAND</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66575-2021</t>
        </is>
      </c>
      <c r="B4939" s="1" t="n">
        <v>44519</v>
      </c>
      <c r="C4939" s="1" t="n">
        <v>45657</v>
      </c>
      <c r="D4939" t="inlineStr">
        <is>
          <t>VÄSTERNORRLANDS LÄN</t>
        </is>
      </c>
      <c r="E4939" t="inlineStr">
        <is>
          <t>ÖRNSKÖLDSVIK</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66554-2021</t>
        </is>
      </c>
      <c r="B4940" s="1" t="n">
        <v>44519</v>
      </c>
      <c r="C4940" s="1" t="n">
        <v>45657</v>
      </c>
      <c r="D4940" t="inlineStr">
        <is>
          <t>VÄSTERNORRLANDS LÄN</t>
        </is>
      </c>
      <c r="E4940" t="inlineStr">
        <is>
          <t>KRAMFORS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66560-2021</t>
        </is>
      </c>
      <c r="B4941" s="1" t="n">
        <v>44519</v>
      </c>
      <c r="C4941" s="1" t="n">
        <v>45657</v>
      </c>
      <c r="D4941" t="inlineStr">
        <is>
          <t>VÄSTERNORRLANDS LÄN</t>
        </is>
      </c>
      <c r="E4941" t="inlineStr">
        <is>
          <t>ÅNGE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66636-2021</t>
        </is>
      </c>
      <c r="B4942" s="1" t="n">
        <v>44519</v>
      </c>
      <c r="C4942" s="1" t="n">
        <v>45657</v>
      </c>
      <c r="D4942" t="inlineStr">
        <is>
          <t>VÄSTERNORRLANDS LÄN</t>
        </is>
      </c>
      <c r="E4942" t="inlineStr">
        <is>
          <t>ÖRNSKÖLDSVIK</t>
        </is>
      </c>
      <c r="F4942" t="inlineStr">
        <is>
          <t>Holmen skog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66750-2021</t>
        </is>
      </c>
      <c r="B4943" s="1" t="n">
        <v>44521</v>
      </c>
      <c r="C4943" s="1" t="n">
        <v>45657</v>
      </c>
      <c r="D4943" t="inlineStr">
        <is>
          <t>VÄSTERNORRLANDS LÄN</t>
        </is>
      </c>
      <c r="E4943" t="inlineStr">
        <is>
          <t>ÖRNSKÖLDSVIK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66755-2021</t>
        </is>
      </c>
      <c r="B4944" s="1" t="n">
        <v>44521</v>
      </c>
      <c r="C4944" s="1" t="n">
        <v>45657</v>
      </c>
      <c r="D4944" t="inlineStr">
        <is>
          <t>VÄSTERNORRLANDS LÄN</t>
        </is>
      </c>
      <c r="E4944" t="inlineStr">
        <is>
          <t>ÖRNSKÖLDSVIK</t>
        </is>
      </c>
      <c r="G4944" t="n">
        <v>34.8</v>
      </c>
      <c r="H4944" t="n">
        <v>0</v>
      </c>
      <c r="I4944" t="n">
        <v>0</v>
      </c>
      <c r="J4944" t="n">
        <v>0</v>
      </c>
      <c r="K4944" t="n">
        <v>0</v>
      </c>
      <c r="L4944" t="n">
        <v>0</v>
      </c>
      <c r="M4944" t="n">
        <v>0</v>
      </c>
      <c r="N4944" t="n">
        <v>0</v>
      </c>
      <c r="O4944" t="n">
        <v>0</v>
      </c>
      <c r="P4944" t="n">
        <v>0</v>
      </c>
      <c r="Q4944" t="n">
        <v>0</v>
      </c>
      <c r="R4944" s="2" t="inlineStr"/>
    </row>
    <row r="4945" ht="15" customHeight="1">
      <c r="A4945" t="inlineStr">
        <is>
          <t>A 66749-2021</t>
        </is>
      </c>
      <c r="B4945" s="1" t="n">
        <v>44521</v>
      </c>
      <c r="C4945" s="1" t="n">
        <v>45657</v>
      </c>
      <c r="D4945" t="inlineStr">
        <is>
          <t>VÄSTERNORRLANDS LÄN</t>
        </is>
      </c>
      <c r="E4945" t="inlineStr">
        <is>
          <t>ÖRNSKÖLDSVIK</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66753-2021</t>
        </is>
      </c>
      <c r="B4946" s="1" t="n">
        <v>44521</v>
      </c>
      <c r="C4946" s="1" t="n">
        <v>45657</v>
      </c>
      <c r="D4946" t="inlineStr">
        <is>
          <t>VÄSTERNORRLANDS LÄN</t>
        </is>
      </c>
      <c r="E4946" t="inlineStr">
        <is>
          <t>ÖRNSKÖLDSVIK</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66751-2021</t>
        </is>
      </c>
      <c r="B4947" s="1" t="n">
        <v>44521</v>
      </c>
      <c r="C4947" s="1" t="n">
        <v>45657</v>
      </c>
      <c r="D4947" t="inlineStr">
        <is>
          <t>VÄSTERNORRLANDS LÄN</t>
        </is>
      </c>
      <c r="E4947" t="inlineStr">
        <is>
          <t>ÖRNSKÖLDSVIK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66752-2021</t>
        </is>
      </c>
      <c r="B4948" s="1" t="n">
        <v>44521</v>
      </c>
      <c r="C4948" s="1" t="n">
        <v>45657</v>
      </c>
      <c r="D4948" t="inlineStr">
        <is>
          <t>VÄSTERNORRLANDS LÄN</t>
        </is>
      </c>
      <c r="E4948" t="inlineStr">
        <is>
          <t>ÖRNSKÖLDSVIK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66856-2021</t>
        </is>
      </c>
      <c r="B4949" s="1" t="n">
        <v>44522</v>
      </c>
      <c r="C4949" s="1" t="n">
        <v>45657</v>
      </c>
      <c r="D4949" t="inlineStr">
        <is>
          <t>VÄSTERNORRLANDS LÄN</t>
        </is>
      </c>
      <c r="E4949" t="inlineStr">
        <is>
          <t>SOLLEFTEÅ</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66872-2021</t>
        </is>
      </c>
      <c r="B4950" s="1" t="n">
        <v>44522</v>
      </c>
      <c r="C4950" s="1" t="n">
        <v>45657</v>
      </c>
      <c r="D4950" t="inlineStr">
        <is>
          <t>VÄSTERNORRLANDS LÄN</t>
        </is>
      </c>
      <c r="E4950" t="inlineStr">
        <is>
          <t>SUNDSVALL</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66866-2021</t>
        </is>
      </c>
      <c r="B4951" s="1" t="n">
        <v>44522</v>
      </c>
      <c r="C4951" s="1" t="n">
        <v>45657</v>
      </c>
      <c r="D4951" t="inlineStr">
        <is>
          <t>VÄSTERNORRLANDS LÄN</t>
        </is>
      </c>
      <c r="E4951" t="inlineStr">
        <is>
          <t>HÄRNÖSAND</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66899-2021</t>
        </is>
      </c>
      <c r="B4952" s="1" t="n">
        <v>44522</v>
      </c>
      <c r="C4952" s="1" t="n">
        <v>45657</v>
      </c>
      <c r="D4952" t="inlineStr">
        <is>
          <t>VÄSTERNORRLANDS LÄN</t>
        </is>
      </c>
      <c r="E4952" t="inlineStr">
        <is>
          <t>HÄRNÖSAND</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67065-2021</t>
        </is>
      </c>
      <c r="B4953" s="1" t="n">
        <v>44522</v>
      </c>
      <c r="C4953" s="1" t="n">
        <v>45657</v>
      </c>
      <c r="D4953" t="inlineStr">
        <is>
          <t>VÄSTERNORRLANDS LÄN</t>
        </is>
      </c>
      <c r="E4953" t="inlineStr">
        <is>
          <t>TIMRÅ</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67075-2021</t>
        </is>
      </c>
      <c r="B4954" s="1" t="n">
        <v>44522</v>
      </c>
      <c r="C4954" s="1" t="n">
        <v>45657</v>
      </c>
      <c r="D4954" t="inlineStr">
        <is>
          <t>VÄSTERNORRLANDS LÄN</t>
        </is>
      </c>
      <c r="E4954" t="inlineStr">
        <is>
          <t>SUNDSVALL</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67085-2021</t>
        </is>
      </c>
      <c r="B4955" s="1" t="n">
        <v>44522</v>
      </c>
      <c r="C4955" s="1" t="n">
        <v>45657</v>
      </c>
      <c r="D4955" t="inlineStr">
        <is>
          <t>VÄSTERNORRLANDS LÄN</t>
        </is>
      </c>
      <c r="E4955" t="inlineStr">
        <is>
          <t>SOLLEFTEÅ</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67095-2021</t>
        </is>
      </c>
      <c r="B4956" s="1" t="n">
        <v>44522</v>
      </c>
      <c r="C4956" s="1" t="n">
        <v>45657</v>
      </c>
      <c r="D4956" t="inlineStr">
        <is>
          <t>VÄSTERNORRLANDS LÄN</t>
        </is>
      </c>
      <c r="E4956" t="inlineStr">
        <is>
          <t>SUNDSVALL</t>
        </is>
      </c>
      <c r="F4956" t="inlineStr">
        <is>
          <t>SCA</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67063-2021</t>
        </is>
      </c>
      <c r="B4957" s="1" t="n">
        <v>44522</v>
      </c>
      <c r="C4957" s="1" t="n">
        <v>45657</v>
      </c>
      <c r="D4957" t="inlineStr">
        <is>
          <t>VÄSTERNORRLANDS LÄN</t>
        </is>
      </c>
      <c r="E4957" t="inlineStr">
        <is>
          <t>TIMRÅ</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67078-2021</t>
        </is>
      </c>
      <c r="B4958" s="1" t="n">
        <v>44522</v>
      </c>
      <c r="C4958" s="1" t="n">
        <v>45657</v>
      </c>
      <c r="D4958" t="inlineStr">
        <is>
          <t>VÄSTERNORRLANDS LÄN</t>
        </is>
      </c>
      <c r="E4958" t="inlineStr">
        <is>
          <t>HÄRNÖSAND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67098-2021</t>
        </is>
      </c>
      <c r="B4959" s="1" t="n">
        <v>44522</v>
      </c>
      <c r="C4959" s="1" t="n">
        <v>45657</v>
      </c>
      <c r="D4959" t="inlineStr">
        <is>
          <t>VÄSTERNORRLANDS LÄN</t>
        </is>
      </c>
      <c r="E4959" t="inlineStr">
        <is>
          <t>SUNDSVALL</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67123-2021</t>
        </is>
      </c>
      <c r="B4960" s="1" t="n">
        <v>44522</v>
      </c>
      <c r="C4960" s="1" t="n">
        <v>45657</v>
      </c>
      <c r="D4960" t="inlineStr">
        <is>
          <t>VÄSTERNORRLANDS LÄN</t>
        </is>
      </c>
      <c r="E4960" t="inlineStr">
        <is>
          <t>SUNDSVALL</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67143-2021</t>
        </is>
      </c>
      <c r="B4961" s="1" t="n">
        <v>44523</v>
      </c>
      <c r="C4961" s="1" t="n">
        <v>45657</v>
      </c>
      <c r="D4961" t="inlineStr">
        <is>
          <t>VÄSTERNORRLANDS LÄN</t>
        </is>
      </c>
      <c r="E4961" t="inlineStr">
        <is>
          <t>SOLLEFTEÅ</t>
        </is>
      </c>
      <c r="G4961" t="n">
        <v>19.7</v>
      </c>
      <c r="H4961" t="n">
        <v>0</v>
      </c>
      <c r="I4961" t="n">
        <v>0</v>
      </c>
      <c r="J4961" t="n">
        <v>0</v>
      </c>
      <c r="K4961" t="n">
        <v>0</v>
      </c>
      <c r="L4961" t="n">
        <v>0</v>
      </c>
      <c r="M4961" t="n">
        <v>0</v>
      </c>
      <c r="N4961" t="n">
        <v>0</v>
      </c>
      <c r="O4961" t="n">
        <v>0</v>
      </c>
      <c r="P4961" t="n">
        <v>0</v>
      </c>
      <c r="Q4961" t="n">
        <v>0</v>
      </c>
      <c r="R4961" s="2" t="inlineStr"/>
    </row>
    <row r="4962" ht="15" customHeight="1">
      <c r="A4962" t="inlineStr">
        <is>
          <t>A 67136-2021</t>
        </is>
      </c>
      <c r="B4962" s="1" t="n">
        <v>44523</v>
      </c>
      <c r="C4962" s="1" t="n">
        <v>45657</v>
      </c>
      <c r="D4962" t="inlineStr">
        <is>
          <t>VÄSTERNORRLANDS LÄN</t>
        </is>
      </c>
      <c r="E4962" t="inlineStr">
        <is>
          <t>SOLLEFTEÅ</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67283-2021</t>
        </is>
      </c>
      <c r="B4963" s="1" t="n">
        <v>44523</v>
      </c>
      <c r="C4963" s="1" t="n">
        <v>45657</v>
      </c>
      <c r="D4963" t="inlineStr">
        <is>
          <t>VÄSTERNORRLANDS LÄN</t>
        </is>
      </c>
      <c r="E4963" t="inlineStr">
        <is>
          <t>KRAMFORS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67277-2021</t>
        </is>
      </c>
      <c r="B4964" s="1" t="n">
        <v>44523</v>
      </c>
      <c r="C4964" s="1" t="n">
        <v>45657</v>
      </c>
      <c r="D4964" t="inlineStr">
        <is>
          <t>VÄSTERNORRLANDS LÄN</t>
        </is>
      </c>
      <c r="E4964" t="inlineStr">
        <is>
          <t>SUNDSVALL</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67396-2021</t>
        </is>
      </c>
      <c r="B4965" s="1" t="n">
        <v>44523</v>
      </c>
      <c r="C4965" s="1" t="n">
        <v>45657</v>
      </c>
      <c r="D4965" t="inlineStr">
        <is>
          <t>VÄSTERNORRLANDS LÄN</t>
        </is>
      </c>
      <c r="E4965" t="inlineStr">
        <is>
          <t>ÅNGE</t>
        </is>
      </c>
      <c r="F4965" t="inlineStr">
        <is>
          <t>SCA</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67392-2021</t>
        </is>
      </c>
      <c r="B4966" s="1" t="n">
        <v>44523</v>
      </c>
      <c r="C4966" s="1" t="n">
        <v>45657</v>
      </c>
      <c r="D4966" t="inlineStr">
        <is>
          <t>VÄSTERNORRLANDS LÄN</t>
        </is>
      </c>
      <c r="E4966" t="inlineStr">
        <is>
          <t>KRAMFORS</t>
        </is>
      </c>
      <c r="G4966" t="n">
        <v>10.3</v>
      </c>
      <c r="H4966" t="n">
        <v>0</v>
      </c>
      <c r="I4966" t="n">
        <v>0</v>
      </c>
      <c r="J4966" t="n">
        <v>0</v>
      </c>
      <c r="K4966" t="n">
        <v>0</v>
      </c>
      <c r="L4966" t="n">
        <v>0</v>
      </c>
      <c r="M4966" t="n">
        <v>0</v>
      </c>
      <c r="N4966" t="n">
        <v>0</v>
      </c>
      <c r="O4966" t="n">
        <v>0</v>
      </c>
      <c r="P4966" t="n">
        <v>0</v>
      </c>
      <c r="Q4966" t="n">
        <v>0</v>
      </c>
      <c r="R4966" s="2" t="inlineStr"/>
    </row>
    <row r="4967" ht="15" customHeight="1">
      <c r="A4967" t="inlineStr">
        <is>
          <t>A 67388-2021</t>
        </is>
      </c>
      <c r="B4967" s="1" t="n">
        <v>44523</v>
      </c>
      <c r="C4967" s="1" t="n">
        <v>45657</v>
      </c>
      <c r="D4967" t="inlineStr">
        <is>
          <t>VÄSTERNORRLANDS LÄN</t>
        </is>
      </c>
      <c r="E4967" t="inlineStr">
        <is>
          <t>SUNDSVALL</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67400-2021</t>
        </is>
      </c>
      <c r="B4968" s="1" t="n">
        <v>44523</v>
      </c>
      <c r="C4968" s="1" t="n">
        <v>45657</v>
      </c>
      <c r="D4968" t="inlineStr">
        <is>
          <t>VÄSTERNORRLANDS LÄN</t>
        </is>
      </c>
      <c r="E4968" t="inlineStr">
        <is>
          <t>KRAMFORS</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67390-2021</t>
        </is>
      </c>
      <c r="B4969" s="1" t="n">
        <v>44523</v>
      </c>
      <c r="C4969" s="1" t="n">
        <v>45657</v>
      </c>
      <c r="D4969" t="inlineStr">
        <is>
          <t>VÄSTERNORRLANDS LÄN</t>
        </is>
      </c>
      <c r="E4969" t="inlineStr">
        <is>
          <t>SOLLEFTEÅ</t>
        </is>
      </c>
      <c r="F4969" t="inlineStr">
        <is>
          <t>SCA</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67401-2021</t>
        </is>
      </c>
      <c r="B4970" s="1" t="n">
        <v>44523</v>
      </c>
      <c r="C4970" s="1" t="n">
        <v>45657</v>
      </c>
      <c r="D4970" t="inlineStr">
        <is>
          <t>VÄSTERNORRLANDS LÄN</t>
        </is>
      </c>
      <c r="E4970" t="inlineStr">
        <is>
          <t>SOLLEFTEÅ</t>
        </is>
      </c>
      <c r="F4970" t="inlineStr">
        <is>
          <t>SCA</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67448-2021</t>
        </is>
      </c>
      <c r="B4971" s="1" t="n">
        <v>44524</v>
      </c>
      <c r="C4971" s="1" t="n">
        <v>45657</v>
      </c>
      <c r="D4971" t="inlineStr">
        <is>
          <t>VÄSTERNORRLANDS LÄN</t>
        </is>
      </c>
      <c r="E4971" t="inlineStr">
        <is>
          <t>ÖRNSKÖLDSVIK</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67474-2021</t>
        </is>
      </c>
      <c r="B4972" s="1" t="n">
        <v>44524</v>
      </c>
      <c r="C4972" s="1" t="n">
        <v>45657</v>
      </c>
      <c r="D4972" t="inlineStr">
        <is>
          <t>VÄSTERNORRLANDS LÄN</t>
        </is>
      </c>
      <c r="E4972" t="inlineStr">
        <is>
          <t>SUNDSVALL</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67546-2021</t>
        </is>
      </c>
      <c r="B4973" s="1" t="n">
        <v>44524</v>
      </c>
      <c r="C4973" s="1" t="n">
        <v>45657</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67452-2021</t>
        </is>
      </c>
      <c r="B4974" s="1" t="n">
        <v>44524</v>
      </c>
      <c r="C4974" s="1" t="n">
        <v>45657</v>
      </c>
      <c r="D4974" t="inlineStr">
        <is>
          <t>VÄSTERNORRLANDS LÄN</t>
        </is>
      </c>
      <c r="E4974" t="inlineStr">
        <is>
          <t>ÖRNSKÖLDSVIK</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67466-2021</t>
        </is>
      </c>
      <c r="B4975" s="1" t="n">
        <v>44524</v>
      </c>
      <c r="C4975" s="1" t="n">
        <v>45657</v>
      </c>
      <c r="D4975" t="inlineStr">
        <is>
          <t>VÄSTERNORRLANDS LÄN</t>
        </is>
      </c>
      <c r="E4975" t="inlineStr">
        <is>
          <t>ÖRNSKÖLDSVIK</t>
        </is>
      </c>
      <c r="F4975" t="inlineStr">
        <is>
          <t>Holmen skog AB</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67562-2021</t>
        </is>
      </c>
      <c r="B4976" s="1" t="n">
        <v>44524</v>
      </c>
      <c r="C4976" s="1" t="n">
        <v>45657</v>
      </c>
      <c r="D4976" t="inlineStr">
        <is>
          <t>VÄSTERNORRLANDS LÄN</t>
        </is>
      </c>
      <c r="E4976" t="inlineStr">
        <is>
          <t>SUNDSVALL</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67689-2021</t>
        </is>
      </c>
      <c r="B4977" s="1" t="n">
        <v>44524</v>
      </c>
      <c r="C4977" s="1" t="n">
        <v>45657</v>
      </c>
      <c r="D4977" t="inlineStr">
        <is>
          <t>VÄSTERNORRLANDS LÄN</t>
        </is>
      </c>
      <c r="E4977" t="inlineStr">
        <is>
          <t>SOLLEFTEÅ</t>
        </is>
      </c>
      <c r="F4977" t="inlineStr">
        <is>
          <t>SCA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67708-2021</t>
        </is>
      </c>
      <c r="B4978" s="1" t="n">
        <v>44524</v>
      </c>
      <c r="C4978" s="1" t="n">
        <v>45657</v>
      </c>
      <c r="D4978" t="inlineStr">
        <is>
          <t>VÄSTERNORRLANDS LÄN</t>
        </is>
      </c>
      <c r="E4978" t="inlineStr">
        <is>
          <t>ÅNGE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67673-2021</t>
        </is>
      </c>
      <c r="B4979" s="1" t="n">
        <v>44524</v>
      </c>
      <c r="C4979" s="1" t="n">
        <v>45657</v>
      </c>
      <c r="D4979" t="inlineStr">
        <is>
          <t>VÄSTERNORRLANDS LÄN</t>
        </is>
      </c>
      <c r="E4979" t="inlineStr">
        <is>
          <t>TIMRÅ</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67712-2021</t>
        </is>
      </c>
      <c r="B4980" s="1" t="n">
        <v>44524</v>
      </c>
      <c r="C4980" s="1" t="n">
        <v>45657</v>
      </c>
      <c r="D4980" t="inlineStr">
        <is>
          <t>VÄSTERNORRLANDS LÄN</t>
        </is>
      </c>
      <c r="E4980" t="inlineStr">
        <is>
          <t>ÅNGE</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67702-2021</t>
        </is>
      </c>
      <c r="B4981" s="1" t="n">
        <v>44524</v>
      </c>
      <c r="C4981" s="1" t="n">
        <v>45657</v>
      </c>
      <c r="D4981" t="inlineStr">
        <is>
          <t>VÄSTERNORRLANDS LÄN</t>
        </is>
      </c>
      <c r="E4981" t="inlineStr">
        <is>
          <t>SOLLEFTEÅ</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67698-2021</t>
        </is>
      </c>
      <c r="B4982" s="1" t="n">
        <v>44524</v>
      </c>
      <c r="C4982" s="1" t="n">
        <v>45657</v>
      </c>
      <c r="D4982" t="inlineStr">
        <is>
          <t>VÄSTERNORRLANDS LÄN</t>
        </is>
      </c>
      <c r="E4982" t="inlineStr">
        <is>
          <t>SUNDSVALL</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67706-2021</t>
        </is>
      </c>
      <c r="B4983" s="1" t="n">
        <v>44524</v>
      </c>
      <c r="C4983" s="1" t="n">
        <v>45657</v>
      </c>
      <c r="D4983" t="inlineStr">
        <is>
          <t>VÄSTERNORRLANDS LÄN</t>
        </is>
      </c>
      <c r="E4983" t="inlineStr">
        <is>
          <t>SUNDSVALL</t>
        </is>
      </c>
      <c r="F4983" t="inlineStr">
        <is>
          <t>SCA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67806-2021</t>
        </is>
      </c>
      <c r="B4984" s="1" t="n">
        <v>44525</v>
      </c>
      <c r="C4984" s="1" t="n">
        <v>45657</v>
      </c>
      <c r="D4984" t="inlineStr">
        <is>
          <t>VÄSTERNORRLANDS LÄN</t>
        </is>
      </c>
      <c r="E4984" t="inlineStr">
        <is>
          <t>ÖRNSKÖLDSVIK</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67822-2021</t>
        </is>
      </c>
      <c r="B4985" s="1" t="n">
        <v>44525</v>
      </c>
      <c r="C4985" s="1" t="n">
        <v>45657</v>
      </c>
      <c r="D4985" t="inlineStr">
        <is>
          <t>VÄSTERNORRLANDS LÄN</t>
        </is>
      </c>
      <c r="E4985" t="inlineStr">
        <is>
          <t>SOLLEFTEÅ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67765-2021</t>
        </is>
      </c>
      <c r="B4986" s="1" t="n">
        <v>44525</v>
      </c>
      <c r="C4986" s="1" t="n">
        <v>45657</v>
      </c>
      <c r="D4986" t="inlineStr">
        <is>
          <t>VÄSTERNORRLANDS LÄN</t>
        </is>
      </c>
      <c r="E4986" t="inlineStr">
        <is>
          <t>ÖRNSKÖLDSVIK</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67824-2021</t>
        </is>
      </c>
      <c r="B4987" s="1" t="n">
        <v>44525</v>
      </c>
      <c r="C4987" s="1" t="n">
        <v>45657</v>
      </c>
      <c r="D4987" t="inlineStr">
        <is>
          <t>VÄSTERNORRLANDS LÄN</t>
        </is>
      </c>
      <c r="E4987" t="inlineStr">
        <is>
          <t>ÖRNSKÖLDSVIK</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67831-2021</t>
        </is>
      </c>
      <c r="B4988" s="1" t="n">
        <v>44525</v>
      </c>
      <c r="C4988" s="1" t="n">
        <v>45657</v>
      </c>
      <c r="D4988" t="inlineStr">
        <is>
          <t>VÄSTERNORRLANDS LÄN</t>
        </is>
      </c>
      <c r="E4988" t="inlineStr">
        <is>
          <t>KRAMFORS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67816-2021</t>
        </is>
      </c>
      <c r="B4989" s="1" t="n">
        <v>44525</v>
      </c>
      <c r="C4989" s="1" t="n">
        <v>45657</v>
      </c>
      <c r="D4989" t="inlineStr">
        <is>
          <t>VÄSTERNORRLANDS LÄN</t>
        </is>
      </c>
      <c r="E4989" t="inlineStr">
        <is>
          <t>ÖRNSKÖLDSVIK</t>
        </is>
      </c>
      <c r="F4989" t="inlineStr">
        <is>
          <t>Holmen skog AB</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67834-2021</t>
        </is>
      </c>
      <c r="B4990" s="1" t="n">
        <v>44525</v>
      </c>
      <c r="C4990" s="1" t="n">
        <v>45657</v>
      </c>
      <c r="D4990" t="inlineStr">
        <is>
          <t>VÄSTERNORRLANDS LÄN</t>
        </is>
      </c>
      <c r="E4990" t="inlineStr">
        <is>
          <t>ÖRNSKÖLDSVIK</t>
        </is>
      </c>
      <c r="F4990" t="inlineStr">
        <is>
          <t>Holmen skog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68055-2021</t>
        </is>
      </c>
      <c r="B4991" s="1" t="n">
        <v>44525</v>
      </c>
      <c r="C4991" s="1" t="n">
        <v>45657</v>
      </c>
      <c r="D4991" t="inlineStr">
        <is>
          <t>VÄSTERNORRLANDS LÄN</t>
        </is>
      </c>
      <c r="E4991" t="inlineStr">
        <is>
          <t>SUNDSVALL</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67865-2021</t>
        </is>
      </c>
      <c r="B4992" s="1" t="n">
        <v>44525</v>
      </c>
      <c r="C4992" s="1" t="n">
        <v>45657</v>
      </c>
      <c r="D4992" t="inlineStr">
        <is>
          <t>VÄSTERNORRLANDS LÄN</t>
        </is>
      </c>
      <c r="E4992" t="inlineStr">
        <is>
          <t>ÖRNSKÖLDSVIK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68145-2021</t>
        </is>
      </c>
      <c r="B4993" s="1" t="n">
        <v>44526</v>
      </c>
      <c r="C4993" s="1" t="n">
        <v>45657</v>
      </c>
      <c r="D4993" t="inlineStr">
        <is>
          <t>VÄSTERNORRLANDS LÄN</t>
        </is>
      </c>
      <c r="E4993" t="inlineStr">
        <is>
          <t>ÖRNSKÖLDSVIK</t>
        </is>
      </c>
      <c r="F4993" t="inlineStr">
        <is>
          <t>Holmen skog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68391-2021</t>
        </is>
      </c>
      <c r="B4994" s="1" t="n">
        <v>44526</v>
      </c>
      <c r="C4994" s="1" t="n">
        <v>45657</v>
      </c>
      <c r="D4994" t="inlineStr">
        <is>
          <t>VÄSTERNORRLANDS LÄN</t>
        </is>
      </c>
      <c r="E4994" t="inlineStr">
        <is>
          <t>TIMRÅ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68314-2021</t>
        </is>
      </c>
      <c r="B4995" s="1" t="n">
        <v>44526</v>
      </c>
      <c r="C4995" s="1" t="n">
        <v>45657</v>
      </c>
      <c r="D4995" t="inlineStr">
        <is>
          <t>VÄSTERNORRLANDS LÄN</t>
        </is>
      </c>
      <c r="E4995" t="inlineStr">
        <is>
          <t>ÖRNSKÖLDSVIK</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68324-2021</t>
        </is>
      </c>
      <c r="B4996" s="1" t="n">
        <v>44527</v>
      </c>
      <c r="C4996" s="1" t="n">
        <v>45657</v>
      </c>
      <c r="D4996" t="inlineStr">
        <is>
          <t>VÄSTERNORRLANDS LÄN</t>
        </is>
      </c>
      <c r="E4996" t="inlineStr">
        <is>
          <t>ÖRNSKÖLDSVIK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68317-2021</t>
        </is>
      </c>
      <c r="B4997" s="1" t="n">
        <v>44526</v>
      </c>
      <c r="C4997" s="1" t="n">
        <v>45657</v>
      </c>
      <c r="D4997" t="inlineStr">
        <is>
          <t>VÄSTERNORRLANDS LÄN</t>
        </is>
      </c>
      <c r="E4997" t="inlineStr">
        <is>
          <t>SOLLEFTEÅ</t>
        </is>
      </c>
      <c r="F4997" t="inlineStr">
        <is>
          <t>SCA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68152-2021</t>
        </is>
      </c>
      <c r="B4998" s="1" t="n">
        <v>44526</v>
      </c>
      <c r="C4998" s="1" t="n">
        <v>45657</v>
      </c>
      <c r="D4998" t="inlineStr">
        <is>
          <t>VÄSTERNORRLANDS LÄN</t>
        </is>
      </c>
      <c r="E4998" t="inlineStr">
        <is>
          <t>ÖRNSKÖLDSVIK</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68315-2021</t>
        </is>
      </c>
      <c r="B4999" s="1" t="n">
        <v>44526</v>
      </c>
      <c r="C4999" s="1" t="n">
        <v>45657</v>
      </c>
      <c r="D4999" t="inlineStr">
        <is>
          <t>VÄSTERNORRLANDS LÄN</t>
        </is>
      </c>
      <c r="E4999" t="inlineStr">
        <is>
          <t>ÖRNSKÖLDSVIK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68326-2021</t>
        </is>
      </c>
      <c r="B5000" s="1" t="n">
        <v>44527</v>
      </c>
      <c r="C5000" s="1" t="n">
        <v>45657</v>
      </c>
      <c r="D5000" t="inlineStr">
        <is>
          <t>VÄSTERNORRLANDS LÄN</t>
        </is>
      </c>
      <c r="E5000" t="inlineStr">
        <is>
          <t>ÖRNSKÖLDSVIK</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68084-2021</t>
        </is>
      </c>
      <c r="B5001" s="1" t="n">
        <v>44526</v>
      </c>
      <c r="C5001" s="1" t="n">
        <v>45657</v>
      </c>
      <c r="D5001" t="inlineStr">
        <is>
          <t>VÄSTERNORRLANDS LÄN</t>
        </is>
      </c>
      <c r="E5001" t="inlineStr">
        <is>
          <t>ÖRNSKÖLDSVIK</t>
        </is>
      </c>
      <c r="F5001" t="inlineStr">
        <is>
          <t>Övriga Aktiebolag</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68615-2021</t>
        </is>
      </c>
      <c r="B5002" s="1" t="n">
        <v>44529</v>
      </c>
      <c r="C5002" s="1" t="n">
        <v>45657</v>
      </c>
      <c r="D5002" t="inlineStr">
        <is>
          <t>VÄSTERNORRLANDS LÄN</t>
        </is>
      </c>
      <c r="E5002" t="inlineStr">
        <is>
          <t>KRAMFORS</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68378-2021</t>
        </is>
      </c>
      <c r="B5003" s="1" t="n">
        <v>44529</v>
      </c>
      <c r="C5003" s="1" t="n">
        <v>45657</v>
      </c>
      <c r="D5003" t="inlineStr">
        <is>
          <t>VÄSTERNORRLANDS LÄN</t>
        </is>
      </c>
      <c r="E5003" t="inlineStr">
        <is>
          <t>ÖRNSKÖLDSVIK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68748-2021</t>
        </is>
      </c>
      <c r="B5004" s="1" t="n">
        <v>44529</v>
      </c>
      <c r="C5004" s="1" t="n">
        <v>45657</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68792-2021</t>
        </is>
      </c>
      <c r="B5005" s="1" t="n">
        <v>44529</v>
      </c>
      <c r="C5005" s="1" t="n">
        <v>45657</v>
      </c>
      <c r="D5005" t="inlineStr">
        <is>
          <t>VÄSTERNORRLANDS LÄN</t>
        </is>
      </c>
      <c r="E5005" t="inlineStr">
        <is>
          <t>SOLLEFTEÅ</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68743-2021</t>
        </is>
      </c>
      <c r="B5006" s="1" t="n">
        <v>44529</v>
      </c>
      <c r="C5006" s="1" t="n">
        <v>45657</v>
      </c>
      <c r="D5006" t="inlineStr">
        <is>
          <t>VÄSTERNORRLANDS LÄN</t>
        </is>
      </c>
      <c r="E5006" t="inlineStr">
        <is>
          <t>ÅNGE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68752-2021</t>
        </is>
      </c>
      <c r="B5007" s="1" t="n">
        <v>44529</v>
      </c>
      <c r="C5007" s="1" t="n">
        <v>45657</v>
      </c>
      <c r="D5007" t="inlineStr">
        <is>
          <t>VÄSTERNORRLANDS LÄN</t>
        </is>
      </c>
      <c r="E5007" t="inlineStr">
        <is>
          <t>KRAMFORS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68829-2021</t>
        </is>
      </c>
      <c r="B5008" s="1" t="n">
        <v>44529</v>
      </c>
      <c r="C5008" s="1" t="n">
        <v>45657</v>
      </c>
      <c r="D5008" t="inlineStr">
        <is>
          <t>VÄSTERNORRLANDS LÄN</t>
        </is>
      </c>
      <c r="E5008" t="inlineStr">
        <is>
          <t>ÖRNSKÖLDSVIK</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68934-2021</t>
        </is>
      </c>
      <c r="B5009" s="1" t="n">
        <v>44529</v>
      </c>
      <c r="C5009" s="1" t="n">
        <v>45657</v>
      </c>
      <c r="D5009" t="inlineStr">
        <is>
          <t>VÄSTERNORRLANDS LÄN</t>
        </is>
      </c>
      <c r="E5009" t="inlineStr">
        <is>
          <t>ÖRNSKÖLDSVIK</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68750-2021</t>
        </is>
      </c>
      <c r="B5010" s="1" t="n">
        <v>44529</v>
      </c>
      <c r="C5010" s="1" t="n">
        <v>45657</v>
      </c>
      <c r="D5010" t="inlineStr">
        <is>
          <t>VÄSTERNORRLANDS LÄN</t>
        </is>
      </c>
      <c r="E5010" t="inlineStr">
        <is>
          <t>ÖRNSKÖLDSVIK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68774-2021</t>
        </is>
      </c>
      <c r="B5011" s="1" t="n">
        <v>44529</v>
      </c>
      <c r="C5011" s="1" t="n">
        <v>45657</v>
      </c>
      <c r="D5011" t="inlineStr">
        <is>
          <t>VÄSTERNORRLANDS LÄN</t>
        </is>
      </c>
      <c r="E5011" t="inlineStr">
        <is>
          <t>TIMRÅ</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68797-2021</t>
        </is>
      </c>
      <c r="B5012" s="1" t="n">
        <v>44529</v>
      </c>
      <c r="C5012" s="1" t="n">
        <v>45657</v>
      </c>
      <c r="D5012" t="inlineStr">
        <is>
          <t>VÄSTERNORRLANDS LÄN</t>
        </is>
      </c>
      <c r="E5012" t="inlineStr">
        <is>
          <t>KRAMFORS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68815-2021</t>
        </is>
      </c>
      <c r="B5013" s="1" t="n">
        <v>44529</v>
      </c>
      <c r="C5013" s="1" t="n">
        <v>45657</v>
      </c>
      <c r="D5013" t="inlineStr">
        <is>
          <t>VÄSTERNORRLANDS LÄN</t>
        </is>
      </c>
      <c r="E5013" t="inlineStr">
        <is>
          <t>ÖRNSKÖLDSVIK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68880-2021</t>
        </is>
      </c>
      <c r="B5014" s="1" t="n">
        <v>44529</v>
      </c>
      <c r="C5014" s="1" t="n">
        <v>45657</v>
      </c>
      <c r="D5014" t="inlineStr">
        <is>
          <t>VÄSTERNORRLANDS LÄN</t>
        </is>
      </c>
      <c r="E5014" t="inlineStr">
        <is>
          <t>SUNDSVALL</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68745-2021</t>
        </is>
      </c>
      <c r="B5015" s="1" t="n">
        <v>44529</v>
      </c>
      <c r="C5015" s="1" t="n">
        <v>45657</v>
      </c>
      <c r="D5015" t="inlineStr">
        <is>
          <t>VÄSTERNORRLANDS LÄN</t>
        </is>
      </c>
      <c r="E5015" t="inlineStr">
        <is>
          <t>KRAMFORS</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68753-2021</t>
        </is>
      </c>
      <c r="B5016" s="1" t="n">
        <v>44529</v>
      </c>
      <c r="C5016" s="1" t="n">
        <v>45657</v>
      </c>
      <c r="D5016" t="inlineStr">
        <is>
          <t>VÄSTERNORRLANDS LÄN</t>
        </is>
      </c>
      <c r="E5016" t="inlineStr">
        <is>
          <t>ÖRNSKÖLDSVIK</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68866-2021</t>
        </is>
      </c>
      <c r="B5017" s="1" t="n">
        <v>44529</v>
      </c>
      <c r="C5017" s="1" t="n">
        <v>45657</v>
      </c>
      <c r="D5017" t="inlineStr">
        <is>
          <t>VÄSTERNORRLANDS LÄN</t>
        </is>
      </c>
      <c r="E5017" t="inlineStr">
        <is>
          <t>ÖRNSKÖLDSVIK</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69000-2021</t>
        </is>
      </c>
      <c r="B5018" s="1" t="n">
        <v>44530</v>
      </c>
      <c r="C5018" s="1" t="n">
        <v>45657</v>
      </c>
      <c r="D5018" t="inlineStr">
        <is>
          <t>VÄSTERNORRLANDS LÄN</t>
        </is>
      </c>
      <c r="E5018" t="inlineStr">
        <is>
          <t>ÖRNSKÖLDSVIK</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68843-2021</t>
        </is>
      </c>
      <c r="B5019" s="1" t="n">
        <v>44530</v>
      </c>
      <c r="C5019" s="1" t="n">
        <v>45657</v>
      </c>
      <c r="D5019" t="inlineStr">
        <is>
          <t>VÄSTERNORRLANDS LÄN</t>
        </is>
      </c>
      <c r="E5019" t="inlineStr">
        <is>
          <t>SOLLEFTEÅ</t>
        </is>
      </c>
      <c r="F5019" t="inlineStr">
        <is>
          <t>Holmen skog AB</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68863-2021</t>
        </is>
      </c>
      <c r="B5020" s="1" t="n">
        <v>44530</v>
      </c>
      <c r="C5020" s="1" t="n">
        <v>45657</v>
      </c>
      <c r="D5020" t="inlineStr">
        <is>
          <t>VÄSTERNORRLANDS LÄN</t>
        </is>
      </c>
      <c r="E5020" t="inlineStr">
        <is>
          <t>SOLLEFTEÅ</t>
        </is>
      </c>
      <c r="F5020" t="inlineStr">
        <is>
          <t>Holmen skog AB</t>
        </is>
      </c>
      <c r="G5020" t="n">
        <v>16.8</v>
      </c>
      <c r="H5020" t="n">
        <v>0</v>
      </c>
      <c r="I5020" t="n">
        <v>0</v>
      </c>
      <c r="J5020" t="n">
        <v>0</v>
      </c>
      <c r="K5020" t="n">
        <v>0</v>
      </c>
      <c r="L5020" t="n">
        <v>0</v>
      </c>
      <c r="M5020" t="n">
        <v>0</v>
      </c>
      <c r="N5020" t="n">
        <v>0</v>
      </c>
      <c r="O5020" t="n">
        <v>0</v>
      </c>
      <c r="P5020" t="n">
        <v>0</v>
      </c>
      <c r="Q5020" t="n">
        <v>0</v>
      </c>
      <c r="R5020" s="2" t="inlineStr"/>
    </row>
    <row r="5021" ht="15" customHeight="1">
      <c r="A5021" t="inlineStr">
        <is>
          <t>A 68876-2021</t>
        </is>
      </c>
      <c r="B5021" s="1" t="n">
        <v>44530</v>
      </c>
      <c r="C5021" s="1" t="n">
        <v>45657</v>
      </c>
      <c r="D5021" t="inlineStr">
        <is>
          <t>VÄSTERNORRLANDS LÄN</t>
        </is>
      </c>
      <c r="E5021" t="inlineStr">
        <is>
          <t>ÖRNSKÖLDSVIK</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69121-2021</t>
        </is>
      </c>
      <c r="B5022" s="1" t="n">
        <v>44530</v>
      </c>
      <c r="C5022" s="1" t="n">
        <v>45657</v>
      </c>
      <c r="D5022" t="inlineStr">
        <is>
          <t>VÄSTERNORRLANDS LÄN</t>
        </is>
      </c>
      <c r="E5022" t="inlineStr">
        <is>
          <t>SOLLEFTEÅ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69274-2021</t>
        </is>
      </c>
      <c r="B5023" s="1" t="n">
        <v>44530</v>
      </c>
      <c r="C5023" s="1" t="n">
        <v>45657</v>
      </c>
      <c r="D5023" t="inlineStr">
        <is>
          <t>VÄSTERNORRLANDS LÄN</t>
        </is>
      </c>
      <c r="E5023" t="inlineStr">
        <is>
          <t>TIMRÅ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69260-2021</t>
        </is>
      </c>
      <c r="B5024" s="1" t="n">
        <v>44530</v>
      </c>
      <c r="C5024" s="1" t="n">
        <v>45657</v>
      </c>
      <c r="D5024" t="inlineStr">
        <is>
          <t>VÄSTERNORRLANDS LÄN</t>
        </is>
      </c>
      <c r="E5024" t="inlineStr">
        <is>
          <t>SUNDSVALL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69266-2021</t>
        </is>
      </c>
      <c r="B5025" s="1" t="n">
        <v>44530</v>
      </c>
      <c r="C5025" s="1" t="n">
        <v>45657</v>
      </c>
      <c r="D5025" t="inlineStr">
        <is>
          <t>VÄSTERNORRLANDS LÄN</t>
        </is>
      </c>
      <c r="E5025" t="inlineStr">
        <is>
          <t>TIMRÅ</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69296-2021</t>
        </is>
      </c>
      <c r="B5026" s="1" t="n">
        <v>44531</v>
      </c>
      <c r="C5026" s="1" t="n">
        <v>45657</v>
      </c>
      <c r="D5026" t="inlineStr">
        <is>
          <t>VÄSTERNORRLANDS LÄN</t>
        </is>
      </c>
      <c r="E5026" t="inlineStr">
        <is>
          <t>ÖRNSKÖLDSVIK</t>
        </is>
      </c>
      <c r="F5026" t="inlineStr">
        <is>
          <t>Holmen skog AB</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69543-2021</t>
        </is>
      </c>
      <c r="B5027" s="1" t="n">
        <v>44531</v>
      </c>
      <c r="C5027" s="1" t="n">
        <v>45657</v>
      </c>
      <c r="D5027" t="inlineStr">
        <is>
          <t>VÄSTERNORRLANDS LÄN</t>
        </is>
      </c>
      <c r="E5027" t="inlineStr">
        <is>
          <t>SOLLEFTEÅ</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69210-2021</t>
        </is>
      </c>
      <c r="B5028" s="1" t="n">
        <v>44531</v>
      </c>
      <c r="C5028" s="1" t="n">
        <v>45657</v>
      </c>
      <c r="D5028" t="inlineStr">
        <is>
          <t>VÄSTERNORRLANDS LÄN</t>
        </is>
      </c>
      <c r="E5028" t="inlineStr">
        <is>
          <t>SUNDSVALL</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69269-2021</t>
        </is>
      </c>
      <c r="B5029" s="1" t="n">
        <v>44531</v>
      </c>
      <c r="C5029" s="1" t="n">
        <v>45657</v>
      </c>
      <c r="D5029" t="inlineStr">
        <is>
          <t>VÄSTERNORRLANDS LÄN</t>
        </is>
      </c>
      <c r="E5029" t="inlineStr">
        <is>
          <t>HÄRNÖSAND</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69278-2021</t>
        </is>
      </c>
      <c r="B5030" s="1" t="n">
        <v>44531</v>
      </c>
      <c r="C5030" s="1" t="n">
        <v>45657</v>
      </c>
      <c r="D5030" t="inlineStr">
        <is>
          <t>VÄSTERNORRLANDS LÄN</t>
        </is>
      </c>
      <c r="E5030" t="inlineStr">
        <is>
          <t>TIMRÅ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69183-2021</t>
        </is>
      </c>
      <c r="B5031" s="1" t="n">
        <v>44531</v>
      </c>
      <c r="C5031" s="1" t="n">
        <v>45657</v>
      </c>
      <c r="D5031" t="inlineStr">
        <is>
          <t>VÄSTERNORRLANDS LÄN</t>
        </is>
      </c>
      <c r="E5031" t="inlineStr">
        <is>
          <t>ÖRNSKÖLDSVIK</t>
        </is>
      </c>
      <c r="F5031" t="inlineStr">
        <is>
          <t>Holmen skog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69414-2021</t>
        </is>
      </c>
      <c r="B5032" s="1" t="n">
        <v>44531</v>
      </c>
      <c r="C5032" s="1" t="n">
        <v>45657</v>
      </c>
      <c r="D5032" t="inlineStr">
        <is>
          <t>VÄSTERNORRLANDS LÄN</t>
        </is>
      </c>
      <c r="E5032" t="inlineStr">
        <is>
          <t>ÖRNSKÖLDSVIK</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69542-2021</t>
        </is>
      </c>
      <c r="B5033" s="1" t="n">
        <v>44531</v>
      </c>
      <c r="C5033" s="1" t="n">
        <v>45657</v>
      </c>
      <c r="D5033" t="inlineStr">
        <is>
          <t>VÄSTERNORRLANDS LÄN</t>
        </is>
      </c>
      <c r="E5033" t="inlineStr">
        <is>
          <t>SOLLEFTEÅ</t>
        </is>
      </c>
      <c r="F5033" t="inlineStr">
        <is>
          <t>SCA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69663-2021</t>
        </is>
      </c>
      <c r="B5034" s="1" t="n">
        <v>44531</v>
      </c>
      <c r="C5034" s="1" t="n">
        <v>45657</v>
      </c>
      <c r="D5034" t="inlineStr">
        <is>
          <t>VÄSTERNORRLANDS LÄN</t>
        </is>
      </c>
      <c r="E5034" t="inlineStr">
        <is>
          <t>TIMRÅ</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69593-2021</t>
        </is>
      </c>
      <c r="B5035" s="1" t="n">
        <v>44532</v>
      </c>
      <c r="C5035" s="1" t="n">
        <v>45657</v>
      </c>
      <c r="D5035" t="inlineStr">
        <is>
          <t>VÄSTERNORRLANDS LÄN</t>
        </is>
      </c>
      <c r="E5035" t="inlineStr">
        <is>
          <t>ÖRNSKÖLDSVIK</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69736-2021</t>
        </is>
      </c>
      <c r="B5036" s="1" t="n">
        <v>44532</v>
      </c>
      <c r="C5036" s="1" t="n">
        <v>45657</v>
      </c>
      <c r="D5036" t="inlineStr">
        <is>
          <t>VÄSTERNORRLANDS LÄN</t>
        </is>
      </c>
      <c r="E5036" t="inlineStr">
        <is>
          <t>ÅNGE</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69799-2021</t>
        </is>
      </c>
      <c r="B5037" s="1" t="n">
        <v>44532</v>
      </c>
      <c r="C5037" s="1" t="n">
        <v>45657</v>
      </c>
      <c r="D5037" t="inlineStr">
        <is>
          <t>VÄSTERNORRLANDS LÄN</t>
        </is>
      </c>
      <c r="E5037" t="inlineStr">
        <is>
          <t>ÖRNSKÖLDSVIK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69771-2021</t>
        </is>
      </c>
      <c r="B5038" s="1" t="n">
        <v>44532</v>
      </c>
      <c r="C5038" s="1" t="n">
        <v>45657</v>
      </c>
      <c r="D5038" t="inlineStr">
        <is>
          <t>VÄSTERNORRLANDS LÄN</t>
        </is>
      </c>
      <c r="E5038" t="inlineStr">
        <is>
          <t>ÖRNSKÖLDSVIK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69786-2021</t>
        </is>
      </c>
      <c r="B5039" s="1" t="n">
        <v>44532</v>
      </c>
      <c r="C5039" s="1" t="n">
        <v>45657</v>
      </c>
      <c r="D5039" t="inlineStr">
        <is>
          <t>VÄSTERNORRLANDS LÄN</t>
        </is>
      </c>
      <c r="E5039" t="inlineStr">
        <is>
          <t>ÖRNSKÖLDSVIK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69820-2021</t>
        </is>
      </c>
      <c r="B5040" s="1" t="n">
        <v>44532</v>
      </c>
      <c r="C5040" s="1" t="n">
        <v>45657</v>
      </c>
      <c r="D5040" t="inlineStr">
        <is>
          <t>VÄSTERNORRLANDS LÄN</t>
        </is>
      </c>
      <c r="E5040" t="inlineStr">
        <is>
          <t>ÖRNSKÖLDSVIK</t>
        </is>
      </c>
      <c r="F5040" t="inlineStr">
        <is>
          <t>Holmen skog AB</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69919-2021</t>
        </is>
      </c>
      <c r="B5041" s="1" t="n">
        <v>44532</v>
      </c>
      <c r="C5041" s="1" t="n">
        <v>45657</v>
      </c>
      <c r="D5041" t="inlineStr">
        <is>
          <t>VÄSTERNORRLANDS LÄN</t>
        </is>
      </c>
      <c r="E5041" t="inlineStr">
        <is>
          <t>SOLLEFTEÅ</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70563-2021</t>
        </is>
      </c>
      <c r="B5042" s="1" t="n">
        <v>44532</v>
      </c>
      <c r="C5042" s="1" t="n">
        <v>45657</v>
      </c>
      <c r="D5042" t="inlineStr">
        <is>
          <t>VÄSTERNORRLANDS LÄN</t>
        </is>
      </c>
      <c r="E5042" t="inlineStr">
        <is>
          <t>HÄRNÖSAND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69772-2021</t>
        </is>
      </c>
      <c r="B5043" s="1" t="n">
        <v>44532</v>
      </c>
      <c r="C5043" s="1" t="n">
        <v>45657</v>
      </c>
      <c r="D5043" t="inlineStr">
        <is>
          <t>VÄSTERNORRLANDS LÄN</t>
        </is>
      </c>
      <c r="E5043" t="inlineStr">
        <is>
          <t>ÖRNSKÖLDSVIK</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69790-2021</t>
        </is>
      </c>
      <c r="B5044" s="1" t="n">
        <v>44532</v>
      </c>
      <c r="C5044" s="1" t="n">
        <v>45657</v>
      </c>
      <c r="D5044" t="inlineStr">
        <is>
          <t>VÄSTERNORRLANDS LÄN</t>
        </is>
      </c>
      <c r="E5044" t="inlineStr">
        <is>
          <t>ÅNGE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69929-2021</t>
        </is>
      </c>
      <c r="B5045" s="1" t="n">
        <v>44532</v>
      </c>
      <c r="C5045" s="1" t="n">
        <v>45657</v>
      </c>
      <c r="D5045" t="inlineStr">
        <is>
          <t>VÄSTERNORRLANDS LÄN</t>
        </is>
      </c>
      <c r="E5045" t="inlineStr">
        <is>
          <t>HÄRNÖSAND</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69916-2021</t>
        </is>
      </c>
      <c r="B5046" s="1" t="n">
        <v>44532</v>
      </c>
      <c r="C5046" s="1" t="n">
        <v>45657</v>
      </c>
      <c r="D5046" t="inlineStr">
        <is>
          <t>VÄSTERNORRLANDS LÄN</t>
        </is>
      </c>
      <c r="E5046" t="inlineStr">
        <is>
          <t>SOLLEFTEÅ</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70174-2021</t>
        </is>
      </c>
      <c r="B5047" s="1" t="n">
        <v>44533</v>
      </c>
      <c r="C5047" s="1" t="n">
        <v>45657</v>
      </c>
      <c r="D5047" t="inlineStr">
        <is>
          <t>VÄSTERNORRLANDS LÄN</t>
        </is>
      </c>
      <c r="E5047" t="inlineStr">
        <is>
          <t>SUNDSVALL</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70173-2021</t>
        </is>
      </c>
      <c r="B5048" s="1" t="n">
        <v>44533</v>
      </c>
      <c r="C5048" s="1" t="n">
        <v>45657</v>
      </c>
      <c r="D5048" t="inlineStr">
        <is>
          <t>VÄSTERNORRLANDS LÄN</t>
        </is>
      </c>
      <c r="E5048" t="inlineStr">
        <is>
          <t>SUNDSVALL</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70180-2021</t>
        </is>
      </c>
      <c r="B5049" s="1" t="n">
        <v>44533</v>
      </c>
      <c r="C5049" s="1" t="n">
        <v>45657</v>
      </c>
      <c r="D5049" t="inlineStr">
        <is>
          <t>VÄSTERNORRLANDS LÄN</t>
        </is>
      </c>
      <c r="E5049" t="inlineStr">
        <is>
          <t>SOLLEFTEÅ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70171-2021</t>
        </is>
      </c>
      <c r="B5050" s="1" t="n">
        <v>44533</v>
      </c>
      <c r="C5050" s="1" t="n">
        <v>45657</v>
      </c>
      <c r="D5050" t="inlineStr">
        <is>
          <t>VÄSTERNORRLANDS LÄN</t>
        </is>
      </c>
      <c r="E5050" t="inlineStr">
        <is>
          <t>SUNDSVALL</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70309-2021</t>
        </is>
      </c>
      <c r="B5051" s="1" t="n">
        <v>44533</v>
      </c>
      <c r="C5051" s="1" t="n">
        <v>45657</v>
      </c>
      <c r="D5051" t="inlineStr">
        <is>
          <t>VÄSTERNORRLANDS LÄN</t>
        </is>
      </c>
      <c r="E5051" t="inlineStr">
        <is>
          <t>SUNDSVALL</t>
        </is>
      </c>
      <c r="G5051" t="n">
        <v>18.8</v>
      </c>
      <c r="H5051" t="n">
        <v>0</v>
      </c>
      <c r="I5051" t="n">
        <v>0</v>
      </c>
      <c r="J5051" t="n">
        <v>0</v>
      </c>
      <c r="K5051" t="n">
        <v>0</v>
      </c>
      <c r="L5051" t="n">
        <v>0</v>
      </c>
      <c r="M5051" t="n">
        <v>0</v>
      </c>
      <c r="N5051" t="n">
        <v>0</v>
      </c>
      <c r="O5051" t="n">
        <v>0</v>
      </c>
      <c r="P5051" t="n">
        <v>0</v>
      </c>
      <c r="Q5051" t="n">
        <v>0</v>
      </c>
      <c r="R5051" s="2" t="inlineStr"/>
    </row>
    <row r="5052" ht="15" customHeight="1">
      <c r="A5052" t="inlineStr">
        <is>
          <t>A 69971-2021</t>
        </is>
      </c>
      <c r="B5052" s="1" t="n">
        <v>44533</v>
      </c>
      <c r="C5052" s="1" t="n">
        <v>45657</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69962-2021</t>
        </is>
      </c>
      <c r="B5053" s="1" t="n">
        <v>44533</v>
      </c>
      <c r="C5053" s="1" t="n">
        <v>45657</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70286-2021</t>
        </is>
      </c>
      <c r="B5054" s="1" t="n">
        <v>44536</v>
      </c>
      <c r="C5054" s="1" t="n">
        <v>45657</v>
      </c>
      <c r="D5054" t="inlineStr">
        <is>
          <t>VÄSTERNORRLANDS LÄN</t>
        </is>
      </c>
      <c r="E5054" t="inlineStr">
        <is>
          <t>ÖRNSKÖLDSVIK</t>
        </is>
      </c>
      <c r="F5054" t="inlineStr">
        <is>
          <t>Holmen skog AB</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70307-2021</t>
        </is>
      </c>
      <c r="B5055" s="1" t="n">
        <v>44536</v>
      </c>
      <c r="C5055" s="1" t="n">
        <v>45657</v>
      </c>
      <c r="D5055" t="inlineStr">
        <is>
          <t>VÄSTERNORRLANDS LÄN</t>
        </is>
      </c>
      <c r="E5055" t="inlineStr">
        <is>
          <t>ÖRNSKÖLDSVIK</t>
        </is>
      </c>
      <c r="G5055" t="n">
        <v>9.699999999999999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70603-2021</t>
        </is>
      </c>
      <c r="B5056" s="1" t="n">
        <v>44536</v>
      </c>
      <c r="C5056" s="1" t="n">
        <v>45657</v>
      </c>
      <c r="D5056" t="inlineStr">
        <is>
          <t>VÄSTERNORRLANDS LÄN</t>
        </is>
      </c>
      <c r="E5056" t="inlineStr">
        <is>
          <t>HÄRNÖSAND</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70638-2021</t>
        </is>
      </c>
      <c r="B5057" s="1" t="n">
        <v>44536</v>
      </c>
      <c r="C5057" s="1" t="n">
        <v>45657</v>
      </c>
      <c r="D5057" t="inlineStr">
        <is>
          <t>VÄSTERNORRLANDS LÄN</t>
        </is>
      </c>
      <c r="E5057" t="inlineStr">
        <is>
          <t>KRAMFORS</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70507-2021</t>
        </is>
      </c>
      <c r="B5058" s="1" t="n">
        <v>44536</v>
      </c>
      <c r="C5058" s="1" t="n">
        <v>45657</v>
      </c>
      <c r="D5058" t="inlineStr">
        <is>
          <t>VÄSTERNORRLANDS LÄN</t>
        </is>
      </c>
      <c r="E5058" t="inlineStr">
        <is>
          <t>TIMRÅ</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70770-2021</t>
        </is>
      </c>
      <c r="B5059" s="1" t="n">
        <v>44536</v>
      </c>
      <c r="C5059" s="1" t="n">
        <v>45657</v>
      </c>
      <c r="D5059" t="inlineStr">
        <is>
          <t>VÄSTERNORRLANDS LÄN</t>
        </is>
      </c>
      <c r="E5059" t="inlineStr">
        <is>
          <t>ÖRNSKÖLDSVIK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70690-2021</t>
        </is>
      </c>
      <c r="B5060" s="1" t="n">
        <v>44537</v>
      </c>
      <c r="C5060" s="1" t="n">
        <v>45657</v>
      </c>
      <c r="D5060" t="inlineStr">
        <is>
          <t>VÄSTERNORRLANDS LÄN</t>
        </is>
      </c>
      <c r="E5060" t="inlineStr">
        <is>
          <t>SUNDSVALL</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70581-2021</t>
        </is>
      </c>
      <c r="B5061" s="1" t="n">
        <v>44537</v>
      </c>
      <c r="C5061" s="1" t="n">
        <v>45657</v>
      </c>
      <c r="D5061" t="inlineStr">
        <is>
          <t>VÄSTERNORRLANDS LÄN</t>
        </is>
      </c>
      <c r="E5061" t="inlineStr">
        <is>
          <t>ÖRNSKÖLDSVIK</t>
        </is>
      </c>
      <c r="F5061" t="inlineStr">
        <is>
          <t>Holmen skog AB</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70809-2021</t>
        </is>
      </c>
      <c r="B5062" s="1" t="n">
        <v>44537</v>
      </c>
      <c r="C5062" s="1" t="n">
        <v>45657</v>
      </c>
      <c r="D5062" t="inlineStr">
        <is>
          <t>VÄSTERNORRLANDS LÄN</t>
        </is>
      </c>
      <c r="E5062" t="inlineStr">
        <is>
          <t>ÅNGE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70885-2021</t>
        </is>
      </c>
      <c r="B5063" s="1" t="n">
        <v>44537</v>
      </c>
      <c r="C5063" s="1" t="n">
        <v>45657</v>
      </c>
      <c r="D5063" t="inlineStr">
        <is>
          <t>VÄSTERNORRLANDS LÄN</t>
        </is>
      </c>
      <c r="E5063" t="inlineStr">
        <is>
          <t>ÖRNSKÖLDSVIK</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70795-2021</t>
        </is>
      </c>
      <c r="B5064" s="1" t="n">
        <v>44537</v>
      </c>
      <c r="C5064" s="1" t="n">
        <v>45657</v>
      </c>
      <c r="D5064" t="inlineStr">
        <is>
          <t>VÄSTERNORRLANDS LÄN</t>
        </is>
      </c>
      <c r="E5064" t="inlineStr">
        <is>
          <t>KRAMFORS</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70821-2021</t>
        </is>
      </c>
      <c r="B5065" s="1" t="n">
        <v>44537</v>
      </c>
      <c r="C5065" s="1" t="n">
        <v>45657</v>
      </c>
      <c r="D5065" t="inlineStr">
        <is>
          <t>VÄSTERNORRLANDS LÄN</t>
        </is>
      </c>
      <c r="E5065" t="inlineStr">
        <is>
          <t>SOLLEFTEÅ</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70899-2021</t>
        </is>
      </c>
      <c r="B5066" s="1" t="n">
        <v>44537</v>
      </c>
      <c r="C5066" s="1" t="n">
        <v>45657</v>
      </c>
      <c r="D5066" t="inlineStr">
        <is>
          <t>VÄSTERNORRLANDS LÄN</t>
        </is>
      </c>
      <c r="E5066" t="inlineStr">
        <is>
          <t>ÅNGE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70906-2021</t>
        </is>
      </c>
      <c r="B5067" s="1" t="n">
        <v>44537</v>
      </c>
      <c r="C5067" s="1" t="n">
        <v>45657</v>
      </c>
      <c r="D5067" t="inlineStr">
        <is>
          <t>VÄSTERNORRLANDS LÄN</t>
        </is>
      </c>
      <c r="E5067" t="inlineStr">
        <is>
          <t>TIMRÅ</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70879-2021</t>
        </is>
      </c>
      <c r="B5068" s="1" t="n">
        <v>44538</v>
      </c>
      <c r="C5068" s="1" t="n">
        <v>45657</v>
      </c>
      <c r="D5068" t="inlineStr">
        <is>
          <t>VÄSTERNORRLANDS LÄN</t>
        </is>
      </c>
      <c r="E5068" t="inlineStr">
        <is>
          <t>SUNDSVALL</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70893-2021</t>
        </is>
      </c>
      <c r="B5069" s="1" t="n">
        <v>44538</v>
      </c>
      <c r="C5069" s="1" t="n">
        <v>45657</v>
      </c>
      <c r="D5069" t="inlineStr">
        <is>
          <t>VÄSTERNORRLANDS LÄN</t>
        </is>
      </c>
      <c r="E5069" t="inlineStr">
        <is>
          <t>ÅNGE</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70873-2021</t>
        </is>
      </c>
      <c r="B5070" s="1" t="n">
        <v>44538</v>
      </c>
      <c r="C5070" s="1" t="n">
        <v>45657</v>
      </c>
      <c r="D5070" t="inlineStr">
        <is>
          <t>VÄSTERNORRLANDS LÄN</t>
        </is>
      </c>
      <c r="E5070" t="inlineStr">
        <is>
          <t>SUNDSVALL</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70901-2021</t>
        </is>
      </c>
      <c r="B5071" s="1" t="n">
        <v>44538</v>
      </c>
      <c r="C5071" s="1" t="n">
        <v>45657</v>
      </c>
      <c r="D5071" t="inlineStr">
        <is>
          <t>VÄSTERNORRLANDS LÄN</t>
        </is>
      </c>
      <c r="E5071" t="inlineStr">
        <is>
          <t>SUNDSVALL</t>
        </is>
      </c>
      <c r="F5071" t="inlineStr">
        <is>
          <t>Kommuner</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71074-2021</t>
        </is>
      </c>
      <c r="B5072" s="1" t="n">
        <v>44538</v>
      </c>
      <c r="C5072" s="1" t="n">
        <v>45657</v>
      </c>
      <c r="D5072" t="inlineStr">
        <is>
          <t>VÄSTERNORRLANDS LÄN</t>
        </is>
      </c>
      <c r="E5072" t="inlineStr">
        <is>
          <t>ÖRNSKÖLDSVIK</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71080-2021</t>
        </is>
      </c>
      <c r="B5073" s="1" t="n">
        <v>44538</v>
      </c>
      <c r="C5073" s="1" t="n">
        <v>45657</v>
      </c>
      <c r="D5073" t="inlineStr">
        <is>
          <t>VÄSTERNORRLANDS LÄN</t>
        </is>
      </c>
      <c r="E5073" t="inlineStr">
        <is>
          <t>SOLLEFTEÅ</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71079-2021</t>
        </is>
      </c>
      <c r="B5074" s="1" t="n">
        <v>44538</v>
      </c>
      <c r="C5074" s="1" t="n">
        <v>45657</v>
      </c>
      <c r="D5074" t="inlineStr">
        <is>
          <t>VÄSTERNORRLANDS LÄN</t>
        </is>
      </c>
      <c r="E5074" t="inlineStr">
        <is>
          <t>SOLLEFTEÅ</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71651-2021</t>
        </is>
      </c>
      <c r="B5075" s="1" t="n">
        <v>44538</v>
      </c>
      <c r="C5075" s="1" t="n">
        <v>45657</v>
      </c>
      <c r="D5075" t="inlineStr">
        <is>
          <t>VÄSTERNORRLANDS LÄN</t>
        </is>
      </c>
      <c r="E5075" t="inlineStr">
        <is>
          <t>ÅNGE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71076-2021</t>
        </is>
      </c>
      <c r="B5076" s="1" t="n">
        <v>44538</v>
      </c>
      <c r="C5076" s="1" t="n">
        <v>45657</v>
      </c>
      <c r="D5076" t="inlineStr">
        <is>
          <t>VÄSTERNORRLANDS LÄN</t>
        </is>
      </c>
      <c r="E5076" t="inlineStr">
        <is>
          <t>ÖRNSKÖLDSVIK</t>
        </is>
      </c>
      <c r="F5076" t="inlineStr">
        <is>
          <t>SCA</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71669-2021</t>
        </is>
      </c>
      <c r="B5077" s="1" t="n">
        <v>44538</v>
      </c>
      <c r="C5077" s="1" t="n">
        <v>45657</v>
      </c>
      <c r="D5077" t="inlineStr">
        <is>
          <t>VÄSTERNORRLANDS LÄN</t>
        </is>
      </c>
      <c r="E5077" t="inlineStr">
        <is>
          <t>ÅNGE</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71213-2021</t>
        </is>
      </c>
      <c r="B5078" s="1" t="n">
        <v>44539</v>
      </c>
      <c r="C5078" s="1" t="n">
        <v>45657</v>
      </c>
      <c r="D5078" t="inlineStr">
        <is>
          <t>VÄSTERNORRLANDS LÄN</t>
        </is>
      </c>
      <c r="E5078" t="inlineStr">
        <is>
          <t>TIMRÅ</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71302-2021</t>
        </is>
      </c>
      <c r="B5079" s="1" t="n">
        <v>44539</v>
      </c>
      <c r="C5079" s="1" t="n">
        <v>45657</v>
      </c>
      <c r="D5079" t="inlineStr">
        <is>
          <t>VÄSTERNORRLANDS LÄN</t>
        </is>
      </c>
      <c r="E5079" t="inlineStr">
        <is>
          <t>ÅNGE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71348-2021</t>
        </is>
      </c>
      <c r="B5080" s="1" t="n">
        <v>44539</v>
      </c>
      <c r="C5080" s="1" t="n">
        <v>45657</v>
      </c>
      <c r="D5080" t="inlineStr">
        <is>
          <t>VÄSTERNORRLANDS LÄN</t>
        </is>
      </c>
      <c r="E5080" t="inlineStr">
        <is>
          <t>SOLLEFTEÅ</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71351-2021</t>
        </is>
      </c>
      <c r="B5081" s="1" t="n">
        <v>44539</v>
      </c>
      <c r="C5081" s="1" t="n">
        <v>45657</v>
      </c>
      <c r="D5081" t="inlineStr">
        <is>
          <t>VÄSTERNORRLANDS LÄN</t>
        </is>
      </c>
      <c r="E5081" t="inlineStr">
        <is>
          <t>SOLLEFTEÅ</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71350-2021</t>
        </is>
      </c>
      <c r="B5082" s="1" t="n">
        <v>44539</v>
      </c>
      <c r="C5082" s="1" t="n">
        <v>45657</v>
      </c>
      <c r="D5082" t="inlineStr">
        <is>
          <t>VÄSTERNORRLANDS LÄN</t>
        </is>
      </c>
      <c r="E5082" t="inlineStr">
        <is>
          <t>SOLLEFTEÅ</t>
        </is>
      </c>
      <c r="G5082" t="n">
        <v>0</v>
      </c>
      <c r="H5082" t="n">
        <v>0</v>
      </c>
      <c r="I5082" t="n">
        <v>0</v>
      </c>
      <c r="J5082" t="n">
        <v>0</v>
      </c>
      <c r="K5082" t="n">
        <v>0</v>
      </c>
      <c r="L5082" t="n">
        <v>0</v>
      </c>
      <c r="M5082" t="n">
        <v>0</v>
      </c>
      <c r="N5082" t="n">
        <v>0</v>
      </c>
      <c r="O5082" t="n">
        <v>0</v>
      </c>
      <c r="P5082" t="n">
        <v>0</v>
      </c>
      <c r="Q5082" t="n">
        <v>0</v>
      </c>
      <c r="R5082" s="2" t="inlineStr"/>
    </row>
    <row r="5083" ht="15" customHeight="1">
      <c r="A5083" t="inlineStr">
        <is>
          <t>A 71357-2021</t>
        </is>
      </c>
      <c r="B5083" s="1" t="n">
        <v>44539</v>
      </c>
      <c r="C5083" s="1" t="n">
        <v>45657</v>
      </c>
      <c r="D5083" t="inlineStr">
        <is>
          <t>VÄSTERNORRLANDS LÄN</t>
        </is>
      </c>
      <c r="E5083" t="inlineStr">
        <is>
          <t>ÅNGE</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71722-2021</t>
        </is>
      </c>
      <c r="B5084" s="1" t="n">
        <v>44539</v>
      </c>
      <c r="C5084" s="1" t="n">
        <v>45657</v>
      </c>
      <c r="D5084" t="inlineStr">
        <is>
          <t>VÄSTERNORRLANDS LÄN</t>
        </is>
      </c>
      <c r="E5084" t="inlineStr">
        <is>
          <t>KRAMFORS</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71396-2021</t>
        </is>
      </c>
      <c r="B5085" s="1" t="n">
        <v>44540</v>
      </c>
      <c r="C5085" s="1" t="n">
        <v>45657</v>
      </c>
      <c r="D5085" t="inlineStr">
        <is>
          <t>VÄSTERNORRLANDS LÄN</t>
        </is>
      </c>
      <c r="E5085" t="inlineStr">
        <is>
          <t>ÅNGE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71430-2021</t>
        </is>
      </c>
      <c r="B5086" s="1" t="n">
        <v>44540</v>
      </c>
      <c r="C5086" s="1" t="n">
        <v>45657</v>
      </c>
      <c r="D5086" t="inlineStr">
        <is>
          <t>VÄSTERNORRLANDS LÄN</t>
        </is>
      </c>
      <c r="E5086" t="inlineStr">
        <is>
          <t>ÖRNSKÖLDSVIK</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71453-2021</t>
        </is>
      </c>
      <c r="B5087" s="1" t="n">
        <v>44540</v>
      </c>
      <c r="C5087" s="1" t="n">
        <v>45657</v>
      </c>
      <c r="D5087" t="inlineStr">
        <is>
          <t>VÄSTERNORRLANDS LÄN</t>
        </is>
      </c>
      <c r="E5087" t="inlineStr">
        <is>
          <t>ÖRNSKÖLDSVIK</t>
        </is>
      </c>
      <c r="F5087" t="inlineStr">
        <is>
          <t>Holmen skog AB</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71449-2021</t>
        </is>
      </c>
      <c r="B5088" s="1" t="n">
        <v>44540</v>
      </c>
      <c r="C5088" s="1" t="n">
        <v>45657</v>
      </c>
      <c r="D5088" t="inlineStr">
        <is>
          <t>VÄSTERNORRLANDS LÄN</t>
        </is>
      </c>
      <c r="E5088" t="inlineStr">
        <is>
          <t>ÅNGE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72008-2021</t>
        </is>
      </c>
      <c r="B5089" s="1" t="n">
        <v>44540</v>
      </c>
      <c r="C5089" s="1" t="n">
        <v>45657</v>
      </c>
      <c r="D5089" t="inlineStr">
        <is>
          <t>VÄSTERNORRLANDS LÄN</t>
        </is>
      </c>
      <c r="E5089" t="inlineStr">
        <is>
          <t>KRAMFORS</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71547-2021</t>
        </is>
      </c>
      <c r="B5090" s="1" t="n">
        <v>44540</v>
      </c>
      <c r="C5090" s="1" t="n">
        <v>45657</v>
      </c>
      <c r="D5090" t="inlineStr">
        <is>
          <t>VÄSTERNORRLANDS LÄN</t>
        </is>
      </c>
      <c r="E5090" t="inlineStr">
        <is>
          <t>ÖRNSKÖLDSVIK</t>
        </is>
      </c>
      <c r="F5090" t="inlineStr">
        <is>
          <t>Holmen skog AB</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71559-2021</t>
        </is>
      </c>
      <c r="B5091" s="1" t="n">
        <v>44540</v>
      </c>
      <c r="C5091" s="1" t="n">
        <v>45657</v>
      </c>
      <c r="D5091" t="inlineStr">
        <is>
          <t>VÄSTERNORRLANDS LÄN</t>
        </is>
      </c>
      <c r="E5091" t="inlineStr">
        <is>
          <t>KRAMFORS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71983-2021</t>
        </is>
      </c>
      <c r="B5092" s="1" t="n">
        <v>44540</v>
      </c>
      <c r="C5092" s="1" t="n">
        <v>45657</v>
      </c>
      <c r="D5092" t="inlineStr">
        <is>
          <t>VÄSTERNORRLANDS LÄN</t>
        </is>
      </c>
      <c r="E5092" t="inlineStr">
        <is>
          <t>SUNDSVALL</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71580-2021</t>
        </is>
      </c>
      <c r="B5093" s="1" t="n">
        <v>44540</v>
      </c>
      <c r="C5093" s="1" t="n">
        <v>45657</v>
      </c>
      <c r="D5093" t="inlineStr">
        <is>
          <t>VÄSTERNORRLANDS LÄN</t>
        </is>
      </c>
      <c r="E5093" t="inlineStr">
        <is>
          <t>SOLLEFTEÅ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71919-2021</t>
        </is>
      </c>
      <c r="B5094" s="1" t="n">
        <v>44543</v>
      </c>
      <c r="C5094" s="1" t="n">
        <v>45657</v>
      </c>
      <c r="D5094" t="inlineStr">
        <is>
          <t>VÄSTERNORRLANDS LÄN</t>
        </is>
      </c>
      <c r="E5094" t="inlineStr">
        <is>
          <t>KRAMFORS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71974-2021</t>
        </is>
      </c>
      <c r="B5095" s="1" t="n">
        <v>44544</v>
      </c>
      <c r="C5095" s="1" t="n">
        <v>45657</v>
      </c>
      <c r="D5095" t="inlineStr">
        <is>
          <t>VÄSTERNORRLANDS LÄN</t>
        </is>
      </c>
      <c r="E5095" t="inlineStr">
        <is>
          <t>ÖRNSKÖLDSVIK</t>
        </is>
      </c>
      <c r="F5095" t="inlineStr">
        <is>
          <t>Holmen skog AB</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71965-2021</t>
        </is>
      </c>
      <c r="B5096" s="1" t="n">
        <v>44544</v>
      </c>
      <c r="C5096" s="1" t="n">
        <v>45657</v>
      </c>
      <c r="D5096" t="inlineStr">
        <is>
          <t>VÄSTERNORRLANDS LÄN</t>
        </is>
      </c>
      <c r="E5096" t="inlineStr">
        <is>
          <t>ÅNGE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72239-2021</t>
        </is>
      </c>
      <c r="B5097" s="1" t="n">
        <v>44544</v>
      </c>
      <c r="C5097" s="1" t="n">
        <v>45657</v>
      </c>
      <c r="D5097" t="inlineStr">
        <is>
          <t>VÄSTERNORRLANDS LÄN</t>
        </is>
      </c>
      <c r="E5097" t="inlineStr">
        <is>
          <t>ÅNGE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72245-2021</t>
        </is>
      </c>
      <c r="B5098" s="1" t="n">
        <v>44544</v>
      </c>
      <c r="C5098" s="1" t="n">
        <v>45657</v>
      </c>
      <c r="D5098" t="inlineStr">
        <is>
          <t>VÄSTERNORRLANDS LÄN</t>
        </is>
      </c>
      <c r="E5098" t="inlineStr">
        <is>
          <t>HÄRNÖSAND</t>
        </is>
      </c>
      <c r="F5098" t="inlineStr">
        <is>
          <t>SCA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72244-2021</t>
        </is>
      </c>
      <c r="B5099" s="1" t="n">
        <v>44544</v>
      </c>
      <c r="C5099" s="1" t="n">
        <v>45657</v>
      </c>
      <c r="D5099" t="inlineStr">
        <is>
          <t>VÄSTERNORRLANDS LÄN</t>
        </is>
      </c>
      <c r="E5099" t="inlineStr">
        <is>
          <t>SOLLEFTEÅ</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72249-2021</t>
        </is>
      </c>
      <c r="B5100" s="1" t="n">
        <v>44544</v>
      </c>
      <c r="C5100" s="1" t="n">
        <v>45657</v>
      </c>
      <c r="D5100" t="inlineStr">
        <is>
          <t>VÄSTERNORRLANDS LÄN</t>
        </is>
      </c>
      <c r="E5100" t="inlineStr">
        <is>
          <t>SOLLEFTEÅ</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72321-2021</t>
        </is>
      </c>
      <c r="B5101" s="1" t="n">
        <v>44544</v>
      </c>
      <c r="C5101" s="1" t="n">
        <v>45657</v>
      </c>
      <c r="D5101" t="inlineStr">
        <is>
          <t>VÄSTERNORRLANDS LÄN</t>
        </is>
      </c>
      <c r="E5101" t="inlineStr">
        <is>
          <t>KRAMFORS</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72315-2021</t>
        </is>
      </c>
      <c r="B5102" s="1" t="n">
        <v>44545</v>
      </c>
      <c r="C5102" s="1" t="n">
        <v>45657</v>
      </c>
      <c r="D5102" t="inlineStr">
        <is>
          <t>VÄSTERNORRLANDS LÄN</t>
        </is>
      </c>
      <c r="E5102" t="inlineStr">
        <is>
          <t>SOLLEFTEÅ</t>
        </is>
      </c>
      <c r="F5102" t="inlineStr">
        <is>
          <t>SCA</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72397-2021</t>
        </is>
      </c>
      <c r="B5103" s="1" t="n">
        <v>44545</v>
      </c>
      <c r="C5103" s="1" t="n">
        <v>45657</v>
      </c>
      <c r="D5103" t="inlineStr">
        <is>
          <t>VÄSTERNORRLANDS LÄN</t>
        </is>
      </c>
      <c r="E5103" t="inlineStr">
        <is>
          <t>ÖRNSKÖLDSVIK</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72499-2021</t>
        </is>
      </c>
      <c r="B5104" s="1" t="n">
        <v>44545</v>
      </c>
      <c r="C5104" s="1" t="n">
        <v>45657</v>
      </c>
      <c r="D5104" t="inlineStr">
        <is>
          <t>VÄSTERNORRLANDS LÄN</t>
        </is>
      </c>
      <c r="E5104" t="inlineStr">
        <is>
          <t>SUNDSVALL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72485-2021</t>
        </is>
      </c>
      <c r="B5105" s="1" t="n">
        <v>44545</v>
      </c>
      <c r="C5105" s="1" t="n">
        <v>45657</v>
      </c>
      <c r="D5105" t="inlineStr">
        <is>
          <t>VÄSTERNORRLANDS LÄN</t>
        </is>
      </c>
      <c r="E5105" t="inlineStr">
        <is>
          <t>SOLLEFTEÅ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72496-2021</t>
        </is>
      </c>
      <c r="B5106" s="1" t="n">
        <v>44545</v>
      </c>
      <c r="C5106" s="1" t="n">
        <v>45657</v>
      </c>
      <c r="D5106" t="inlineStr">
        <is>
          <t>VÄSTERNORRLANDS LÄN</t>
        </is>
      </c>
      <c r="E5106" t="inlineStr">
        <is>
          <t>SOLLEFTEÅ</t>
        </is>
      </c>
      <c r="G5106" t="n">
        <v>20</v>
      </c>
      <c r="H5106" t="n">
        <v>0</v>
      </c>
      <c r="I5106" t="n">
        <v>0</v>
      </c>
      <c r="J5106" t="n">
        <v>0</v>
      </c>
      <c r="K5106" t="n">
        <v>0</v>
      </c>
      <c r="L5106" t="n">
        <v>0</v>
      </c>
      <c r="M5106" t="n">
        <v>0</v>
      </c>
      <c r="N5106" t="n">
        <v>0</v>
      </c>
      <c r="O5106" t="n">
        <v>0</v>
      </c>
      <c r="P5106" t="n">
        <v>0</v>
      </c>
      <c r="Q5106" t="n">
        <v>0</v>
      </c>
      <c r="R5106" s="2" t="inlineStr"/>
    </row>
    <row r="5107" ht="15" customHeight="1">
      <c r="A5107" t="inlineStr">
        <is>
          <t>A 72642-2021</t>
        </is>
      </c>
      <c r="B5107" s="1" t="n">
        <v>44545</v>
      </c>
      <c r="C5107" s="1" t="n">
        <v>45657</v>
      </c>
      <c r="D5107" t="inlineStr">
        <is>
          <t>VÄSTERNORRLANDS LÄN</t>
        </is>
      </c>
      <c r="E5107" t="inlineStr">
        <is>
          <t>ÖRNSKÖLDSVIK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72559-2021</t>
        </is>
      </c>
      <c r="B5108" s="1" t="n">
        <v>44546</v>
      </c>
      <c r="C5108" s="1" t="n">
        <v>45657</v>
      </c>
      <c r="D5108" t="inlineStr">
        <is>
          <t>VÄSTERNORRLANDS LÄN</t>
        </is>
      </c>
      <c r="E5108" t="inlineStr">
        <is>
          <t>KRAMFORS</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72521-2021</t>
        </is>
      </c>
      <c r="B5109" s="1" t="n">
        <v>44546</v>
      </c>
      <c r="C5109" s="1" t="n">
        <v>45657</v>
      </c>
      <c r="D5109" t="inlineStr">
        <is>
          <t>VÄSTERNORRLANDS LÄN</t>
        </is>
      </c>
      <c r="E5109" t="inlineStr">
        <is>
          <t>ÖRNSKÖLDSVIK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72519-2021</t>
        </is>
      </c>
      <c r="B5110" s="1" t="n">
        <v>44546</v>
      </c>
      <c r="C5110" s="1" t="n">
        <v>45657</v>
      </c>
      <c r="D5110" t="inlineStr">
        <is>
          <t>VÄSTERNORRLANDS LÄN</t>
        </is>
      </c>
      <c r="E5110" t="inlineStr">
        <is>
          <t>ÖRNSKÖLDSVIK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72557-2021</t>
        </is>
      </c>
      <c r="B5111" s="1" t="n">
        <v>44546</v>
      </c>
      <c r="C5111" s="1" t="n">
        <v>45657</v>
      </c>
      <c r="D5111" t="inlineStr">
        <is>
          <t>VÄSTERNORRLANDS LÄN</t>
        </is>
      </c>
      <c r="E5111" t="inlineStr">
        <is>
          <t>KRAMFORS</t>
        </is>
      </c>
      <c r="G5111" t="n">
        <v>18.2</v>
      </c>
      <c r="H5111" t="n">
        <v>0</v>
      </c>
      <c r="I5111" t="n">
        <v>0</v>
      </c>
      <c r="J5111" t="n">
        <v>0</v>
      </c>
      <c r="K5111" t="n">
        <v>0</v>
      </c>
      <c r="L5111" t="n">
        <v>0</v>
      </c>
      <c r="M5111" t="n">
        <v>0</v>
      </c>
      <c r="N5111" t="n">
        <v>0</v>
      </c>
      <c r="O5111" t="n">
        <v>0</v>
      </c>
      <c r="P5111" t="n">
        <v>0</v>
      </c>
      <c r="Q5111" t="n">
        <v>0</v>
      </c>
      <c r="R5111" s="2" t="inlineStr"/>
    </row>
    <row r="5112" ht="15" customHeight="1">
      <c r="A5112" t="inlineStr">
        <is>
          <t>A 72769-2021</t>
        </is>
      </c>
      <c r="B5112" s="1" t="n">
        <v>44546</v>
      </c>
      <c r="C5112" s="1" t="n">
        <v>45657</v>
      </c>
      <c r="D5112" t="inlineStr">
        <is>
          <t>VÄSTERNORRLANDS LÄN</t>
        </is>
      </c>
      <c r="E5112" t="inlineStr">
        <is>
          <t>SUNDSVALL</t>
        </is>
      </c>
      <c r="F5112" t="inlineStr">
        <is>
          <t>SCA</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72825-2021</t>
        </is>
      </c>
      <c r="B5113" s="1" t="n">
        <v>44546</v>
      </c>
      <c r="C5113" s="1" t="n">
        <v>45657</v>
      </c>
      <c r="D5113" t="inlineStr">
        <is>
          <t>VÄSTERNORRLANDS LÄN</t>
        </is>
      </c>
      <c r="E5113" t="inlineStr">
        <is>
          <t>KRAMFORS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72876-2021</t>
        </is>
      </c>
      <c r="B5114" s="1" t="n">
        <v>44547</v>
      </c>
      <c r="C5114" s="1" t="n">
        <v>45657</v>
      </c>
      <c r="D5114" t="inlineStr">
        <is>
          <t>VÄSTERNORRLANDS LÄN</t>
        </is>
      </c>
      <c r="E5114" t="inlineStr">
        <is>
          <t>ÖRNSKÖLDSVIK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72949-2021</t>
        </is>
      </c>
      <c r="B5115" s="1" t="n">
        <v>44547</v>
      </c>
      <c r="C5115" s="1" t="n">
        <v>45657</v>
      </c>
      <c r="D5115" t="inlineStr">
        <is>
          <t>VÄSTERNORRLANDS LÄN</t>
        </is>
      </c>
      <c r="E5115" t="inlineStr">
        <is>
          <t>SOLLEFTEÅ</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72958-2021</t>
        </is>
      </c>
      <c r="B5116" s="1" t="n">
        <v>44547</v>
      </c>
      <c r="C5116" s="1" t="n">
        <v>45657</v>
      </c>
      <c r="D5116" t="inlineStr">
        <is>
          <t>VÄSTERNORRLANDS LÄN</t>
        </is>
      </c>
      <c r="E5116" t="inlineStr">
        <is>
          <t>SOLLEFTEÅ</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72977-2021</t>
        </is>
      </c>
      <c r="B5117" s="1" t="n">
        <v>44548</v>
      </c>
      <c r="C5117" s="1" t="n">
        <v>45657</v>
      </c>
      <c r="D5117" t="inlineStr">
        <is>
          <t>VÄSTERNORRLANDS LÄN</t>
        </is>
      </c>
      <c r="E5117" t="inlineStr">
        <is>
          <t>SOLLEFTEÅ</t>
        </is>
      </c>
      <c r="F5117" t="inlineStr">
        <is>
          <t>SCA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73225-2021</t>
        </is>
      </c>
      <c r="B5118" s="1" t="n">
        <v>44550</v>
      </c>
      <c r="C5118" s="1" t="n">
        <v>45657</v>
      </c>
      <c r="D5118" t="inlineStr">
        <is>
          <t>VÄSTERNORRLANDS LÄN</t>
        </is>
      </c>
      <c r="E5118" t="inlineStr">
        <is>
          <t>TIMRÅ</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73344-2021</t>
        </is>
      </c>
      <c r="B5119" s="1" t="n">
        <v>44550</v>
      </c>
      <c r="C5119" s="1" t="n">
        <v>45657</v>
      </c>
      <c r="D5119" t="inlineStr">
        <is>
          <t>VÄSTERNORRLANDS LÄN</t>
        </is>
      </c>
      <c r="E5119" t="inlineStr">
        <is>
          <t>ÖRNSKÖLDSVIK</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73269-2021</t>
        </is>
      </c>
      <c r="B5120" s="1" t="n">
        <v>44550</v>
      </c>
      <c r="C5120" s="1" t="n">
        <v>45657</v>
      </c>
      <c r="D5120" t="inlineStr">
        <is>
          <t>VÄSTERNORRLANDS LÄN</t>
        </is>
      </c>
      <c r="E5120" t="inlineStr">
        <is>
          <t>ÖRNSKÖLDSVIK</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73277-2021</t>
        </is>
      </c>
      <c r="B5121" s="1" t="n">
        <v>44550</v>
      </c>
      <c r="C5121" s="1" t="n">
        <v>45657</v>
      </c>
      <c r="D5121" t="inlineStr">
        <is>
          <t>VÄSTERNORRLANDS LÄN</t>
        </is>
      </c>
      <c r="E5121" t="inlineStr">
        <is>
          <t>KRAMFORS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73285-2021</t>
        </is>
      </c>
      <c r="B5122" s="1" t="n">
        <v>44550</v>
      </c>
      <c r="C5122" s="1" t="n">
        <v>45657</v>
      </c>
      <c r="D5122" t="inlineStr">
        <is>
          <t>VÄSTERNORRLANDS LÄN</t>
        </is>
      </c>
      <c r="E5122" t="inlineStr">
        <is>
          <t>SOLLEFTEÅ</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73367-2021</t>
        </is>
      </c>
      <c r="B5123" s="1" t="n">
        <v>44550</v>
      </c>
      <c r="C5123" s="1" t="n">
        <v>45657</v>
      </c>
      <c r="D5123" t="inlineStr">
        <is>
          <t>VÄSTERNORRLANDS LÄN</t>
        </is>
      </c>
      <c r="E5123" t="inlineStr">
        <is>
          <t>SOLLEFTEÅ</t>
        </is>
      </c>
      <c r="G5123" t="n">
        <v>10.8</v>
      </c>
      <c r="H5123" t="n">
        <v>0</v>
      </c>
      <c r="I5123" t="n">
        <v>0</v>
      </c>
      <c r="J5123" t="n">
        <v>0</v>
      </c>
      <c r="K5123" t="n">
        <v>0</v>
      </c>
      <c r="L5123" t="n">
        <v>0</v>
      </c>
      <c r="M5123" t="n">
        <v>0</v>
      </c>
      <c r="N5123" t="n">
        <v>0</v>
      </c>
      <c r="O5123" t="n">
        <v>0</v>
      </c>
      <c r="P5123" t="n">
        <v>0</v>
      </c>
      <c r="Q5123" t="n">
        <v>0</v>
      </c>
      <c r="R5123" s="2" t="inlineStr"/>
    </row>
    <row r="5124" ht="15" customHeight="1">
      <c r="A5124" t="inlineStr">
        <is>
          <t>A 73566-2021</t>
        </is>
      </c>
      <c r="B5124" s="1" t="n">
        <v>44551</v>
      </c>
      <c r="C5124" s="1" t="n">
        <v>45657</v>
      </c>
      <c r="D5124" t="inlineStr">
        <is>
          <t>VÄSTERNORRLANDS LÄN</t>
        </is>
      </c>
      <c r="E5124" t="inlineStr">
        <is>
          <t>SOLLEFTEÅ</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73564-2021</t>
        </is>
      </c>
      <c r="B5125" s="1" t="n">
        <v>44551</v>
      </c>
      <c r="C5125" s="1" t="n">
        <v>45657</v>
      </c>
      <c r="D5125" t="inlineStr">
        <is>
          <t>VÄSTERNORRLANDS LÄN</t>
        </is>
      </c>
      <c r="E5125" t="inlineStr">
        <is>
          <t>SOLLEFTEÅ</t>
        </is>
      </c>
      <c r="F5125" t="inlineStr">
        <is>
          <t>SCA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73567-2021</t>
        </is>
      </c>
      <c r="B5126" s="1" t="n">
        <v>44551</v>
      </c>
      <c r="C5126" s="1" t="n">
        <v>45657</v>
      </c>
      <c r="D5126" t="inlineStr">
        <is>
          <t>VÄSTERNORRLANDS LÄN</t>
        </is>
      </c>
      <c r="E5126" t="inlineStr">
        <is>
          <t>SOLLEFTEÅ</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73637-2021</t>
        </is>
      </c>
      <c r="B5127" s="1" t="n">
        <v>44552</v>
      </c>
      <c r="C5127" s="1" t="n">
        <v>45657</v>
      </c>
      <c r="D5127" t="inlineStr">
        <is>
          <t>VÄSTERNORRLANDS LÄN</t>
        </is>
      </c>
      <c r="E5127" t="inlineStr">
        <is>
          <t>ÖRNSKÖLDSVIK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73723-2021</t>
        </is>
      </c>
      <c r="B5128" s="1" t="n">
        <v>44552</v>
      </c>
      <c r="C5128" s="1" t="n">
        <v>45657</v>
      </c>
      <c r="D5128" t="inlineStr">
        <is>
          <t>VÄSTERNORRLANDS LÄN</t>
        </is>
      </c>
      <c r="E5128" t="inlineStr">
        <is>
          <t>ÖRNSKÖLDSVIK</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73733-2021</t>
        </is>
      </c>
      <c r="B5129" s="1" t="n">
        <v>44552</v>
      </c>
      <c r="C5129" s="1" t="n">
        <v>45657</v>
      </c>
      <c r="D5129" t="inlineStr">
        <is>
          <t>VÄSTERNORRLANDS LÄN</t>
        </is>
      </c>
      <c r="E5129" t="inlineStr">
        <is>
          <t>ÖRNSKÖLDSVIK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73763-2021</t>
        </is>
      </c>
      <c r="B5130" s="1" t="n">
        <v>44552</v>
      </c>
      <c r="C5130" s="1" t="n">
        <v>45657</v>
      </c>
      <c r="D5130" t="inlineStr">
        <is>
          <t>VÄSTERNORRLANDS LÄN</t>
        </is>
      </c>
      <c r="E5130" t="inlineStr">
        <is>
          <t>ÖRNSKÖLDSVIK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73878-2021</t>
        </is>
      </c>
      <c r="B5131" s="1" t="n">
        <v>44552</v>
      </c>
      <c r="C5131" s="1" t="n">
        <v>45657</v>
      </c>
      <c r="D5131" t="inlineStr">
        <is>
          <t>VÄSTERNORRLANDS LÄN</t>
        </is>
      </c>
      <c r="E5131" t="inlineStr">
        <is>
          <t>KRAMFORS</t>
        </is>
      </c>
      <c r="G5131" t="n">
        <v>9.6</v>
      </c>
      <c r="H5131" t="n">
        <v>0</v>
      </c>
      <c r="I5131" t="n">
        <v>0</v>
      </c>
      <c r="J5131" t="n">
        <v>0</v>
      </c>
      <c r="K5131" t="n">
        <v>0</v>
      </c>
      <c r="L5131" t="n">
        <v>0</v>
      </c>
      <c r="M5131" t="n">
        <v>0</v>
      </c>
      <c r="N5131" t="n">
        <v>0</v>
      </c>
      <c r="O5131" t="n">
        <v>0</v>
      </c>
      <c r="P5131" t="n">
        <v>0</v>
      </c>
      <c r="Q5131" t="n">
        <v>0</v>
      </c>
      <c r="R5131" s="2" t="inlineStr"/>
    </row>
    <row r="5132" ht="15" customHeight="1">
      <c r="A5132" t="inlineStr">
        <is>
          <t>A 73886-2021</t>
        </is>
      </c>
      <c r="B5132" s="1" t="n">
        <v>44553</v>
      </c>
      <c r="C5132" s="1" t="n">
        <v>45657</v>
      </c>
      <c r="D5132" t="inlineStr">
        <is>
          <t>VÄSTERNORRLANDS LÄN</t>
        </is>
      </c>
      <c r="E5132" t="inlineStr">
        <is>
          <t>SOLLEFTEÅ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73847-2021</t>
        </is>
      </c>
      <c r="B5133" s="1" t="n">
        <v>44553</v>
      </c>
      <c r="C5133" s="1" t="n">
        <v>45657</v>
      </c>
      <c r="D5133" t="inlineStr">
        <is>
          <t>VÄSTERNORRLANDS LÄN</t>
        </is>
      </c>
      <c r="E5133" t="inlineStr">
        <is>
          <t>SOLLEFTEÅ</t>
        </is>
      </c>
      <c r="F5133" t="inlineStr">
        <is>
          <t>Övriga Aktiebolag</t>
        </is>
      </c>
      <c r="G5133" t="n">
        <v>20.1</v>
      </c>
      <c r="H5133" t="n">
        <v>0</v>
      </c>
      <c r="I5133" t="n">
        <v>0</v>
      </c>
      <c r="J5133" t="n">
        <v>0</v>
      </c>
      <c r="K5133" t="n">
        <v>0</v>
      </c>
      <c r="L5133" t="n">
        <v>0</v>
      </c>
      <c r="M5133" t="n">
        <v>0</v>
      </c>
      <c r="N5133" t="n">
        <v>0</v>
      </c>
      <c r="O5133" t="n">
        <v>0</v>
      </c>
      <c r="P5133" t="n">
        <v>0</v>
      </c>
      <c r="Q5133" t="n">
        <v>0</v>
      </c>
      <c r="R5133" s="2" t="inlineStr"/>
    </row>
    <row r="5134" ht="15" customHeight="1">
      <c r="A5134" t="inlineStr">
        <is>
          <t>A 74223-2021</t>
        </is>
      </c>
      <c r="B5134" s="1" t="n">
        <v>44553</v>
      </c>
      <c r="C5134" s="1" t="n">
        <v>45657</v>
      </c>
      <c r="D5134" t="inlineStr">
        <is>
          <t>VÄSTERNORRLANDS LÄN</t>
        </is>
      </c>
      <c r="E5134" t="inlineStr">
        <is>
          <t>HÄRNÖSAND</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73980-2021</t>
        </is>
      </c>
      <c r="B5135" s="1" t="n">
        <v>44554</v>
      </c>
      <c r="C5135" s="1" t="n">
        <v>45657</v>
      </c>
      <c r="D5135" t="inlineStr">
        <is>
          <t>VÄSTERNORRLANDS LÄN</t>
        </is>
      </c>
      <c r="E5135" t="inlineStr">
        <is>
          <t>SUNDSVALL</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73979-2021</t>
        </is>
      </c>
      <c r="B5136" s="1" t="n">
        <v>44554</v>
      </c>
      <c r="C5136" s="1" t="n">
        <v>45657</v>
      </c>
      <c r="D5136" t="inlineStr">
        <is>
          <t>VÄSTERNORRLANDS LÄN</t>
        </is>
      </c>
      <c r="E5136" t="inlineStr">
        <is>
          <t>SUNDSVALL</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73989-2021</t>
        </is>
      </c>
      <c r="B5137" s="1" t="n">
        <v>44556</v>
      </c>
      <c r="C5137" s="1" t="n">
        <v>45657</v>
      </c>
      <c r="D5137" t="inlineStr">
        <is>
          <t>VÄSTERNORRLANDS LÄN</t>
        </is>
      </c>
      <c r="E5137" t="inlineStr">
        <is>
          <t>KRAMFORS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73988-2021</t>
        </is>
      </c>
      <c r="B5138" s="1" t="n">
        <v>44556</v>
      </c>
      <c r="C5138" s="1" t="n">
        <v>45657</v>
      </c>
      <c r="D5138" t="inlineStr">
        <is>
          <t>VÄSTERNORRLANDS LÄN</t>
        </is>
      </c>
      <c r="E5138" t="inlineStr">
        <is>
          <t>KRAMFORS</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74020-2021</t>
        </is>
      </c>
      <c r="B5139" s="1" t="n">
        <v>44557</v>
      </c>
      <c r="C5139" s="1" t="n">
        <v>45657</v>
      </c>
      <c r="D5139" t="inlineStr">
        <is>
          <t>VÄSTERNORRLANDS LÄN</t>
        </is>
      </c>
      <c r="E5139" t="inlineStr">
        <is>
          <t>TIMRÅ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74043-2021</t>
        </is>
      </c>
      <c r="B5140" s="1" t="n">
        <v>44557</v>
      </c>
      <c r="C5140" s="1" t="n">
        <v>45657</v>
      </c>
      <c r="D5140" t="inlineStr">
        <is>
          <t>VÄSTERNORRLANDS LÄN</t>
        </is>
      </c>
      <c r="E5140" t="inlineStr">
        <is>
          <t>TIMRÅ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74044-2021</t>
        </is>
      </c>
      <c r="B5141" s="1" t="n">
        <v>44557</v>
      </c>
      <c r="C5141" s="1" t="n">
        <v>45657</v>
      </c>
      <c r="D5141" t="inlineStr">
        <is>
          <t>VÄSTERNORRLANDS LÄN</t>
        </is>
      </c>
      <c r="E5141" t="inlineStr">
        <is>
          <t>TIMRÅ</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74104-2021</t>
        </is>
      </c>
      <c r="B5142" s="1" t="n">
        <v>44557</v>
      </c>
      <c r="C5142" s="1" t="n">
        <v>45657</v>
      </c>
      <c r="D5142" t="inlineStr">
        <is>
          <t>VÄSTERNORRLANDS LÄN</t>
        </is>
      </c>
      <c r="E5142" t="inlineStr">
        <is>
          <t>SUNDSVALL</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74088-2021</t>
        </is>
      </c>
      <c r="B5143" s="1" t="n">
        <v>44557</v>
      </c>
      <c r="C5143" s="1" t="n">
        <v>45657</v>
      </c>
      <c r="D5143" t="inlineStr">
        <is>
          <t>VÄSTERNORRLANDS LÄN</t>
        </is>
      </c>
      <c r="E5143" t="inlineStr">
        <is>
          <t>ÅNGE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74109-2021</t>
        </is>
      </c>
      <c r="B5144" s="1" t="n">
        <v>44557</v>
      </c>
      <c r="C5144" s="1" t="n">
        <v>45657</v>
      </c>
      <c r="D5144" t="inlineStr">
        <is>
          <t>VÄSTERNORRLANDS LÄN</t>
        </is>
      </c>
      <c r="E5144" t="inlineStr">
        <is>
          <t>ÅNGE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74148-2021</t>
        </is>
      </c>
      <c r="B5145" s="1" t="n">
        <v>44557</v>
      </c>
      <c r="C5145" s="1" t="n">
        <v>45657</v>
      </c>
      <c r="D5145" t="inlineStr">
        <is>
          <t>VÄSTERNORRLANDS LÄN</t>
        </is>
      </c>
      <c r="E5145" t="inlineStr">
        <is>
          <t>TIMRÅ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74150-2021</t>
        </is>
      </c>
      <c r="B5146" s="1" t="n">
        <v>44557</v>
      </c>
      <c r="C5146" s="1" t="n">
        <v>45657</v>
      </c>
      <c r="D5146" t="inlineStr">
        <is>
          <t>VÄSTERNORRLANDS LÄN</t>
        </is>
      </c>
      <c r="E5146" t="inlineStr">
        <is>
          <t>TIMRÅ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74177-2021</t>
        </is>
      </c>
      <c r="B5147" s="1" t="n">
        <v>44558</v>
      </c>
      <c r="C5147" s="1" t="n">
        <v>45657</v>
      </c>
      <c r="D5147" t="inlineStr">
        <is>
          <t>VÄSTERNORRLANDS LÄN</t>
        </is>
      </c>
      <c r="E5147" t="inlineStr">
        <is>
          <t>TIMRÅ</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74194-2021</t>
        </is>
      </c>
      <c r="B5148" s="1" t="n">
        <v>44558</v>
      </c>
      <c r="C5148" s="1" t="n">
        <v>45657</v>
      </c>
      <c r="D5148" t="inlineStr">
        <is>
          <t>VÄSTERNORRLANDS LÄN</t>
        </is>
      </c>
      <c r="E5148" t="inlineStr">
        <is>
          <t>ÅNGE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74383-2021</t>
        </is>
      </c>
      <c r="B5149" s="1" t="n">
        <v>44559</v>
      </c>
      <c r="C5149" s="1" t="n">
        <v>45657</v>
      </c>
      <c r="D5149" t="inlineStr">
        <is>
          <t>VÄSTERNORRLANDS LÄN</t>
        </is>
      </c>
      <c r="E5149" t="inlineStr">
        <is>
          <t>SUNDSVALL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74334-2021</t>
        </is>
      </c>
      <c r="B5150" s="1" t="n">
        <v>44559</v>
      </c>
      <c r="C5150" s="1" t="n">
        <v>45657</v>
      </c>
      <c r="D5150" t="inlineStr">
        <is>
          <t>VÄSTERNORRLANDS LÄN</t>
        </is>
      </c>
      <c r="E5150" t="inlineStr">
        <is>
          <t>HÄRNÖSAND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74384-2021</t>
        </is>
      </c>
      <c r="B5151" s="1" t="n">
        <v>44559</v>
      </c>
      <c r="C5151" s="1" t="n">
        <v>45657</v>
      </c>
      <c r="D5151" t="inlineStr">
        <is>
          <t>VÄSTERNORRLANDS LÄN</t>
        </is>
      </c>
      <c r="E5151" t="inlineStr">
        <is>
          <t>SUNDSVALL</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2-2022</t>
        </is>
      </c>
      <c r="B5152" s="1" t="n">
        <v>44562</v>
      </c>
      <c r="C5152" s="1" t="n">
        <v>45657</v>
      </c>
      <c r="D5152" t="inlineStr">
        <is>
          <t>VÄSTERNORRLANDS LÄN</t>
        </is>
      </c>
      <c r="E5152" t="inlineStr">
        <is>
          <t>SOLLEFTEÅ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183-2022</t>
        </is>
      </c>
      <c r="B5153" s="1" t="n">
        <v>44564</v>
      </c>
      <c r="C5153" s="1" t="n">
        <v>45657</v>
      </c>
      <c r="D5153" t="inlineStr">
        <is>
          <t>VÄSTERNORRLANDS LÄN</t>
        </is>
      </c>
      <c r="E5153" t="inlineStr">
        <is>
          <t>KRAMFORS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227-2022</t>
        </is>
      </c>
      <c r="B5154" s="1" t="n">
        <v>44564</v>
      </c>
      <c r="C5154" s="1" t="n">
        <v>45657</v>
      </c>
      <c r="D5154" t="inlineStr">
        <is>
          <t>VÄSTERNORRLANDS LÄN</t>
        </is>
      </c>
      <c r="E5154" t="inlineStr">
        <is>
          <t>SUNDSVALL</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135-2022</t>
        </is>
      </c>
      <c r="B5155" s="1" t="n">
        <v>44564</v>
      </c>
      <c r="C5155" s="1" t="n">
        <v>45657</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223-2022</t>
        </is>
      </c>
      <c r="B5156" s="1" t="n">
        <v>44564</v>
      </c>
      <c r="C5156" s="1" t="n">
        <v>45657</v>
      </c>
      <c r="D5156" t="inlineStr">
        <is>
          <t>VÄSTERNORRLANDS LÄN</t>
        </is>
      </c>
      <c r="E5156" t="inlineStr">
        <is>
          <t>SUNDSVALL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228-2022</t>
        </is>
      </c>
      <c r="B5157" s="1" t="n">
        <v>44564</v>
      </c>
      <c r="C5157" s="1" t="n">
        <v>45657</v>
      </c>
      <c r="D5157" t="inlineStr">
        <is>
          <t>VÄSTERNORRLANDS LÄN</t>
        </is>
      </c>
      <c r="E5157" t="inlineStr">
        <is>
          <t>SUNDSVALL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352-2022</t>
        </is>
      </c>
      <c r="B5158" s="1" t="n">
        <v>44564</v>
      </c>
      <c r="C5158" s="1" t="n">
        <v>45657</v>
      </c>
      <c r="D5158" t="inlineStr">
        <is>
          <t>VÄSTERNORRLANDS LÄN</t>
        </is>
      </c>
      <c r="E5158" t="inlineStr">
        <is>
          <t>ÖRNSKÖLDSVIK</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19-2022</t>
        </is>
      </c>
      <c r="B5159" s="1" t="n">
        <v>44564</v>
      </c>
      <c r="C5159" s="1" t="n">
        <v>45657</v>
      </c>
      <c r="D5159" t="inlineStr">
        <is>
          <t>VÄSTERNORRLANDS LÄN</t>
        </is>
      </c>
      <c r="E5159" t="inlineStr">
        <is>
          <t>SOLLEFTEÅ</t>
        </is>
      </c>
      <c r="G5159" t="n">
        <v>14.9</v>
      </c>
      <c r="H5159" t="n">
        <v>0</v>
      </c>
      <c r="I5159" t="n">
        <v>0</v>
      </c>
      <c r="J5159" t="n">
        <v>0</v>
      </c>
      <c r="K5159" t="n">
        <v>0</v>
      </c>
      <c r="L5159" t="n">
        <v>0</v>
      </c>
      <c r="M5159" t="n">
        <v>0</v>
      </c>
      <c r="N5159" t="n">
        <v>0</v>
      </c>
      <c r="O5159" t="n">
        <v>0</v>
      </c>
      <c r="P5159" t="n">
        <v>0</v>
      </c>
      <c r="Q5159" t="n">
        <v>0</v>
      </c>
      <c r="R5159" s="2" t="inlineStr"/>
    </row>
    <row r="5160" ht="15" customHeight="1">
      <c r="A5160" t="inlineStr">
        <is>
          <t>A 692-2022</t>
        </is>
      </c>
      <c r="B5160" s="1" t="n">
        <v>44566</v>
      </c>
      <c r="C5160" s="1" t="n">
        <v>45657</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576-2022</t>
        </is>
      </c>
      <c r="B5161" s="1" t="n">
        <v>44566</v>
      </c>
      <c r="C5161" s="1" t="n">
        <v>45657</v>
      </c>
      <c r="D5161" t="inlineStr">
        <is>
          <t>VÄSTERNORRLANDS LÄN</t>
        </is>
      </c>
      <c r="E5161" t="inlineStr">
        <is>
          <t>SOLLEFTEÅ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689-2022</t>
        </is>
      </c>
      <c r="B5162" s="1" t="n">
        <v>44566</v>
      </c>
      <c r="C5162" s="1" t="n">
        <v>45657</v>
      </c>
      <c r="D5162" t="inlineStr">
        <is>
          <t>VÄSTERNORRLANDS LÄN</t>
        </is>
      </c>
      <c r="E5162" t="inlineStr">
        <is>
          <t>ÖRNSKÖLDSVIK</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580-2022</t>
        </is>
      </c>
      <c r="B5163" s="1" t="n">
        <v>44566</v>
      </c>
      <c r="C5163" s="1" t="n">
        <v>45657</v>
      </c>
      <c r="D5163" t="inlineStr">
        <is>
          <t>VÄSTERNORRLANDS LÄN</t>
        </is>
      </c>
      <c r="E5163" t="inlineStr">
        <is>
          <t>TIMRÅ</t>
        </is>
      </c>
      <c r="F5163" t="inlineStr">
        <is>
          <t>SCA</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683-2022</t>
        </is>
      </c>
      <c r="B5164" s="1" t="n">
        <v>44566</v>
      </c>
      <c r="C5164" s="1" t="n">
        <v>45657</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699-2022</t>
        </is>
      </c>
      <c r="B5165" s="1" t="n">
        <v>44568</v>
      </c>
      <c r="C5165" s="1" t="n">
        <v>45657</v>
      </c>
      <c r="D5165" t="inlineStr">
        <is>
          <t>VÄSTERNORRLANDS LÄN</t>
        </is>
      </c>
      <c r="E5165" t="inlineStr">
        <is>
          <t>ÖRNSKÖLDSVIK</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832-2022</t>
        </is>
      </c>
      <c r="B5166" s="1" t="n">
        <v>44568</v>
      </c>
      <c r="C5166" s="1" t="n">
        <v>45657</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851-2022</t>
        </is>
      </c>
      <c r="B5167" s="1" t="n">
        <v>44568</v>
      </c>
      <c r="C5167" s="1" t="n">
        <v>45657</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944-2022</t>
        </is>
      </c>
      <c r="B5168" s="1" t="n">
        <v>44568</v>
      </c>
      <c r="C5168" s="1" t="n">
        <v>45657</v>
      </c>
      <c r="D5168" t="inlineStr">
        <is>
          <t>VÄSTERNORRLANDS LÄN</t>
        </is>
      </c>
      <c r="E5168" t="inlineStr">
        <is>
          <t>ÖRNSKÖLDSVIK</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878-2022</t>
        </is>
      </c>
      <c r="B5169" s="1" t="n">
        <v>44571</v>
      </c>
      <c r="C5169" s="1" t="n">
        <v>45657</v>
      </c>
      <c r="D5169" t="inlineStr">
        <is>
          <t>VÄSTERNORRLANDS LÄN</t>
        </is>
      </c>
      <c r="E5169" t="inlineStr">
        <is>
          <t>KRAMFORS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974-2022</t>
        </is>
      </c>
      <c r="B5170" s="1" t="n">
        <v>44571</v>
      </c>
      <c r="C5170" s="1" t="n">
        <v>45657</v>
      </c>
      <c r="D5170" t="inlineStr">
        <is>
          <t>VÄSTERNORRLANDS LÄN</t>
        </is>
      </c>
      <c r="E5170" t="inlineStr">
        <is>
          <t>ÖRNSKÖLDSVIK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992-2022</t>
        </is>
      </c>
      <c r="B5171" s="1" t="n">
        <v>44571</v>
      </c>
      <c r="C5171" s="1" t="n">
        <v>45657</v>
      </c>
      <c r="D5171" t="inlineStr">
        <is>
          <t>VÄSTERNORRLANDS LÄN</t>
        </is>
      </c>
      <c r="E5171" t="inlineStr">
        <is>
          <t>HÄRNÖSAND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1079-2022</t>
        </is>
      </c>
      <c r="B5172" s="1" t="n">
        <v>44571</v>
      </c>
      <c r="C5172" s="1" t="n">
        <v>45657</v>
      </c>
      <c r="D5172" t="inlineStr">
        <is>
          <t>VÄSTERNORRLANDS LÄN</t>
        </is>
      </c>
      <c r="E5172" t="inlineStr">
        <is>
          <t>SUNDSVALL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1078-2022</t>
        </is>
      </c>
      <c r="B5173" s="1" t="n">
        <v>44571</v>
      </c>
      <c r="C5173" s="1" t="n">
        <v>45657</v>
      </c>
      <c r="D5173" t="inlineStr">
        <is>
          <t>VÄSTERNORRLANDS LÄN</t>
        </is>
      </c>
      <c r="E5173" t="inlineStr">
        <is>
          <t>TIMRÅ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1095-2022</t>
        </is>
      </c>
      <c r="B5174" s="1" t="n">
        <v>44571</v>
      </c>
      <c r="C5174" s="1" t="n">
        <v>45657</v>
      </c>
      <c r="D5174" t="inlineStr">
        <is>
          <t>VÄSTERNORRLANDS LÄN</t>
        </is>
      </c>
      <c r="E5174" t="inlineStr">
        <is>
          <t>SOLLEFTEÅ</t>
        </is>
      </c>
      <c r="F5174" t="inlineStr">
        <is>
          <t>SCA</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1097-2022</t>
        </is>
      </c>
      <c r="B5175" s="1" t="n">
        <v>44571</v>
      </c>
      <c r="C5175" s="1" t="n">
        <v>45657</v>
      </c>
      <c r="D5175" t="inlineStr">
        <is>
          <t>VÄSTERNORRLANDS LÄN</t>
        </is>
      </c>
      <c r="E5175" t="inlineStr">
        <is>
          <t>SUNDSVALL</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1080-2022</t>
        </is>
      </c>
      <c r="B5176" s="1" t="n">
        <v>44571</v>
      </c>
      <c r="C5176" s="1" t="n">
        <v>45657</v>
      </c>
      <c r="D5176" t="inlineStr">
        <is>
          <t>VÄSTERNORRLANDS LÄN</t>
        </is>
      </c>
      <c r="E5176" t="inlineStr">
        <is>
          <t>SUNDSVALL</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1100-2022</t>
        </is>
      </c>
      <c r="B5177" s="1" t="n">
        <v>44571</v>
      </c>
      <c r="C5177" s="1" t="n">
        <v>45657</v>
      </c>
      <c r="D5177" t="inlineStr">
        <is>
          <t>VÄSTERNORRLANDS LÄN</t>
        </is>
      </c>
      <c r="E5177" t="inlineStr">
        <is>
          <t>SUNDSVALL</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1081-2022</t>
        </is>
      </c>
      <c r="B5178" s="1" t="n">
        <v>44571</v>
      </c>
      <c r="C5178" s="1" t="n">
        <v>45657</v>
      </c>
      <c r="D5178" t="inlineStr">
        <is>
          <t>VÄSTERNORRLANDS LÄN</t>
        </is>
      </c>
      <c r="E5178" t="inlineStr">
        <is>
          <t>ÅNGE</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1088-2022</t>
        </is>
      </c>
      <c r="B5179" s="1" t="n">
        <v>44571</v>
      </c>
      <c r="C5179" s="1" t="n">
        <v>45657</v>
      </c>
      <c r="D5179" t="inlineStr">
        <is>
          <t>VÄSTERNORRLANDS LÄN</t>
        </is>
      </c>
      <c r="E5179" t="inlineStr">
        <is>
          <t>HÄRNÖSAND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1094-2022</t>
        </is>
      </c>
      <c r="B5180" s="1" t="n">
        <v>44571</v>
      </c>
      <c r="C5180" s="1" t="n">
        <v>45657</v>
      </c>
      <c r="D5180" t="inlineStr">
        <is>
          <t>VÄSTERNORRLANDS LÄN</t>
        </is>
      </c>
      <c r="E5180" t="inlineStr">
        <is>
          <t>SOLLEFTEÅ</t>
        </is>
      </c>
      <c r="F5180" t="inlineStr">
        <is>
          <t>SCA</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1232-2022</t>
        </is>
      </c>
      <c r="B5181" s="1" t="n">
        <v>44572</v>
      </c>
      <c r="C5181" s="1" t="n">
        <v>45657</v>
      </c>
      <c r="D5181" t="inlineStr">
        <is>
          <t>VÄSTERNORRLANDS LÄN</t>
        </is>
      </c>
      <c r="E5181" t="inlineStr">
        <is>
          <t>SUNDSVALL</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1215-2022</t>
        </is>
      </c>
      <c r="B5182" s="1" t="n">
        <v>44572</v>
      </c>
      <c r="C5182" s="1" t="n">
        <v>45657</v>
      </c>
      <c r="D5182" t="inlineStr">
        <is>
          <t>VÄSTERNORRLANDS LÄN</t>
        </is>
      </c>
      <c r="E5182" t="inlineStr">
        <is>
          <t>KRAMFORS</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1297-2022</t>
        </is>
      </c>
      <c r="B5183" s="1" t="n">
        <v>44572</v>
      </c>
      <c r="C5183" s="1" t="n">
        <v>45657</v>
      </c>
      <c r="D5183" t="inlineStr">
        <is>
          <t>VÄSTERNORRLANDS LÄN</t>
        </is>
      </c>
      <c r="E5183" t="inlineStr">
        <is>
          <t>ÅNGE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1335-2022</t>
        </is>
      </c>
      <c r="B5184" s="1" t="n">
        <v>44572</v>
      </c>
      <c r="C5184" s="1" t="n">
        <v>45657</v>
      </c>
      <c r="D5184" t="inlineStr">
        <is>
          <t>VÄSTERNORRLANDS LÄN</t>
        </is>
      </c>
      <c r="E5184" t="inlineStr">
        <is>
          <t>SUNDSVALL</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1343-2022</t>
        </is>
      </c>
      <c r="B5185" s="1" t="n">
        <v>44572</v>
      </c>
      <c r="C5185" s="1" t="n">
        <v>45657</v>
      </c>
      <c r="D5185" t="inlineStr">
        <is>
          <t>VÄSTERNORRLANDS LÄN</t>
        </is>
      </c>
      <c r="E5185" t="inlineStr">
        <is>
          <t>HÄRNÖSAND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1471-2022</t>
        </is>
      </c>
      <c r="B5186" s="1" t="n">
        <v>44573</v>
      </c>
      <c r="C5186" s="1" t="n">
        <v>45657</v>
      </c>
      <c r="D5186" t="inlineStr">
        <is>
          <t>VÄSTERNORRLANDS LÄN</t>
        </is>
      </c>
      <c r="E5186" t="inlineStr">
        <is>
          <t>ÖRNSKÖLDSVIK</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1385-2022</t>
        </is>
      </c>
      <c r="B5187" s="1" t="n">
        <v>44573</v>
      </c>
      <c r="C5187" s="1" t="n">
        <v>45657</v>
      </c>
      <c r="D5187" t="inlineStr">
        <is>
          <t>VÄSTERNORRLANDS LÄN</t>
        </is>
      </c>
      <c r="E5187" t="inlineStr">
        <is>
          <t>KRAMFORS</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1402-2022</t>
        </is>
      </c>
      <c r="B5188" s="1" t="n">
        <v>44573</v>
      </c>
      <c r="C5188" s="1" t="n">
        <v>45657</v>
      </c>
      <c r="D5188" t="inlineStr">
        <is>
          <t>VÄSTERNORRLANDS LÄN</t>
        </is>
      </c>
      <c r="E5188" t="inlineStr">
        <is>
          <t>SOLLEFTEÅ</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1624-2022</t>
        </is>
      </c>
      <c r="B5189" s="1" t="n">
        <v>44573</v>
      </c>
      <c r="C5189" s="1" t="n">
        <v>45657</v>
      </c>
      <c r="D5189" t="inlineStr">
        <is>
          <t>VÄSTERNORRLANDS LÄN</t>
        </is>
      </c>
      <c r="E5189" t="inlineStr">
        <is>
          <t>KRAMFORS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1590-2022</t>
        </is>
      </c>
      <c r="B5190" s="1" t="n">
        <v>44573</v>
      </c>
      <c r="C5190" s="1" t="n">
        <v>45657</v>
      </c>
      <c r="D5190" t="inlineStr">
        <is>
          <t>VÄSTERNORRLANDS LÄN</t>
        </is>
      </c>
      <c r="E5190" t="inlineStr">
        <is>
          <t>HÄRNÖSAND</t>
        </is>
      </c>
      <c r="G5190" t="n">
        <v>11.4</v>
      </c>
      <c r="H5190" t="n">
        <v>0</v>
      </c>
      <c r="I5190" t="n">
        <v>0</v>
      </c>
      <c r="J5190" t="n">
        <v>0</v>
      </c>
      <c r="K5190" t="n">
        <v>0</v>
      </c>
      <c r="L5190" t="n">
        <v>0</v>
      </c>
      <c r="M5190" t="n">
        <v>0</v>
      </c>
      <c r="N5190" t="n">
        <v>0</v>
      </c>
      <c r="O5190" t="n">
        <v>0</v>
      </c>
      <c r="P5190" t="n">
        <v>0</v>
      </c>
      <c r="Q5190" t="n">
        <v>0</v>
      </c>
      <c r="R5190" s="2" t="inlineStr"/>
    </row>
    <row r="5191" ht="15" customHeight="1">
      <c r="A5191" t="inlineStr">
        <is>
          <t>A 1649-2022</t>
        </is>
      </c>
      <c r="B5191" s="1" t="n">
        <v>44573</v>
      </c>
      <c r="C5191" s="1" t="n">
        <v>45657</v>
      </c>
      <c r="D5191" t="inlineStr">
        <is>
          <t>VÄSTERNORRLANDS LÄN</t>
        </is>
      </c>
      <c r="E5191" t="inlineStr">
        <is>
          <t>HÄRNÖSAND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1681-2022</t>
        </is>
      </c>
      <c r="B5192" s="1" t="n">
        <v>44574</v>
      </c>
      <c r="C5192" s="1" t="n">
        <v>45657</v>
      </c>
      <c r="D5192" t="inlineStr">
        <is>
          <t>VÄSTERNORRLANDS LÄN</t>
        </is>
      </c>
      <c r="E5192" t="inlineStr">
        <is>
          <t>ÖRNSKÖLDSVIK</t>
        </is>
      </c>
      <c r="F5192" t="inlineStr">
        <is>
          <t>Holmen skog AB</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1706-2022</t>
        </is>
      </c>
      <c r="B5193" s="1" t="n">
        <v>44574</v>
      </c>
      <c r="C5193" s="1" t="n">
        <v>45657</v>
      </c>
      <c r="D5193" t="inlineStr">
        <is>
          <t>VÄSTERNORRLANDS LÄN</t>
        </is>
      </c>
      <c r="E5193" t="inlineStr">
        <is>
          <t>ÖRNSKÖLDSVIK</t>
        </is>
      </c>
      <c r="F5193" t="inlineStr">
        <is>
          <t>Holmen skog AB</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1738-2022</t>
        </is>
      </c>
      <c r="B5194" s="1" t="n">
        <v>44574</v>
      </c>
      <c r="C5194" s="1" t="n">
        <v>45657</v>
      </c>
      <c r="D5194" t="inlineStr">
        <is>
          <t>VÄSTERNORRLANDS LÄN</t>
        </is>
      </c>
      <c r="E5194" t="inlineStr">
        <is>
          <t>ÖRNSKÖLDSVIK</t>
        </is>
      </c>
      <c r="F5194" t="inlineStr">
        <is>
          <t>Holmen skog AB</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1683-2022</t>
        </is>
      </c>
      <c r="B5195" s="1" t="n">
        <v>44574</v>
      </c>
      <c r="C5195" s="1" t="n">
        <v>45657</v>
      </c>
      <c r="D5195" t="inlineStr">
        <is>
          <t>VÄSTERNORRLANDS LÄN</t>
        </is>
      </c>
      <c r="E5195" t="inlineStr">
        <is>
          <t>KRAMFORS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1825-2022</t>
        </is>
      </c>
      <c r="B5196" s="1" t="n">
        <v>44574</v>
      </c>
      <c r="C5196" s="1" t="n">
        <v>45657</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1745-2022</t>
        </is>
      </c>
      <c r="B5197" s="1" t="n">
        <v>44574</v>
      </c>
      <c r="C5197" s="1" t="n">
        <v>45657</v>
      </c>
      <c r="D5197" t="inlineStr">
        <is>
          <t>VÄSTERNORRLANDS LÄN</t>
        </is>
      </c>
      <c r="E5197" t="inlineStr">
        <is>
          <t>KRAMFORS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1763-2022</t>
        </is>
      </c>
      <c r="B5198" s="1" t="n">
        <v>44574</v>
      </c>
      <c r="C5198" s="1" t="n">
        <v>45657</v>
      </c>
      <c r="D5198" t="inlineStr">
        <is>
          <t>VÄSTERNORRLANDS LÄN</t>
        </is>
      </c>
      <c r="E5198" t="inlineStr">
        <is>
          <t>ÖRNSKÖLDSVIK</t>
        </is>
      </c>
      <c r="F5198" t="inlineStr">
        <is>
          <t>Holmen skog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1873-2022</t>
        </is>
      </c>
      <c r="B5199" s="1" t="n">
        <v>44574</v>
      </c>
      <c r="C5199" s="1" t="n">
        <v>45657</v>
      </c>
      <c r="D5199" t="inlineStr">
        <is>
          <t>VÄSTERNORRLANDS LÄN</t>
        </is>
      </c>
      <c r="E5199" t="inlineStr">
        <is>
          <t>SUNDSVALL</t>
        </is>
      </c>
      <c r="F5199" t="inlineStr">
        <is>
          <t>SCA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1869-2022</t>
        </is>
      </c>
      <c r="B5200" s="1" t="n">
        <v>44574</v>
      </c>
      <c r="C5200" s="1" t="n">
        <v>45657</v>
      </c>
      <c r="D5200" t="inlineStr">
        <is>
          <t>VÄSTERNORRLANDS LÄN</t>
        </is>
      </c>
      <c r="E5200" t="inlineStr">
        <is>
          <t>ÅNGE</t>
        </is>
      </c>
      <c r="F5200" t="inlineStr">
        <is>
          <t>SCA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1855-2022</t>
        </is>
      </c>
      <c r="B5201" s="1" t="n">
        <v>44574</v>
      </c>
      <c r="C5201" s="1" t="n">
        <v>45657</v>
      </c>
      <c r="D5201" t="inlineStr">
        <is>
          <t>VÄSTERNORRLANDS LÄN</t>
        </is>
      </c>
      <c r="E5201" t="inlineStr">
        <is>
          <t>TIMRÅ</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1987-2022</t>
        </is>
      </c>
      <c r="B5202" s="1" t="n">
        <v>44575</v>
      </c>
      <c r="C5202" s="1" t="n">
        <v>45657</v>
      </c>
      <c r="D5202" t="inlineStr">
        <is>
          <t>VÄSTERNORRLANDS LÄN</t>
        </is>
      </c>
      <c r="E5202" t="inlineStr">
        <is>
          <t>SOLLEFTEÅ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1964-2022</t>
        </is>
      </c>
      <c r="B5203" s="1" t="n">
        <v>44575</v>
      </c>
      <c r="C5203" s="1" t="n">
        <v>45657</v>
      </c>
      <c r="D5203" t="inlineStr">
        <is>
          <t>VÄSTERNORRLANDS LÄN</t>
        </is>
      </c>
      <c r="E5203" t="inlineStr">
        <is>
          <t>ÅNGE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1997-2022</t>
        </is>
      </c>
      <c r="B5204" s="1" t="n">
        <v>44575</v>
      </c>
      <c r="C5204" s="1" t="n">
        <v>45657</v>
      </c>
      <c r="D5204" t="inlineStr">
        <is>
          <t>VÄSTERNORRLANDS LÄN</t>
        </is>
      </c>
      <c r="E5204" t="inlineStr">
        <is>
          <t>SOLLEFTEÅ</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2073-2022</t>
        </is>
      </c>
      <c r="B5205" s="1" t="n">
        <v>44575</v>
      </c>
      <c r="C5205" s="1" t="n">
        <v>45657</v>
      </c>
      <c r="D5205" t="inlineStr">
        <is>
          <t>VÄSTERNORRLANDS LÄN</t>
        </is>
      </c>
      <c r="E5205" t="inlineStr">
        <is>
          <t>TIMRÅ</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2226-2022</t>
        </is>
      </c>
      <c r="B5206" s="1" t="n">
        <v>44578</v>
      </c>
      <c r="C5206" s="1" t="n">
        <v>45657</v>
      </c>
      <c r="D5206" t="inlineStr">
        <is>
          <t>VÄSTERNORRLANDS LÄN</t>
        </is>
      </c>
      <c r="E5206" t="inlineStr">
        <is>
          <t>TIMRÅ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2268-2022</t>
        </is>
      </c>
      <c r="B5207" s="1" t="n">
        <v>44578</v>
      </c>
      <c r="C5207" s="1" t="n">
        <v>45657</v>
      </c>
      <c r="D5207" t="inlineStr">
        <is>
          <t>VÄSTERNORRLANDS LÄN</t>
        </is>
      </c>
      <c r="E5207" t="inlineStr">
        <is>
          <t>ÖRNSKÖLDSVIK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2271-2022</t>
        </is>
      </c>
      <c r="B5208" s="1" t="n">
        <v>44578</v>
      </c>
      <c r="C5208" s="1" t="n">
        <v>45657</v>
      </c>
      <c r="D5208" t="inlineStr">
        <is>
          <t>VÄSTERNORRLANDS LÄN</t>
        </is>
      </c>
      <c r="E5208" t="inlineStr">
        <is>
          <t>ÖRNSKÖLDSVIK</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2328-2022</t>
        </is>
      </c>
      <c r="B5209" s="1" t="n">
        <v>44578</v>
      </c>
      <c r="C5209" s="1" t="n">
        <v>45657</v>
      </c>
      <c r="D5209" t="inlineStr">
        <is>
          <t>VÄSTERNORRLANDS LÄN</t>
        </is>
      </c>
      <c r="E5209" t="inlineStr">
        <is>
          <t>KRAMFORS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2330-2022</t>
        </is>
      </c>
      <c r="B5210" s="1" t="n">
        <v>44578</v>
      </c>
      <c r="C5210" s="1" t="n">
        <v>45657</v>
      </c>
      <c r="D5210" t="inlineStr">
        <is>
          <t>VÄSTERNORRLANDS LÄN</t>
        </is>
      </c>
      <c r="E5210" t="inlineStr">
        <is>
          <t>SUNDSVALL</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2347-2022</t>
        </is>
      </c>
      <c r="B5211" s="1" t="n">
        <v>44578</v>
      </c>
      <c r="C5211" s="1" t="n">
        <v>45657</v>
      </c>
      <c r="D5211" t="inlineStr">
        <is>
          <t>VÄSTERNORRLANDS LÄN</t>
        </is>
      </c>
      <c r="E5211" t="inlineStr">
        <is>
          <t>SUNDSVALL</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2332-2022</t>
        </is>
      </c>
      <c r="B5212" s="1" t="n">
        <v>44578</v>
      </c>
      <c r="C5212" s="1" t="n">
        <v>45657</v>
      </c>
      <c r="D5212" t="inlineStr">
        <is>
          <t>VÄSTERNORRLANDS LÄN</t>
        </is>
      </c>
      <c r="E5212" t="inlineStr">
        <is>
          <t>SUNDSVALL</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2488-2022</t>
        </is>
      </c>
      <c r="B5213" s="1" t="n">
        <v>44579</v>
      </c>
      <c r="C5213" s="1" t="n">
        <v>45657</v>
      </c>
      <c r="D5213" t="inlineStr">
        <is>
          <t>VÄSTERNORRLANDS LÄN</t>
        </is>
      </c>
      <c r="E5213" t="inlineStr">
        <is>
          <t>ÖRNSKÖLDSVIK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2536-2022</t>
        </is>
      </c>
      <c r="B5214" s="1" t="n">
        <v>44579</v>
      </c>
      <c r="C5214" s="1" t="n">
        <v>45657</v>
      </c>
      <c r="D5214" t="inlineStr">
        <is>
          <t>VÄSTERNORRLANDS LÄN</t>
        </is>
      </c>
      <c r="E5214" t="inlineStr">
        <is>
          <t>SOLLEFTEÅ</t>
        </is>
      </c>
      <c r="F5214" t="inlineStr">
        <is>
          <t>Övriga Aktiebolag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2543-2022</t>
        </is>
      </c>
      <c r="B5215" s="1" t="n">
        <v>44580</v>
      </c>
      <c r="C5215" s="1" t="n">
        <v>45657</v>
      </c>
      <c r="D5215" t="inlineStr">
        <is>
          <t>VÄSTERNORRLANDS LÄN</t>
        </is>
      </c>
      <c r="E5215" t="inlineStr">
        <is>
          <t>SOLLEFTEÅ</t>
        </is>
      </c>
      <c r="F5215" t="inlineStr">
        <is>
          <t>SCA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2542-2022</t>
        </is>
      </c>
      <c r="B5216" s="1" t="n">
        <v>44580</v>
      </c>
      <c r="C5216" s="1" t="n">
        <v>45657</v>
      </c>
      <c r="D5216" t="inlineStr">
        <is>
          <t>VÄSTERNORRLANDS LÄN</t>
        </is>
      </c>
      <c r="E5216" t="inlineStr">
        <is>
          <t>SOLLEFTEÅ</t>
        </is>
      </c>
      <c r="F5216" t="inlineStr">
        <is>
          <t>SCA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2541-2022</t>
        </is>
      </c>
      <c r="B5217" s="1" t="n">
        <v>44580</v>
      </c>
      <c r="C5217" s="1" t="n">
        <v>45657</v>
      </c>
      <c r="D5217" t="inlineStr">
        <is>
          <t>VÄSTERNORRLANDS LÄN</t>
        </is>
      </c>
      <c r="E5217" t="inlineStr">
        <is>
          <t>SOLLEFTEÅ</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2752-2022</t>
        </is>
      </c>
      <c r="B5218" s="1" t="n">
        <v>44580</v>
      </c>
      <c r="C5218" s="1" t="n">
        <v>45657</v>
      </c>
      <c r="D5218" t="inlineStr">
        <is>
          <t>VÄSTERNORRLANDS LÄN</t>
        </is>
      </c>
      <c r="E5218" t="inlineStr">
        <is>
          <t>ÖRNSKÖLDSVIK</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2756-2022</t>
        </is>
      </c>
      <c r="B5219" s="1" t="n">
        <v>44580</v>
      </c>
      <c r="C5219" s="1" t="n">
        <v>45657</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2747-2022</t>
        </is>
      </c>
      <c r="B5220" s="1" t="n">
        <v>44580</v>
      </c>
      <c r="C5220" s="1" t="n">
        <v>45657</v>
      </c>
      <c r="D5220" t="inlineStr">
        <is>
          <t>VÄSTERNORRLANDS LÄN</t>
        </is>
      </c>
      <c r="E5220" t="inlineStr">
        <is>
          <t>SOLLEFTEÅ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2753-2022</t>
        </is>
      </c>
      <c r="B5221" s="1" t="n">
        <v>44580</v>
      </c>
      <c r="C5221" s="1" t="n">
        <v>45657</v>
      </c>
      <c r="D5221" t="inlineStr">
        <is>
          <t>VÄSTERNORRLANDS LÄN</t>
        </is>
      </c>
      <c r="E5221" t="inlineStr">
        <is>
          <t>ÖRNSKÖLDSVIK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2784-2022</t>
        </is>
      </c>
      <c r="B5222" s="1" t="n">
        <v>44581</v>
      </c>
      <c r="C5222" s="1" t="n">
        <v>45657</v>
      </c>
      <c r="D5222" t="inlineStr">
        <is>
          <t>VÄSTERNORRLANDS LÄN</t>
        </is>
      </c>
      <c r="E5222" t="inlineStr">
        <is>
          <t>KRAMFORS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2783-2022</t>
        </is>
      </c>
      <c r="B5223" s="1" t="n">
        <v>44581</v>
      </c>
      <c r="C5223" s="1" t="n">
        <v>45657</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2781-2022</t>
        </is>
      </c>
      <c r="B5224" s="1" t="n">
        <v>44581</v>
      </c>
      <c r="C5224" s="1" t="n">
        <v>45657</v>
      </c>
      <c r="D5224" t="inlineStr">
        <is>
          <t>VÄSTERNORRLANDS LÄN</t>
        </is>
      </c>
      <c r="E5224" t="inlineStr">
        <is>
          <t>KRAMFORS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2775-2022</t>
        </is>
      </c>
      <c r="B5225" s="1" t="n">
        <v>44581</v>
      </c>
      <c r="C5225" s="1" t="n">
        <v>45657</v>
      </c>
      <c r="D5225" t="inlineStr">
        <is>
          <t>VÄSTERNORRLANDS LÄN</t>
        </is>
      </c>
      <c r="E5225" t="inlineStr">
        <is>
          <t>KRAMFORS</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2786-2022</t>
        </is>
      </c>
      <c r="B5226" s="1" t="n">
        <v>44581</v>
      </c>
      <c r="C5226" s="1" t="n">
        <v>45657</v>
      </c>
      <c r="D5226" t="inlineStr">
        <is>
          <t>VÄSTERNORRLANDS LÄN</t>
        </is>
      </c>
      <c r="E5226" t="inlineStr">
        <is>
          <t>HÄRNÖSAND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2823-2022</t>
        </is>
      </c>
      <c r="B5227" s="1" t="n">
        <v>44581</v>
      </c>
      <c r="C5227" s="1" t="n">
        <v>45657</v>
      </c>
      <c r="D5227" t="inlineStr">
        <is>
          <t>VÄSTERNORRLANDS LÄN</t>
        </is>
      </c>
      <c r="E5227" t="inlineStr">
        <is>
          <t>KRAMFORS</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3001-2022</t>
        </is>
      </c>
      <c r="B5228" s="1" t="n">
        <v>44581</v>
      </c>
      <c r="C5228" s="1" t="n">
        <v>45657</v>
      </c>
      <c r="D5228" t="inlineStr">
        <is>
          <t>VÄSTERNORRLANDS LÄN</t>
        </is>
      </c>
      <c r="E5228" t="inlineStr">
        <is>
          <t>SOLLEFTEÅ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3161-2022</t>
        </is>
      </c>
      <c r="B5229" s="1" t="n">
        <v>44582</v>
      </c>
      <c r="C5229" s="1" t="n">
        <v>45657</v>
      </c>
      <c r="D5229" t="inlineStr">
        <is>
          <t>VÄSTERNORRLANDS LÄN</t>
        </is>
      </c>
      <c r="E5229" t="inlineStr">
        <is>
          <t>SUNDSVALL</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3238-2022</t>
        </is>
      </c>
      <c r="B5230" s="1" t="n">
        <v>44582</v>
      </c>
      <c r="C5230" s="1" t="n">
        <v>45657</v>
      </c>
      <c r="D5230" t="inlineStr">
        <is>
          <t>VÄSTERNORRLANDS LÄN</t>
        </is>
      </c>
      <c r="E5230" t="inlineStr">
        <is>
          <t>SUNDSVALL</t>
        </is>
      </c>
      <c r="F5230" t="inlineStr">
        <is>
          <t>SCA</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3236-2022</t>
        </is>
      </c>
      <c r="B5231" s="1" t="n">
        <v>44582</v>
      </c>
      <c r="C5231" s="1" t="n">
        <v>45657</v>
      </c>
      <c r="D5231" t="inlineStr">
        <is>
          <t>VÄSTERNORRLANDS LÄN</t>
        </is>
      </c>
      <c r="E5231" t="inlineStr">
        <is>
          <t>SUNDSVALL</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3304-2022</t>
        </is>
      </c>
      <c r="B5232" s="1" t="n">
        <v>44584</v>
      </c>
      <c r="C5232" s="1" t="n">
        <v>45657</v>
      </c>
      <c r="D5232" t="inlineStr">
        <is>
          <t>VÄSTERNORRLANDS LÄN</t>
        </is>
      </c>
      <c r="E5232" t="inlineStr">
        <is>
          <t>KRAMFORS</t>
        </is>
      </c>
      <c r="F5232" t="inlineStr">
        <is>
          <t>SCA</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3329-2022</t>
        </is>
      </c>
      <c r="B5233" s="1" t="n">
        <v>44585</v>
      </c>
      <c r="C5233" s="1" t="n">
        <v>45657</v>
      </c>
      <c r="D5233" t="inlineStr">
        <is>
          <t>VÄSTERNORRLANDS LÄN</t>
        </is>
      </c>
      <c r="E5233" t="inlineStr">
        <is>
          <t>ÖRNSKÖLDSVIK</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3359-2022</t>
        </is>
      </c>
      <c r="B5234" s="1" t="n">
        <v>44585</v>
      </c>
      <c r="C5234" s="1" t="n">
        <v>45657</v>
      </c>
      <c r="D5234" t="inlineStr">
        <is>
          <t>VÄSTERNORRLANDS LÄN</t>
        </is>
      </c>
      <c r="E5234" t="inlineStr">
        <is>
          <t>SUNDSVALL</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3531-2022</t>
        </is>
      </c>
      <c r="B5235" s="1" t="n">
        <v>44585</v>
      </c>
      <c r="C5235" s="1" t="n">
        <v>45657</v>
      </c>
      <c r="D5235" t="inlineStr">
        <is>
          <t>VÄSTERNORRLANDS LÄN</t>
        </is>
      </c>
      <c r="E5235" t="inlineStr">
        <is>
          <t>HÄRNÖSAND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3541-2022</t>
        </is>
      </c>
      <c r="B5236" s="1" t="n">
        <v>44585</v>
      </c>
      <c r="C5236" s="1" t="n">
        <v>45657</v>
      </c>
      <c r="D5236" t="inlineStr">
        <is>
          <t>VÄSTERNORRLANDS LÄN</t>
        </is>
      </c>
      <c r="E5236" t="inlineStr">
        <is>
          <t>SOLLEFTEÅ</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3548-2022</t>
        </is>
      </c>
      <c r="B5237" s="1" t="n">
        <v>44585</v>
      </c>
      <c r="C5237" s="1" t="n">
        <v>45657</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3554-2022</t>
        </is>
      </c>
      <c r="B5238" s="1" t="n">
        <v>44585</v>
      </c>
      <c r="C5238" s="1" t="n">
        <v>45657</v>
      </c>
      <c r="D5238" t="inlineStr">
        <is>
          <t>VÄSTERNORRLANDS LÄN</t>
        </is>
      </c>
      <c r="E5238" t="inlineStr">
        <is>
          <t>SOLLEFTEÅ</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3560-2022</t>
        </is>
      </c>
      <c r="B5239" s="1" t="n">
        <v>44585</v>
      </c>
      <c r="C5239" s="1" t="n">
        <v>45657</v>
      </c>
      <c r="D5239" t="inlineStr">
        <is>
          <t>VÄSTERNORRLANDS LÄN</t>
        </is>
      </c>
      <c r="E5239" t="inlineStr">
        <is>
          <t>SOLLEFTEÅ</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3532-2022</t>
        </is>
      </c>
      <c r="B5240" s="1" t="n">
        <v>44585</v>
      </c>
      <c r="C5240" s="1" t="n">
        <v>45657</v>
      </c>
      <c r="D5240" t="inlineStr">
        <is>
          <t>VÄSTERNORRLANDS LÄN</t>
        </is>
      </c>
      <c r="E5240" t="inlineStr">
        <is>
          <t>HÄRNÖSAND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3549-2022</t>
        </is>
      </c>
      <c r="B5241" s="1" t="n">
        <v>44585</v>
      </c>
      <c r="C5241" s="1" t="n">
        <v>45657</v>
      </c>
      <c r="D5241" t="inlineStr">
        <is>
          <t>VÄSTERNORRLANDS LÄN</t>
        </is>
      </c>
      <c r="E5241" t="inlineStr">
        <is>
          <t>SOLLEFTEÅ</t>
        </is>
      </c>
      <c r="F5241" t="inlineStr">
        <is>
          <t>SCA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3545-2022</t>
        </is>
      </c>
      <c r="B5242" s="1" t="n">
        <v>44585</v>
      </c>
      <c r="C5242" s="1" t="n">
        <v>45657</v>
      </c>
      <c r="D5242" t="inlineStr">
        <is>
          <t>VÄSTERNORRLANDS LÄN</t>
        </is>
      </c>
      <c r="E5242" t="inlineStr">
        <is>
          <t>SUNDSVALL</t>
        </is>
      </c>
      <c r="F5242" t="inlineStr">
        <is>
          <t>SCA</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3551-2022</t>
        </is>
      </c>
      <c r="B5243" s="1" t="n">
        <v>44585</v>
      </c>
      <c r="C5243" s="1" t="n">
        <v>45657</v>
      </c>
      <c r="D5243" t="inlineStr">
        <is>
          <t>VÄSTERNORRLANDS LÄN</t>
        </is>
      </c>
      <c r="E5243" t="inlineStr">
        <is>
          <t>SOLLEFTEÅ</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3556-2022</t>
        </is>
      </c>
      <c r="B5244" s="1" t="n">
        <v>44585</v>
      </c>
      <c r="C5244" s="1" t="n">
        <v>45657</v>
      </c>
      <c r="D5244" t="inlineStr">
        <is>
          <t>VÄSTERNORRLANDS LÄN</t>
        </is>
      </c>
      <c r="E5244" t="inlineStr">
        <is>
          <t>SOLLEFTEÅ</t>
        </is>
      </c>
      <c r="F5244" t="inlineStr">
        <is>
          <t>SCA</t>
        </is>
      </c>
      <c r="G5244" t="n">
        <v>18.2</v>
      </c>
      <c r="H5244" t="n">
        <v>0</v>
      </c>
      <c r="I5244" t="n">
        <v>0</v>
      </c>
      <c r="J5244" t="n">
        <v>0</v>
      </c>
      <c r="K5244" t="n">
        <v>0</v>
      </c>
      <c r="L5244" t="n">
        <v>0</v>
      </c>
      <c r="M5244" t="n">
        <v>0</v>
      </c>
      <c r="N5244" t="n">
        <v>0</v>
      </c>
      <c r="O5244" t="n">
        <v>0</v>
      </c>
      <c r="P5244" t="n">
        <v>0</v>
      </c>
      <c r="Q5244" t="n">
        <v>0</v>
      </c>
      <c r="R5244" s="2" t="inlineStr"/>
    </row>
    <row r="5245" ht="15" customHeight="1">
      <c r="A5245" t="inlineStr">
        <is>
          <t>A 3555-2022</t>
        </is>
      </c>
      <c r="B5245" s="1" t="n">
        <v>44585</v>
      </c>
      <c r="C5245" s="1" t="n">
        <v>45657</v>
      </c>
      <c r="D5245" t="inlineStr">
        <is>
          <t>VÄSTERNORRLANDS LÄN</t>
        </is>
      </c>
      <c r="E5245" t="inlineStr">
        <is>
          <t>SOLLEFTEÅ</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3546-2022</t>
        </is>
      </c>
      <c r="B5246" s="1" t="n">
        <v>44585</v>
      </c>
      <c r="C5246" s="1" t="n">
        <v>45657</v>
      </c>
      <c r="D5246" t="inlineStr">
        <is>
          <t>VÄSTERNORRLANDS LÄN</t>
        </is>
      </c>
      <c r="E5246" t="inlineStr">
        <is>
          <t>SUNDSVALL</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3552-2022</t>
        </is>
      </c>
      <c r="B5247" s="1" t="n">
        <v>44585</v>
      </c>
      <c r="C5247" s="1" t="n">
        <v>45657</v>
      </c>
      <c r="D5247" t="inlineStr">
        <is>
          <t>VÄSTERNORRLANDS LÄN</t>
        </is>
      </c>
      <c r="E5247" t="inlineStr">
        <is>
          <t>SOLLEFTEÅ</t>
        </is>
      </c>
      <c r="F5247" t="inlineStr">
        <is>
          <t>SCA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3557-2022</t>
        </is>
      </c>
      <c r="B5248" s="1" t="n">
        <v>44585</v>
      </c>
      <c r="C5248" s="1" t="n">
        <v>45657</v>
      </c>
      <c r="D5248" t="inlineStr">
        <is>
          <t>VÄSTERNORRLANDS LÄN</t>
        </is>
      </c>
      <c r="E5248" t="inlineStr">
        <is>
          <t>SOLLEFTEÅ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3699-2022</t>
        </is>
      </c>
      <c r="B5249" s="1" t="n">
        <v>44586</v>
      </c>
      <c r="C5249" s="1" t="n">
        <v>45657</v>
      </c>
      <c r="D5249" t="inlineStr">
        <is>
          <t>VÄSTERNORRLANDS LÄN</t>
        </is>
      </c>
      <c r="E5249" t="inlineStr">
        <is>
          <t>SOLLEFTEÅ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3793-2022</t>
        </is>
      </c>
      <c r="B5250" s="1" t="n">
        <v>44586</v>
      </c>
      <c r="C5250" s="1" t="n">
        <v>45657</v>
      </c>
      <c r="D5250" t="inlineStr">
        <is>
          <t>VÄSTERNORRLANDS LÄN</t>
        </is>
      </c>
      <c r="E5250" t="inlineStr">
        <is>
          <t>SOLLEFTEÅ</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3795-2022</t>
        </is>
      </c>
      <c r="B5251" s="1" t="n">
        <v>44586</v>
      </c>
      <c r="C5251" s="1" t="n">
        <v>45657</v>
      </c>
      <c r="D5251" t="inlineStr">
        <is>
          <t>VÄSTERNORRLANDS LÄN</t>
        </is>
      </c>
      <c r="E5251" t="inlineStr">
        <is>
          <t>SOLLEFTEÅ</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3942-2022</t>
        </is>
      </c>
      <c r="B5252" s="1" t="n">
        <v>44587</v>
      </c>
      <c r="C5252" s="1" t="n">
        <v>45657</v>
      </c>
      <c r="D5252" t="inlineStr">
        <is>
          <t>VÄSTERNORRLANDS LÄN</t>
        </is>
      </c>
      <c r="E5252" t="inlineStr">
        <is>
          <t>ÖRNSKÖLDSVIK</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4018-2022</t>
        </is>
      </c>
      <c r="B5253" s="1" t="n">
        <v>44587</v>
      </c>
      <c r="C5253" s="1" t="n">
        <v>45657</v>
      </c>
      <c r="D5253" t="inlineStr">
        <is>
          <t>VÄSTERNORRLANDS LÄN</t>
        </is>
      </c>
      <c r="E5253" t="inlineStr">
        <is>
          <t>SOLLEFTEÅ</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4021-2022</t>
        </is>
      </c>
      <c r="B5254" s="1" t="n">
        <v>44587</v>
      </c>
      <c r="C5254" s="1" t="n">
        <v>45657</v>
      </c>
      <c r="D5254" t="inlineStr">
        <is>
          <t>VÄSTERNORRLANDS LÄN</t>
        </is>
      </c>
      <c r="E5254" t="inlineStr">
        <is>
          <t>KRAMFORS</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4087-2022</t>
        </is>
      </c>
      <c r="B5255" s="1" t="n">
        <v>44588</v>
      </c>
      <c r="C5255" s="1" t="n">
        <v>45657</v>
      </c>
      <c r="D5255" t="inlineStr">
        <is>
          <t>VÄSTERNORRLANDS LÄN</t>
        </is>
      </c>
      <c r="E5255" t="inlineStr">
        <is>
          <t>ÖRNSKÖLDSVIK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4050-2022</t>
        </is>
      </c>
      <c r="B5256" s="1" t="n">
        <v>44588</v>
      </c>
      <c r="C5256" s="1" t="n">
        <v>45657</v>
      </c>
      <c r="D5256" t="inlineStr">
        <is>
          <t>VÄSTERNORRLANDS LÄN</t>
        </is>
      </c>
      <c r="E5256" t="inlineStr">
        <is>
          <t>ÖRNSKÖLDSVIK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4332-2022</t>
        </is>
      </c>
      <c r="B5257" s="1" t="n">
        <v>44588</v>
      </c>
      <c r="C5257" s="1" t="n">
        <v>45657</v>
      </c>
      <c r="D5257" t="inlineStr">
        <is>
          <t>VÄSTERNORRLANDS LÄN</t>
        </is>
      </c>
      <c r="E5257" t="inlineStr">
        <is>
          <t>SUNDSVALL</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4343-2022</t>
        </is>
      </c>
      <c r="B5258" s="1" t="n">
        <v>44588</v>
      </c>
      <c r="C5258" s="1" t="n">
        <v>45657</v>
      </c>
      <c r="D5258" t="inlineStr">
        <is>
          <t>VÄSTERNORRLANDS LÄN</t>
        </is>
      </c>
      <c r="E5258" t="inlineStr">
        <is>
          <t>SOLLEFTEÅ</t>
        </is>
      </c>
      <c r="F5258" t="inlineStr">
        <is>
          <t>SCA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4428-2022</t>
        </is>
      </c>
      <c r="B5259" s="1" t="n">
        <v>44589</v>
      </c>
      <c r="C5259" s="1" t="n">
        <v>45657</v>
      </c>
      <c r="D5259" t="inlineStr">
        <is>
          <t>VÄSTERNORRLANDS LÄN</t>
        </is>
      </c>
      <c r="E5259" t="inlineStr">
        <is>
          <t>ÖRNSKÖLDSVIK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4519-2022</t>
        </is>
      </c>
      <c r="B5260" s="1" t="n">
        <v>44589</v>
      </c>
      <c r="C5260" s="1" t="n">
        <v>45657</v>
      </c>
      <c r="D5260" t="inlineStr">
        <is>
          <t>VÄSTERNORRLANDS LÄN</t>
        </is>
      </c>
      <c r="E5260" t="inlineStr">
        <is>
          <t>SUNDSVALL</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4555-2022</t>
        </is>
      </c>
      <c r="B5261" s="1" t="n">
        <v>44590</v>
      </c>
      <c r="C5261" s="1" t="n">
        <v>45657</v>
      </c>
      <c r="D5261" t="inlineStr">
        <is>
          <t>VÄSTERNORRLANDS LÄN</t>
        </is>
      </c>
      <c r="E5261" t="inlineStr">
        <is>
          <t>SOLLEFTEÅ</t>
        </is>
      </c>
      <c r="F5261" t="inlineStr">
        <is>
          <t>SCA</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4651-2022</t>
        </is>
      </c>
      <c r="B5262" s="1" t="n">
        <v>44592</v>
      </c>
      <c r="C5262" s="1" t="n">
        <v>45657</v>
      </c>
      <c r="D5262" t="inlineStr">
        <is>
          <t>VÄSTERNORRLANDS LÄN</t>
        </is>
      </c>
      <c r="E5262" t="inlineStr">
        <is>
          <t>ÅNGE</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4678-2022</t>
        </is>
      </c>
      <c r="B5263" s="1" t="n">
        <v>44592</v>
      </c>
      <c r="C5263" s="1" t="n">
        <v>45657</v>
      </c>
      <c r="D5263" t="inlineStr">
        <is>
          <t>VÄSTERNORRLANDS LÄN</t>
        </is>
      </c>
      <c r="E5263" t="inlineStr">
        <is>
          <t>KRAMFORS</t>
        </is>
      </c>
      <c r="G5263" t="n">
        <v>16.1</v>
      </c>
      <c r="H5263" t="n">
        <v>0</v>
      </c>
      <c r="I5263" t="n">
        <v>0</v>
      </c>
      <c r="J5263" t="n">
        <v>0</v>
      </c>
      <c r="K5263" t="n">
        <v>0</v>
      </c>
      <c r="L5263" t="n">
        <v>0</v>
      </c>
      <c r="M5263" t="n">
        <v>0</v>
      </c>
      <c r="N5263" t="n">
        <v>0</v>
      </c>
      <c r="O5263" t="n">
        <v>0</v>
      </c>
      <c r="P5263" t="n">
        <v>0</v>
      </c>
      <c r="Q5263" t="n">
        <v>0</v>
      </c>
      <c r="R5263" s="2" t="inlineStr"/>
    </row>
    <row r="5264" ht="15" customHeight="1">
      <c r="A5264" t="inlineStr">
        <is>
          <t>A 4684-2022</t>
        </is>
      </c>
      <c r="B5264" s="1" t="n">
        <v>44592</v>
      </c>
      <c r="C5264" s="1" t="n">
        <v>45657</v>
      </c>
      <c r="D5264" t="inlineStr">
        <is>
          <t>VÄSTERNORRLANDS LÄN</t>
        </is>
      </c>
      <c r="E5264" t="inlineStr">
        <is>
          <t>KRAMFORS</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4690-2022</t>
        </is>
      </c>
      <c r="B5265" s="1" t="n">
        <v>44592</v>
      </c>
      <c r="C5265" s="1" t="n">
        <v>45657</v>
      </c>
      <c r="D5265" t="inlineStr">
        <is>
          <t>VÄSTERNORRLANDS LÄN</t>
        </is>
      </c>
      <c r="E5265" t="inlineStr">
        <is>
          <t>KRAMFORS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4794-2022</t>
        </is>
      </c>
      <c r="B5266" s="1" t="n">
        <v>44592</v>
      </c>
      <c r="C5266" s="1" t="n">
        <v>45657</v>
      </c>
      <c r="D5266" t="inlineStr">
        <is>
          <t>VÄSTERNORRLANDS LÄN</t>
        </is>
      </c>
      <c r="E5266" t="inlineStr">
        <is>
          <t>ÖRNSKÖLDSVIK</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4871-2022</t>
        </is>
      </c>
      <c r="B5267" s="1" t="n">
        <v>44592</v>
      </c>
      <c r="C5267" s="1" t="n">
        <v>45657</v>
      </c>
      <c r="D5267" t="inlineStr">
        <is>
          <t>VÄSTERNORRLANDS LÄN</t>
        </is>
      </c>
      <c r="E5267" t="inlineStr">
        <is>
          <t>SUNDSVALL</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4939-2022</t>
        </is>
      </c>
      <c r="B5268" s="1" t="n">
        <v>44593</v>
      </c>
      <c r="C5268" s="1" t="n">
        <v>45657</v>
      </c>
      <c r="D5268" t="inlineStr">
        <is>
          <t>VÄSTERNORRLANDS LÄN</t>
        </is>
      </c>
      <c r="E5268" t="inlineStr">
        <is>
          <t>ÅNGE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5108-2022</t>
        </is>
      </c>
      <c r="B5269" s="1" t="n">
        <v>44593</v>
      </c>
      <c r="C5269" s="1" t="n">
        <v>45657</v>
      </c>
      <c r="D5269" t="inlineStr">
        <is>
          <t>VÄSTERNORRLANDS LÄN</t>
        </is>
      </c>
      <c r="E5269" t="inlineStr">
        <is>
          <t>SOLLEFTEÅ</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5113-2022</t>
        </is>
      </c>
      <c r="B5270" s="1" t="n">
        <v>44593</v>
      </c>
      <c r="C5270" s="1" t="n">
        <v>45657</v>
      </c>
      <c r="D5270" t="inlineStr">
        <is>
          <t>VÄSTERNORRLANDS LÄN</t>
        </is>
      </c>
      <c r="E5270" t="inlineStr">
        <is>
          <t>ÅNGE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5119-2022</t>
        </is>
      </c>
      <c r="B5271" s="1" t="n">
        <v>44593</v>
      </c>
      <c r="C5271" s="1" t="n">
        <v>45657</v>
      </c>
      <c r="D5271" t="inlineStr">
        <is>
          <t>VÄSTERNORRLANDS LÄN</t>
        </is>
      </c>
      <c r="E5271" t="inlineStr">
        <is>
          <t>SUNDSVALL</t>
        </is>
      </c>
      <c r="F5271" t="inlineStr">
        <is>
          <t>SCA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5112-2022</t>
        </is>
      </c>
      <c r="B5272" s="1" t="n">
        <v>44593</v>
      </c>
      <c r="C5272" s="1" t="n">
        <v>45657</v>
      </c>
      <c r="D5272" t="inlineStr">
        <is>
          <t>VÄSTERNORRLANDS LÄN</t>
        </is>
      </c>
      <c r="E5272" t="inlineStr">
        <is>
          <t>ÅNGE</t>
        </is>
      </c>
      <c r="F5272" t="inlineStr">
        <is>
          <t>SCA</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5102-2022</t>
        </is>
      </c>
      <c r="B5273" s="1" t="n">
        <v>44593</v>
      </c>
      <c r="C5273" s="1" t="n">
        <v>45657</v>
      </c>
      <c r="D5273" t="inlineStr">
        <is>
          <t>VÄSTERNORRLANDS LÄN</t>
        </is>
      </c>
      <c r="E5273" t="inlineStr">
        <is>
          <t>ÖRNSKÖLDSVIK</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5110-2022</t>
        </is>
      </c>
      <c r="B5274" s="1" t="n">
        <v>44593</v>
      </c>
      <c r="C5274" s="1" t="n">
        <v>45657</v>
      </c>
      <c r="D5274" t="inlineStr">
        <is>
          <t>VÄSTERNORRLANDS LÄN</t>
        </is>
      </c>
      <c r="E5274" t="inlineStr">
        <is>
          <t>SOLLEFTEÅ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5111-2022</t>
        </is>
      </c>
      <c r="B5275" s="1" t="n">
        <v>44593</v>
      </c>
      <c r="C5275" s="1" t="n">
        <v>45657</v>
      </c>
      <c r="D5275" t="inlineStr">
        <is>
          <t>VÄSTERNORRLANDS LÄN</t>
        </is>
      </c>
      <c r="E5275" t="inlineStr">
        <is>
          <t>SOLLEFTEÅ</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5123-2022</t>
        </is>
      </c>
      <c r="B5276" s="1" t="n">
        <v>44593</v>
      </c>
      <c r="C5276" s="1" t="n">
        <v>45657</v>
      </c>
      <c r="D5276" t="inlineStr">
        <is>
          <t>VÄSTERNORRLANDS LÄN</t>
        </is>
      </c>
      <c r="E5276" t="inlineStr">
        <is>
          <t>SUNDSVALL</t>
        </is>
      </c>
      <c r="F5276" t="inlineStr">
        <is>
          <t>SCA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5134-2022</t>
        </is>
      </c>
      <c r="B5277" s="1" t="n">
        <v>44594</v>
      </c>
      <c r="C5277" s="1" t="n">
        <v>45657</v>
      </c>
      <c r="D5277" t="inlineStr">
        <is>
          <t>VÄSTERNORRLANDS LÄN</t>
        </is>
      </c>
      <c r="E5277" t="inlineStr">
        <is>
          <t>SOLLEFTEÅ</t>
        </is>
      </c>
      <c r="G5277" t="n">
        <v>20.4</v>
      </c>
      <c r="H5277" t="n">
        <v>0</v>
      </c>
      <c r="I5277" t="n">
        <v>0</v>
      </c>
      <c r="J5277" t="n">
        <v>0</v>
      </c>
      <c r="K5277" t="n">
        <v>0</v>
      </c>
      <c r="L5277" t="n">
        <v>0</v>
      </c>
      <c r="M5277" t="n">
        <v>0</v>
      </c>
      <c r="N5277" t="n">
        <v>0</v>
      </c>
      <c r="O5277" t="n">
        <v>0</v>
      </c>
      <c r="P5277" t="n">
        <v>0</v>
      </c>
      <c r="Q5277" t="n">
        <v>0</v>
      </c>
      <c r="R5277" s="2" t="inlineStr"/>
    </row>
    <row r="5278" ht="15" customHeight="1">
      <c r="A5278" t="inlineStr">
        <is>
          <t>A 5279-2022</t>
        </is>
      </c>
      <c r="B5278" s="1" t="n">
        <v>44594</v>
      </c>
      <c r="C5278" s="1" t="n">
        <v>45657</v>
      </c>
      <c r="D5278" t="inlineStr">
        <is>
          <t>VÄSTERNORRLANDS LÄN</t>
        </is>
      </c>
      <c r="E5278" t="inlineStr">
        <is>
          <t>ÅNGE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5297-2022</t>
        </is>
      </c>
      <c r="B5279" s="1" t="n">
        <v>44594</v>
      </c>
      <c r="C5279" s="1" t="n">
        <v>45657</v>
      </c>
      <c r="D5279" t="inlineStr">
        <is>
          <t>VÄSTERNORRLANDS LÄN</t>
        </is>
      </c>
      <c r="E5279" t="inlineStr">
        <is>
          <t>KRAMFORS</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5303-2022</t>
        </is>
      </c>
      <c r="B5280" s="1" t="n">
        <v>44594</v>
      </c>
      <c r="C5280" s="1" t="n">
        <v>45657</v>
      </c>
      <c r="D5280" t="inlineStr">
        <is>
          <t>VÄSTERNORRLANDS LÄN</t>
        </is>
      </c>
      <c r="E5280" t="inlineStr">
        <is>
          <t>KRAMFORS</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5300-2022</t>
        </is>
      </c>
      <c r="B5281" s="1" t="n">
        <v>44594</v>
      </c>
      <c r="C5281" s="1" t="n">
        <v>45657</v>
      </c>
      <c r="D5281" t="inlineStr">
        <is>
          <t>VÄSTERNORRLANDS LÄN</t>
        </is>
      </c>
      <c r="E5281" t="inlineStr">
        <is>
          <t>KRAMFORS</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5362-2022</t>
        </is>
      </c>
      <c r="B5282" s="1" t="n">
        <v>44594</v>
      </c>
      <c r="C5282" s="1" t="n">
        <v>45657</v>
      </c>
      <c r="D5282" t="inlineStr">
        <is>
          <t>VÄSTERNORRLANDS LÄN</t>
        </is>
      </c>
      <c r="E5282" t="inlineStr">
        <is>
          <t>SUNDSVALL</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5369-2022</t>
        </is>
      </c>
      <c r="B5283" s="1" t="n">
        <v>44594</v>
      </c>
      <c r="C5283" s="1" t="n">
        <v>45657</v>
      </c>
      <c r="D5283" t="inlineStr">
        <is>
          <t>VÄSTERNORRLANDS LÄN</t>
        </is>
      </c>
      <c r="E5283" t="inlineStr">
        <is>
          <t>ÅNGE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5381-2022</t>
        </is>
      </c>
      <c r="B5284" s="1" t="n">
        <v>44594</v>
      </c>
      <c r="C5284" s="1" t="n">
        <v>45657</v>
      </c>
      <c r="D5284" t="inlineStr">
        <is>
          <t>VÄSTERNORRLANDS LÄN</t>
        </is>
      </c>
      <c r="E5284" t="inlineStr">
        <is>
          <t>ÅNGE</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5332-2022</t>
        </is>
      </c>
      <c r="B5285" s="1" t="n">
        <v>44594</v>
      </c>
      <c r="C5285" s="1" t="n">
        <v>45657</v>
      </c>
      <c r="D5285" t="inlineStr">
        <is>
          <t>VÄSTERNORRLANDS LÄN</t>
        </is>
      </c>
      <c r="E5285" t="inlineStr">
        <is>
          <t>SUNDSVALL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5367-2022</t>
        </is>
      </c>
      <c r="B5286" s="1" t="n">
        <v>44594</v>
      </c>
      <c r="C5286" s="1" t="n">
        <v>45657</v>
      </c>
      <c r="D5286" t="inlineStr">
        <is>
          <t>VÄSTERNORRLANDS LÄN</t>
        </is>
      </c>
      <c r="E5286" t="inlineStr">
        <is>
          <t>ÅNGE</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5366-2022</t>
        </is>
      </c>
      <c r="B5287" s="1" t="n">
        <v>44594</v>
      </c>
      <c r="C5287" s="1" t="n">
        <v>45657</v>
      </c>
      <c r="D5287" t="inlineStr">
        <is>
          <t>VÄSTERNORRLANDS LÄN</t>
        </is>
      </c>
      <c r="E5287" t="inlineStr">
        <is>
          <t>ÅNGE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5392-2022</t>
        </is>
      </c>
      <c r="B5288" s="1" t="n">
        <v>44594</v>
      </c>
      <c r="C5288" s="1" t="n">
        <v>45657</v>
      </c>
      <c r="D5288" t="inlineStr">
        <is>
          <t>VÄSTERNORRLANDS LÄN</t>
        </is>
      </c>
      <c r="E5288" t="inlineStr">
        <is>
          <t>ÖRNSKÖLDSVIK</t>
        </is>
      </c>
      <c r="G5288" t="n">
        <v>22.3</v>
      </c>
      <c r="H5288" t="n">
        <v>0</v>
      </c>
      <c r="I5288" t="n">
        <v>0</v>
      </c>
      <c r="J5288" t="n">
        <v>0</v>
      </c>
      <c r="K5288" t="n">
        <v>0</v>
      </c>
      <c r="L5288" t="n">
        <v>0</v>
      </c>
      <c r="M5288" t="n">
        <v>0</v>
      </c>
      <c r="N5288" t="n">
        <v>0</v>
      </c>
      <c r="O5288" t="n">
        <v>0</v>
      </c>
      <c r="P5288" t="n">
        <v>0</v>
      </c>
      <c r="Q5288" t="n">
        <v>0</v>
      </c>
      <c r="R5288" s="2" t="inlineStr"/>
    </row>
    <row r="5289" ht="15" customHeight="1">
      <c r="A5289" t="inlineStr">
        <is>
          <t>A 5373-2022</t>
        </is>
      </c>
      <c r="B5289" s="1" t="n">
        <v>44594</v>
      </c>
      <c r="C5289" s="1" t="n">
        <v>45657</v>
      </c>
      <c r="D5289" t="inlineStr">
        <is>
          <t>VÄSTERNORRLANDS LÄN</t>
        </is>
      </c>
      <c r="E5289" t="inlineStr">
        <is>
          <t>KRAMFORS</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5403-2022</t>
        </is>
      </c>
      <c r="B5290" s="1" t="n">
        <v>44594</v>
      </c>
      <c r="C5290" s="1" t="n">
        <v>45657</v>
      </c>
      <c r="D5290" t="inlineStr">
        <is>
          <t>VÄSTERNORRLANDS LÄN</t>
        </is>
      </c>
      <c r="E5290" t="inlineStr">
        <is>
          <t>ÖRNSKÖLDSVIK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5520-2022</t>
        </is>
      </c>
      <c r="B5291" s="1" t="n">
        <v>44595</v>
      </c>
      <c r="C5291" s="1" t="n">
        <v>45657</v>
      </c>
      <c r="D5291" t="inlineStr">
        <is>
          <t>VÄSTERNORRLANDS LÄN</t>
        </is>
      </c>
      <c r="E5291" t="inlineStr">
        <is>
          <t>ÅNGE</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5552-2022</t>
        </is>
      </c>
      <c r="B5292" s="1" t="n">
        <v>44595</v>
      </c>
      <c r="C5292" s="1" t="n">
        <v>45657</v>
      </c>
      <c r="D5292" t="inlineStr">
        <is>
          <t>VÄSTERNORRLANDS LÄN</t>
        </is>
      </c>
      <c r="E5292" t="inlineStr">
        <is>
          <t>ÅNGE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5565-2022</t>
        </is>
      </c>
      <c r="B5293" s="1" t="n">
        <v>44595</v>
      </c>
      <c r="C5293" s="1" t="n">
        <v>45657</v>
      </c>
      <c r="D5293" t="inlineStr">
        <is>
          <t>VÄSTERNORRLANDS LÄN</t>
        </is>
      </c>
      <c r="E5293" t="inlineStr">
        <is>
          <t>ÅNGE</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5650-2022</t>
        </is>
      </c>
      <c r="B5294" s="1" t="n">
        <v>44595</v>
      </c>
      <c r="C5294" s="1" t="n">
        <v>45657</v>
      </c>
      <c r="D5294" t="inlineStr">
        <is>
          <t>VÄSTERNORRLANDS LÄN</t>
        </is>
      </c>
      <c r="E5294" t="inlineStr">
        <is>
          <t>SUNDSVALL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5657-2022</t>
        </is>
      </c>
      <c r="B5295" s="1" t="n">
        <v>44595</v>
      </c>
      <c r="C5295" s="1" t="n">
        <v>45657</v>
      </c>
      <c r="D5295" t="inlineStr">
        <is>
          <t>VÄSTERNORRLANDS LÄN</t>
        </is>
      </c>
      <c r="E5295" t="inlineStr">
        <is>
          <t>SOLLEFTEÅ</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5649-2022</t>
        </is>
      </c>
      <c r="B5296" s="1" t="n">
        <v>44595</v>
      </c>
      <c r="C5296" s="1" t="n">
        <v>45657</v>
      </c>
      <c r="D5296" t="inlineStr">
        <is>
          <t>VÄSTERNORRLANDS LÄN</t>
        </is>
      </c>
      <c r="E5296" t="inlineStr">
        <is>
          <t>TIMRÅ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5654-2022</t>
        </is>
      </c>
      <c r="B5297" s="1" t="n">
        <v>44595</v>
      </c>
      <c r="C5297" s="1" t="n">
        <v>45657</v>
      </c>
      <c r="D5297" t="inlineStr">
        <is>
          <t>VÄSTERNORRLANDS LÄN</t>
        </is>
      </c>
      <c r="E5297" t="inlineStr">
        <is>
          <t>SUNDSVALL</t>
        </is>
      </c>
      <c r="F5297" t="inlineStr">
        <is>
          <t>SCA</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5896-2022</t>
        </is>
      </c>
      <c r="B5298" s="1" t="n">
        <v>44596</v>
      </c>
      <c r="C5298" s="1" t="n">
        <v>45657</v>
      </c>
      <c r="D5298" t="inlineStr">
        <is>
          <t>VÄSTERNORRLANDS LÄN</t>
        </is>
      </c>
      <c r="E5298" t="inlineStr">
        <is>
          <t>HÄRNÖSAND</t>
        </is>
      </c>
      <c r="F5298" t="inlineStr">
        <is>
          <t>Övriga statliga verk och myndigheter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5909-2022</t>
        </is>
      </c>
      <c r="B5299" s="1" t="n">
        <v>44596</v>
      </c>
      <c r="C5299" s="1" t="n">
        <v>45657</v>
      </c>
      <c r="D5299" t="inlineStr">
        <is>
          <t>VÄSTERNORRLANDS LÄN</t>
        </is>
      </c>
      <c r="E5299" t="inlineStr">
        <is>
          <t>SOLLEFTEÅ</t>
        </is>
      </c>
      <c r="F5299" t="inlineStr">
        <is>
          <t>SCA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5994-2022</t>
        </is>
      </c>
      <c r="B5300" s="1" t="n">
        <v>44599</v>
      </c>
      <c r="C5300" s="1" t="n">
        <v>45657</v>
      </c>
      <c r="D5300" t="inlineStr">
        <is>
          <t>VÄSTERNORRLANDS LÄN</t>
        </is>
      </c>
      <c r="E5300" t="inlineStr">
        <is>
          <t>ÖRNSKÖLDSVIK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6113-2022</t>
        </is>
      </c>
      <c r="B5301" s="1" t="n">
        <v>44599</v>
      </c>
      <c r="C5301" s="1" t="n">
        <v>45657</v>
      </c>
      <c r="D5301" t="inlineStr">
        <is>
          <t>VÄSTERNORRLANDS LÄN</t>
        </is>
      </c>
      <c r="E5301" t="inlineStr">
        <is>
          <t>ÅNGE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6121-2022</t>
        </is>
      </c>
      <c r="B5302" s="1" t="n">
        <v>44599</v>
      </c>
      <c r="C5302" s="1" t="n">
        <v>45657</v>
      </c>
      <c r="D5302" t="inlineStr">
        <is>
          <t>VÄSTERNORRLANDS LÄN</t>
        </is>
      </c>
      <c r="E5302" t="inlineStr">
        <is>
          <t>SOLLEFTEÅ</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6172-2022</t>
        </is>
      </c>
      <c r="B5303" s="1" t="n">
        <v>44599</v>
      </c>
      <c r="C5303" s="1" t="n">
        <v>45657</v>
      </c>
      <c r="D5303" t="inlineStr">
        <is>
          <t>VÄSTERNORRLANDS LÄN</t>
        </is>
      </c>
      <c r="E5303" t="inlineStr">
        <is>
          <t>SOLLEFTEÅ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6112-2022</t>
        </is>
      </c>
      <c r="B5304" s="1" t="n">
        <v>44599</v>
      </c>
      <c r="C5304" s="1" t="n">
        <v>45657</v>
      </c>
      <c r="D5304" t="inlineStr">
        <is>
          <t>VÄSTERNORRLANDS LÄN</t>
        </is>
      </c>
      <c r="E5304" t="inlineStr">
        <is>
          <t>ÅNGE</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6239-2022</t>
        </is>
      </c>
      <c r="B5305" s="1" t="n">
        <v>44599</v>
      </c>
      <c r="C5305" s="1" t="n">
        <v>45657</v>
      </c>
      <c r="D5305" t="inlineStr">
        <is>
          <t>VÄSTERNORRLANDS LÄN</t>
        </is>
      </c>
      <c r="E5305" t="inlineStr">
        <is>
          <t>SUNDSVALL</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6170-2022</t>
        </is>
      </c>
      <c r="B5306" s="1" t="n">
        <v>44599</v>
      </c>
      <c r="C5306" s="1" t="n">
        <v>45657</v>
      </c>
      <c r="D5306" t="inlineStr">
        <is>
          <t>VÄSTERNORRLANDS LÄN</t>
        </is>
      </c>
      <c r="E5306" t="inlineStr">
        <is>
          <t>SOLLEFTEÅ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6115-2022</t>
        </is>
      </c>
      <c r="B5307" s="1" t="n">
        <v>44599</v>
      </c>
      <c r="C5307" s="1" t="n">
        <v>45657</v>
      </c>
      <c r="D5307" t="inlineStr">
        <is>
          <t>VÄSTERNORRLANDS LÄN</t>
        </is>
      </c>
      <c r="E5307" t="inlineStr">
        <is>
          <t>ÅNGE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6263-2022</t>
        </is>
      </c>
      <c r="B5308" s="1" t="n">
        <v>44600</v>
      </c>
      <c r="C5308" s="1" t="n">
        <v>45657</v>
      </c>
      <c r="D5308" t="inlineStr">
        <is>
          <t>VÄSTERNORRLANDS LÄN</t>
        </is>
      </c>
      <c r="E5308" t="inlineStr">
        <is>
          <t>ÅNGE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6409-2022</t>
        </is>
      </c>
      <c r="B5309" s="1" t="n">
        <v>44600</v>
      </c>
      <c r="C5309" s="1" t="n">
        <v>45657</v>
      </c>
      <c r="D5309" t="inlineStr">
        <is>
          <t>VÄSTERNORRLANDS LÄN</t>
        </is>
      </c>
      <c r="E5309" t="inlineStr">
        <is>
          <t>ÖRNSKÖLDSVIK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6431-2022</t>
        </is>
      </c>
      <c r="B5310" s="1" t="n">
        <v>44600</v>
      </c>
      <c r="C5310" s="1" t="n">
        <v>45657</v>
      </c>
      <c r="D5310" t="inlineStr">
        <is>
          <t>VÄSTERNORRLANDS LÄN</t>
        </is>
      </c>
      <c r="E5310" t="inlineStr">
        <is>
          <t>HÄRNÖSAND</t>
        </is>
      </c>
      <c r="F5310" t="inlineStr">
        <is>
          <t>SCA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6443-2022</t>
        </is>
      </c>
      <c r="B5311" s="1" t="n">
        <v>44601</v>
      </c>
      <c r="C5311" s="1" t="n">
        <v>45657</v>
      </c>
      <c r="D5311" t="inlineStr">
        <is>
          <t>VÄSTERNORRLANDS LÄN</t>
        </is>
      </c>
      <c r="E5311" t="inlineStr">
        <is>
          <t>ÅNGE</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6486-2022</t>
        </is>
      </c>
      <c r="B5312" s="1" t="n">
        <v>44601</v>
      </c>
      <c r="C5312" s="1" t="n">
        <v>45657</v>
      </c>
      <c r="D5312" t="inlineStr">
        <is>
          <t>VÄSTERNORRLANDS LÄN</t>
        </is>
      </c>
      <c r="E5312" t="inlineStr">
        <is>
          <t>KRAMFORS</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6594-2022</t>
        </is>
      </c>
      <c r="B5313" s="1" t="n">
        <v>44601</v>
      </c>
      <c r="C5313" s="1" t="n">
        <v>45657</v>
      </c>
      <c r="D5313" t="inlineStr">
        <is>
          <t>VÄSTERNORRLANDS LÄN</t>
        </is>
      </c>
      <c r="E5313" t="inlineStr">
        <is>
          <t>ÖRNSKÖLDSVIK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6644-2022</t>
        </is>
      </c>
      <c r="B5314" s="1" t="n">
        <v>44601</v>
      </c>
      <c r="C5314" s="1" t="n">
        <v>45657</v>
      </c>
      <c r="D5314" t="inlineStr">
        <is>
          <t>VÄSTERNORRLANDS LÄN</t>
        </is>
      </c>
      <c r="E5314" t="inlineStr">
        <is>
          <t>SUNDSVALL</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6677-2022</t>
        </is>
      </c>
      <c r="B5315" s="1" t="n">
        <v>44602</v>
      </c>
      <c r="C5315" s="1" t="n">
        <v>45657</v>
      </c>
      <c r="D5315" t="inlineStr">
        <is>
          <t>VÄSTERNORRLANDS LÄN</t>
        </is>
      </c>
      <c r="E5315" t="inlineStr">
        <is>
          <t>ÅNGE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6732-2022</t>
        </is>
      </c>
      <c r="B5316" s="1" t="n">
        <v>44602</v>
      </c>
      <c r="C5316" s="1" t="n">
        <v>45657</v>
      </c>
      <c r="D5316" t="inlineStr">
        <is>
          <t>VÄSTERNORRLANDS LÄN</t>
        </is>
      </c>
      <c r="E5316" t="inlineStr">
        <is>
          <t>ÅNGE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6808-2022</t>
        </is>
      </c>
      <c r="B5317" s="1" t="n">
        <v>44602</v>
      </c>
      <c r="C5317" s="1" t="n">
        <v>45657</v>
      </c>
      <c r="D5317" t="inlineStr">
        <is>
          <t>VÄSTERNORRLANDS LÄN</t>
        </is>
      </c>
      <c r="E5317" t="inlineStr">
        <is>
          <t>SUNDSVALL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6899-2022</t>
        </is>
      </c>
      <c r="B5318" s="1" t="n">
        <v>44602</v>
      </c>
      <c r="C5318" s="1" t="n">
        <v>45657</v>
      </c>
      <c r="D5318" t="inlineStr">
        <is>
          <t>VÄSTERNORRLANDS LÄN</t>
        </is>
      </c>
      <c r="E5318" t="inlineStr">
        <is>
          <t>ÅNGE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6898-2022</t>
        </is>
      </c>
      <c r="B5319" s="1" t="n">
        <v>44602</v>
      </c>
      <c r="C5319" s="1" t="n">
        <v>45657</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7061-2022</t>
        </is>
      </c>
      <c r="B5320" s="1" t="n">
        <v>44603</v>
      </c>
      <c r="C5320" s="1" t="n">
        <v>45657</v>
      </c>
      <c r="D5320" t="inlineStr">
        <is>
          <t>VÄSTERNORRLANDS LÄN</t>
        </is>
      </c>
      <c r="E5320" t="inlineStr">
        <is>
          <t>HÄRNÖSAND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7076-2022</t>
        </is>
      </c>
      <c r="B5321" s="1" t="n">
        <v>44603</v>
      </c>
      <c r="C5321" s="1" t="n">
        <v>45657</v>
      </c>
      <c r="D5321" t="inlineStr">
        <is>
          <t>VÄSTERNORRLANDS LÄN</t>
        </is>
      </c>
      <c r="E5321" t="inlineStr">
        <is>
          <t>HÄRNÖSAND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7158-2022</t>
        </is>
      </c>
      <c r="B5322" s="1" t="n">
        <v>44604</v>
      </c>
      <c r="C5322" s="1" t="n">
        <v>45657</v>
      </c>
      <c r="D5322" t="inlineStr">
        <is>
          <t>VÄSTERNORRLANDS LÄN</t>
        </is>
      </c>
      <c r="E5322" t="inlineStr">
        <is>
          <t>ÅNGE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7152-2022</t>
        </is>
      </c>
      <c r="B5323" s="1" t="n">
        <v>44603</v>
      </c>
      <c r="C5323" s="1" t="n">
        <v>45657</v>
      </c>
      <c r="D5323" t="inlineStr">
        <is>
          <t>VÄSTERNORRLANDS LÄN</t>
        </is>
      </c>
      <c r="E5323" t="inlineStr">
        <is>
          <t>TIMRÅ</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7205-2022</t>
        </is>
      </c>
      <c r="B5324" s="1" t="n">
        <v>44606</v>
      </c>
      <c r="C5324" s="1" t="n">
        <v>45657</v>
      </c>
      <c r="D5324" t="inlineStr">
        <is>
          <t>VÄSTERNORRLANDS LÄN</t>
        </is>
      </c>
      <c r="E5324" t="inlineStr">
        <is>
          <t>ÅNGE</t>
        </is>
      </c>
      <c r="G5324" t="n">
        <v>20.5</v>
      </c>
      <c r="H5324" t="n">
        <v>0</v>
      </c>
      <c r="I5324" t="n">
        <v>0</v>
      </c>
      <c r="J5324" t="n">
        <v>0</v>
      </c>
      <c r="K5324" t="n">
        <v>0</v>
      </c>
      <c r="L5324" t="n">
        <v>0</v>
      </c>
      <c r="M5324" t="n">
        <v>0</v>
      </c>
      <c r="N5324" t="n">
        <v>0</v>
      </c>
      <c r="O5324" t="n">
        <v>0</v>
      </c>
      <c r="P5324" t="n">
        <v>0</v>
      </c>
      <c r="Q5324" t="n">
        <v>0</v>
      </c>
      <c r="R5324" s="2" t="inlineStr"/>
    </row>
    <row r="5325" ht="15" customHeight="1">
      <c r="A5325" t="inlineStr">
        <is>
          <t>A 7317-2022</t>
        </is>
      </c>
      <c r="B5325" s="1" t="n">
        <v>44606</v>
      </c>
      <c r="C5325" s="1" t="n">
        <v>45657</v>
      </c>
      <c r="D5325" t="inlineStr">
        <is>
          <t>VÄSTERNORRLANDS LÄN</t>
        </is>
      </c>
      <c r="E5325" t="inlineStr">
        <is>
          <t>HÄRNÖSAND</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7298-2022</t>
        </is>
      </c>
      <c r="B5326" s="1" t="n">
        <v>44606</v>
      </c>
      <c r="C5326" s="1" t="n">
        <v>45657</v>
      </c>
      <c r="D5326" t="inlineStr">
        <is>
          <t>VÄSTERNORRLANDS LÄN</t>
        </is>
      </c>
      <c r="E5326" t="inlineStr">
        <is>
          <t>ÅNGE</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7432-2022</t>
        </is>
      </c>
      <c r="B5327" s="1" t="n">
        <v>44606</v>
      </c>
      <c r="C5327" s="1" t="n">
        <v>45657</v>
      </c>
      <c r="D5327" t="inlineStr">
        <is>
          <t>VÄSTERNORRLANDS LÄN</t>
        </is>
      </c>
      <c r="E5327" t="inlineStr">
        <is>
          <t>SUNDSVALL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7436-2022</t>
        </is>
      </c>
      <c r="B5328" s="1" t="n">
        <v>44606</v>
      </c>
      <c r="C5328" s="1" t="n">
        <v>45657</v>
      </c>
      <c r="D5328" t="inlineStr">
        <is>
          <t>VÄSTERNORRLANDS LÄN</t>
        </is>
      </c>
      <c r="E5328" t="inlineStr">
        <is>
          <t>SUNDSVALL</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7367-2022</t>
        </is>
      </c>
      <c r="B5329" s="1" t="n">
        <v>44606</v>
      </c>
      <c r="C5329" s="1" t="n">
        <v>45657</v>
      </c>
      <c r="D5329" t="inlineStr">
        <is>
          <t>VÄSTERNORRLANDS LÄN</t>
        </is>
      </c>
      <c r="E5329" t="inlineStr">
        <is>
          <t>KRAMFORS</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7434-2022</t>
        </is>
      </c>
      <c r="B5330" s="1" t="n">
        <v>44606</v>
      </c>
      <c r="C5330" s="1" t="n">
        <v>45657</v>
      </c>
      <c r="D5330" t="inlineStr">
        <is>
          <t>VÄSTERNORRLANDS LÄN</t>
        </is>
      </c>
      <c r="E5330" t="inlineStr">
        <is>
          <t>SUNDSVALL</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7437-2022</t>
        </is>
      </c>
      <c r="B5331" s="1" t="n">
        <v>44606</v>
      </c>
      <c r="C5331" s="1" t="n">
        <v>45657</v>
      </c>
      <c r="D5331" t="inlineStr">
        <is>
          <t>VÄSTERNORRLANDS LÄN</t>
        </is>
      </c>
      <c r="E5331" t="inlineStr">
        <is>
          <t>SUNDSVALL</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7431-2022</t>
        </is>
      </c>
      <c r="B5332" s="1" t="n">
        <v>44606</v>
      </c>
      <c r="C5332" s="1" t="n">
        <v>45657</v>
      </c>
      <c r="D5332" t="inlineStr">
        <is>
          <t>VÄSTERNORRLANDS LÄN</t>
        </is>
      </c>
      <c r="E5332" t="inlineStr">
        <is>
          <t>SUNDSVALL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7633-2022</t>
        </is>
      </c>
      <c r="B5333" s="1" t="n">
        <v>44607</v>
      </c>
      <c r="C5333" s="1" t="n">
        <v>45657</v>
      </c>
      <c r="D5333" t="inlineStr">
        <is>
          <t>VÄSTERNORRLANDS LÄN</t>
        </is>
      </c>
      <c r="E5333" t="inlineStr">
        <is>
          <t>ÅNGE</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7670-2022</t>
        </is>
      </c>
      <c r="B5334" s="1" t="n">
        <v>44607</v>
      </c>
      <c r="C5334" s="1" t="n">
        <v>45657</v>
      </c>
      <c r="D5334" t="inlineStr">
        <is>
          <t>VÄSTERNORRLANDS LÄN</t>
        </is>
      </c>
      <c r="E5334" t="inlineStr">
        <is>
          <t>TIMRÅ</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7649-2022</t>
        </is>
      </c>
      <c r="B5335" s="1" t="n">
        <v>44607</v>
      </c>
      <c r="C5335" s="1" t="n">
        <v>45657</v>
      </c>
      <c r="D5335" t="inlineStr">
        <is>
          <t>VÄSTERNORRLANDS LÄN</t>
        </is>
      </c>
      <c r="E5335" t="inlineStr">
        <is>
          <t>ÅNGE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7667-2022</t>
        </is>
      </c>
      <c r="B5336" s="1" t="n">
        <v>44607</v>
      </c>
      <c r="C5336" s="1" t="n">
        <v>45657</v>
      </c>
      <c r="D5336" t="inlineStr">
        <is>
          <t>VÄSTERNORRLANDS LÄN</t>
        </is>
      </c>
      <c r="E5336" t="inlineStr">
        <is>
          <t>SOLLEFTEÅ</t>
        </is>
      </c>
      <c r="F5336" t="inlineStr">
        <is>
          <t>SCA</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7716-2022</t>
        </is>
      </c>
      <c r="B5337" s="1" t="n">
        <v>44607</v>
      </c>
      <c r="C5337" s="1" t="n">
        <v>45657</v>
      </c>
      <c r="D5337" t="inlineStr">
        <is>
          <t>VÄSTERNORRLANDS LÄN</t>
        </is>
      </c>
      <c r="E5337" t="inlineStr">
        <is>
          <t>KRAMFORS</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7764-2022</t>
        </is>
      </c>
      <c r="B5338" s="1" t="n">
        <v>44608</v>
      </c>
      <c r="C5338" s="1" t="n">
        <v>45657</v>
      </c>
      <c r="D5338" t="inlineStr">
        <is>
          <t>VÄSTERNORRLANDS LÄN</t>
        </is>
      </c>
      <c r="E5338" t="inlineStr">
        <is>
          <t>KRAMFORS</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7784-2022</t>
        </is>
      </c>
      <c r="B5339" s="1" t="n">
        <v>44608</v>
      </c>
      <c r="C5339" s="1" t="n">
        <v>45657</v>
      </c>
      <c r="D5339" t="inlineStr">
        <is>
          <t>VÄSTERNORRLANDS LÄN</t>
        </is>
      </c>
      <c r="E5339" t="inlineStr">
        <is>
          <t>HÄRNÖSAND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7822-2022</t>
        </is>
      </c>
      <c r="B5340" s="1" t="n">
        <v>44608</v>
      </c>
      <c r="C5340" s="1" t="n">
        <v>45657</v>
      </c>
      <c r="D5340" t="inlineStr">
        <is>
          <t>VÄSTERNORRLANDS LÄN</t>
        </is>
      </c>
      <c r="E5340" t="inlineStr">
        <is>
          <t>KRAMFORS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7873-2022</t>
        </is>
      </c>
      <c r="B5341" s="1" t="n">
        <v>44608</v>
      </c>
      <c r="C5341" s="1" t="n">
        <v>45657</v>
      </c>
      <c r="D5341" t="inlineStr">
        <is>
          <t>VÄSTERNORRLANDS LÄN</t>
        </is>
      </c>
      <c r="E5341" t="inlineStr">
        <is>
          <t>ÖRNSKÖLDSVIK</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7866-2022</t>
        </is>
      </c>
      <c r="B5342" s="1" t="n">
        <v>44608</v>
      </c>
      <c r="C5342" s="1" t="n">
        <v>45657</v>
      </c>
      <c r="D5342" t="inlineStr">
        <is>
          <t>VÄSTERNORRLANDS LÄN</t>
        </is>
      </c>
      <c r="E5342" t="inlineStr">
        <is>
          <t>ÖRNSKÖLDSVIK</t>
        </is>
      </c>
      <c r="G5342" t="n">
        <v>23.8</v>
      </c>
      <c r="H5342" t="n">
        <v>0</v>
      </c>
      <c r="I5342" t="n">
        <v>0</v>
      </c>
      <c r="J5342" t="n">
        <v>0</v>
      </c>
      <c r="K5342" t="n">
        <v>0</v>
      </c>
      <c r="L5342" t="n">
        <v>0</v>
      </c>
      <c r="M5342" t="n">
        <v>0</v>
      </c>
      <c r="N5342" t="n">
        <v>0</v>
      </c>
      <c r="O5342" t="n">
        <v>0</v>
      </c>
      <c r="P5342" t="n">
        <v>0</v>
      </c>
      <c r="Q5342" t="n">
        <v>0</v>
      </c>
      <c r="R5342" s="2" t="inlineStr"/>
    </row>
    <row r="5343" ht="15" customHeight="1">
      <c r="A5343" t="inlineStr">
        <is>
          <t>A 7943-2022</t>
        </is>
      </c>
      <c r="B5343" s="1" t="n">
        <v>44608</v>
      </c>
      <c r="C5343" s="1" t="n">
        <v>45657</v>
      </c>
      <c r="D5343" t="inlineStr">
        <is>
          <t>VÄSTERNORRLANDS LÄN</t>
        </is>
      </c>
      <c r="E5343" t="inlineStr">
        <is>
          <t>SUNDSVALL</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7938-2022</t>
        </is>
      </c>
      <c r="B5344" s="1" t="n">
        <v>44608</v>
      </c>
      <c r="C5344" s="1" t="n">
        <v>45657</v>
      </c>
      <c r="D5344" t="inlineStr">
        <is>
          <t>VÄSTERNORRLANDS LÄN</t>
        </is>
      </c>
      <c r="E5344" t="inlineStr">
        <is>
          <t>KRAMFORS</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7965-2022</t>
        </is>
      </c>
      <c r="B5345" s="1" t="n">
        <v>44608</v>
      </c>
      <c r="C5345" s="1" t="n">
        <v>45657</v>
      </c>
      <c r="D5345" t="inlineStr">
        <is>
          <t>VÄSTERNORRLANDS LÄN</t>
        </is>
      </c>
      <c r="E5345" t="inlineStr">
        <is>
          <t>SOLLEFTEÅ</t>
        </is>
      </c>
      <c r="F5345" t="inlineStr">
        <is>
          <t>SCA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7963-2022</t>
        </is>
      </c>
      <c r="B5346" s="1" t="n">
        <v>44608</v>
      </c>
      <c r="C5346" s="1" t="n">
        <v>45657</v>
      </c>
      <c r="D5346" t="inlineStr">
        <is>
          <t>VÄSTERNORRLANDS LÄN</t>
        </is>
      </c>
      <c r="E5346" t="inlineStr">
        <is>
          <t>SOLLEFTEÅ</t>
        </is>
      </c>
      <c r="F5346" t="inlineStr">
        <is>
          <t>SCA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7966-2022</t>
        </is>
      </c>
      <c r="B5347" s="1" t="n">
        <v>44608</v>
      </c>
      <c r="C5347" s="1" t="n">
        <v>45657</v>
      </c>
      <c r="D5347" t="inlineStr">
        <is>
          <t>VÄSTERNORRLANDS LÄN</t>
        </is>
      </c>
      <c r="E5347" t="inlineStr">
        <is>
          <t>TIMRÅ</t>
        </is>
      </c>
      <c r="F5347" t="inlineStr">
        <is>
          <t>SCA</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7935-2022</t>
        </is>
      </c>
      <c r="B5348" s="1" t="n">
        <v>44608</v>
      </c>
      <c r="C5348" s="1" t="n">
        <v>45657</v>
      </c>
      <c r="D5348" t="inlineStr">
        <is>
          <t>VÄSTERNORRLANDS LÄN</t>
        </is>
      </c>
      <c r="E5348" t="inlineStr">
        <is>
          <t>SOLLEFTEÅ</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7946-2022</t>
        </is>
      </c>
      <c r="B5349" s="1" t="n">
        <v>44608</v>
      </c>
      <c r="C5349" s="1" t="n">
        <v>45657</v>
      </c>
      <c r="D5349" t="inlineStr">
        <is>
          <t>VÄSTERNORRLANDS LÄN</t>
        </is>
      </c>
      <c r="E5349" t="inlineStr">
        <is>
          <t>SUNDSVALL</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7964-2022</t>
        </is>
      </c>
      <c r="B5350" s="1" t="n">
        <v>44608</v>
      </c>
      <c r="C5350" s="1" t="n">
        <v>45657</v>
      </c>
      <c r="D5350" t="inlineStr">
        <is>
          <t>VÄSTERNORRLANDS LÄN</t>
        </is>
      </c>
      <c r="E5350" t="inlineStr">
        <is>
          <t>SOLLEFTEÅ</t>
        </is>
      </c>
      <c r="F5350" t="inlineStr">
        <is>
          <t>SCA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8070-2022</t>
        </is>
      </c>
      <c r="B5351" s="1" t="n">
        <v>44609</v>
      </c>
      <c r="C5351" s="1" t="n">
        <v>45657</v>
      </c>
      <c r="D5351" t="inlineStr">
        <is>
          <t>VÄSTERNORRLANDS LÄN</t>
        </is>
      </c>
      <c r="E5351" t="inlineStr">
        <is>
          <t>ÅNGE</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8220-2022</t>
        </is>
      </c>
      <c r="B5352" s="1" t="n">
        <v>44609</v>
      </c>
      <c r="C5352" s="1" t="n">
        <v>45657</v>
      </c>
      <c r="D5352" t="inlineStr">
        <is>
          <t>VÄSTERNORRLANDS LÄN</t>
        </is>
      </c>
      <c r="E5352" t="inlineStr">
        <is>
          <t>HÄRNÖSAND</t>
        </is>
      </c>
      <c r="F5352" t="inlineStr">
        <is>
          <t>Övriga statliga verk och myndigheter</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8224-2022</t>
        </is>
      </c>
      <c r="B5353" s="1" t="n">
        <v>44609</v>
      </c>
      <c r="C5353" s="1" t="n">
        <v>45657</v>
      </c>
      <c r="D5353" t="inlineStr">
        <is>
          <t>VÄSTERNORRLANDS LÄN</t>
        </is>
      </c>
      <c r="E5353" t="inlineStr">
        <is>
          <t>SUNDSVALL</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8221-2022</t>
        </is>
      </c>
      <c r="B5354" s="1" t="n">
        <v>44609</v>
      </c>
      <c r="C5354" s="1" t="n">
        <v>45657</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8232-2022</t>
        </is>
      </c>
      <c r="B5355" s="1" t="n">
        <v>44609</v>
      </c>
      <c r="C5355" s="1" t="n">
        <v>45657</v>
      </c>
      <c r="D5355" t="inlineStr">
        <is>
          <t>VÄSTERNORRLANDS LÄN</t>
        </is>
      </c>
      <c r="E5355" t="inlineStr">
        <is>
          <t>SUNDSVALL</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8222-2022</t>
        </is>
      </c>
      <c r="B5356" s="1" t="n">
        <v>44609</v>
      </c>
      <c r="C5356" s="1" t="n">
        <v>45657</v>
      </c>
      <c r="D5356" t="inlineStr">
        <is>
          <t>VÄSTERNORRLANDS LÄN</t>
        </is>
      </c>
      <c r="E5356" t="inlineStr">
        <is>
          <t>SOLLEFTEÅ</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8233-2022</t>
        </is>
      </c>
      <c r="B5357" s="1" t="n">
        <v>44609</v>
      </c>
      <c r="C5357" s="1" t="n">
        <v>45657</v>
      </c>
      <c r="D5357" t="inlineStr">
        <is>
          <t>VÄSTERNORRLANDS LÄN</t>
        </is>
      </c>
      <c r="E5357" t="inlineStr">
        <is>
          <t>SUNDSVALL</t>
        </is>
      </c>
      <c r="F5357" t="inlineStr">
        <is>
          <t>SCA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8257-2022</t>
        </is>
      </c>
      <c r="B5358" s="1" t="n">
        <v>44610</v>
      </c>
      <c r="C5358" s="1" t="n">
        <v>45657</v>
      </c>
      <c r="D5358" t="inlineStr">
        <is>
          <t>VÄSTERNORRLANDS LÄN</t>
        </is>
      </c>
      <c r="E5358" t="inlineStr">
        <is>
          <t>KRAMFORS</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8336-2022</t>
        </is>
      </c>
      <c r="B5359" s="1" t="n">
        <v>44610</v>
      </c>
      <c r="C5359" s="1" t="n">
        <v>45657</v>
      </c>
      <c r="D5359" t="inlineStr">
        <is>
          <t>VÄSTERNORRLANDS LÄN</t>
        </is>
      </c>
      <c r="E5359" t="inlineStr">
        <is>
          <t>TIMRÅ</t>
        </is>
      </c>
      <c r="F5359" t="inlineStr">
        <is>
          <t>Kommuner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8581-2022</t>
        </is>
      </c>
      <c r="B5360" s="1" t="n">
        <v>44613</v>
      </c>
      <c r="C5360" s="1" t="n">
        <v>45657</v>
      </c>
      <c r="D5360" t="inlineStr">
        <is>
          <t>VÄSTERNORRLANDS LÄN</t>
        </is>
      </c>
      <c r="E5360" t="inlineStr">
        <is>
          <t>ÖRNSKÖLDSVIK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8728-2022</t>
        </is>
      </c>
      <c r="B5361" s="1" t="n">
        <v>44613</v>
      </c>
      <c r="C5361" s="1" t="n">
        <v>45657</v>
      </c>
      <c r="D5361" t="inlineStr">
        <is>
          <t>VÄSTERNORRLANDS LÄN</t>
        </is>
      </c>
      <c r="E5361" t="inlineStr">
        <is>
          <t>SOLLEFTEÅ</t>
        </is>
      </c>
      <c r="F5361" t="inlineStr">
        <is>
          <t>SCA</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8732-2022</t>
        </is>
      </c>
      <c r="B5362" s="1" t="n">
        <v>44613</v>
      </c>
      <c r="C5362" s="1" t="n">
        <v>45657</v>
      </c>
      <c r="D5362" t="inlineStr">
        <is>
          <t>VÄSTERNORRLANDS LÄN</t>
        </is>
      </c>
      <c r="E5362" t="inlineStr">
        <is>
          <t>KRAMFORS</t>
        </is>
      </c>
      <c r="F5362" t="inlineStr">
        <is>
          <t>SCA</t>
        </is>
      </c>
      <c r="G5362" t="n">
        <v>11.7</v>
      </c>
      <c r="H5362" t="n">
        <v>0</v>
      </c>
      <c r="I5362" t="n">
        <v>0</v>
      </c>
      <c r="J5362" t="n">
        <v>0</v>
      </c>
      <c r="K5362" t="n">
        <v>0</v>
      </c>
      <c r="L5362" t="n">
        <v>0</v>
      </c>
      <c r="M5362" t="n">
        <v>0</v>
      </c>
      <c r="N5362" t="n">
        <v>0</v>
      </c>
      <c r="O5362" t="n">
        <v>0</v>
      </c>
      <c r="P5362" t="n">
        <v>0</v>
      </c>
      <c r="Q5362" t="n">
        <v>0</v>
      </c>
      <c r="R5362" s="2" t="inlineStr"/>
    </row>
    <row r="5363" ht="15" customHeight="1">
      <c r="A5363" t="inlineStr">
        <is>
          <t>A 8729-2022</t>
        </is>
      </c>
      <c r="B5363" s="1" t="n">
        <v>44613</v>
      </c>
      <c r="C5363" s="1" t="n">
        <v>45657</v>
      </c>
      <c r="D5363" t="inlineStr">
        <is>
          <t>VÄSTERNORRLANDS LÄN</t>
        </is>
      </c>
      <c r="E5363" t="inlineStr">
        <is>
          <t>SOLLEFTEÅ</t>
        </is>
      </c>
      <c r="F5363" t="inlineStr">
        <is>
          <t>SCA</t>
        </is>
      </c>
      <c r="G5363" t="n">
        <v>16.5</v>
      </c>
      <c r="H5363" t="n">
        <v>0</v>
      </c>
      <c r="I5363" t="n">
        <v>0</v>
      </c>
      <c r="J5363" t="n">
        <v>0</v>
      </c>
      <c r="K5363" t="n">
        <v>0</v>
      </c>
      <c r="L5363" t="n">
        <v>0</v>
      </c>
      <c r="M5363" t="n">
        <v>0</v>
      </c>
      <c r="N5363" t="n">
        <v>0</v>
      </c>
      <c r="O5363" t="n">
        <v>0</v>
      </c>
      <c r="P5363" t="n">
        <v>0</v>
      </c>
      <c r="Q5363" t="n">
        <v>0</v>
      </c>
      <c r="R5363" s="2" t="inlineStr"/>
    </row>
    <row r="5364" ht="15" customHeight="1">
      <c r="A5364" t="inlineStr">
        <is>
          <t>A 8734-2022</t>
        </is>
      </c>
      <c r="B5364" s="1" t="n">
        <v>44613</v>
      </c>
      <c r="C5364" s="1" t="n">
        <v>45657</v>
      </c>
      <c r="D5364" t="inlineStr">
        <is>
          <t>VÄSTERNORRLANDS LÄN</t>
        </is>
      </c>
      <c r="E5364" t="inlineStr">
        <is>
          <t>SOLLEFTEÅ</t>
        </is>
      </c>
      <c r="F5364" t="inlineStr">
        <is>
          <t>SCA</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8755-2022</t>
        </is>
      </c>
      <c r="B5365" s="1" t="n">
        <v>44614</v>
      </c>
      <c r="C5365" s="1" t="n">
        <v>45657</v>
      </c>
      <c r="D5365" t="inlineStr">
        <is>
          <t>VÄSTERNORRLANDS LÄN</t>
        </is>
      </c>
      <c r="E5365" t="inlineStr">
        <is>
          <t>ÅNGE</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8747-2022</t>
        </is>
      </c>
      <c r="B5366" s="1" t="n">
        <v>44614</v>
      </c>
      <c r="C5366" s="1" t="n">
        <v>45657</v>
      </c>
      <c r="D5366" t="inlineStr">
        <is>
          <t>VÄSTERNORRLANDS LÄN</t>
        </is>
      </c>
      <c r="E5366" t="inlineStr">
        <is>
          <t>ÅNGE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9124-2022</t>
        </is>
      </c>
      <c r="B5367" s="1" t="n">
        <v>44615</v>
      </c>
      <c r="C5367" s="1" t="n">
        <v>45657</v>
      </c>
      <c r="D5367" t="inlineStr">
        <is>
          <t>VÄSTERNORRLANDS LÄN</t>
        </is>
      </c>
      <c r="E5367" t="inlineStr">
        <is>
          <t>SOLLEFTEÅ</t>
        </is>
      </c>
      <c r="G5367" t="n">
        <v>20.2</v>
      </c>
      <c r="H5367" t="n">
        <v>0</v>
      </c>
      <c r="I5367" t="n">
        <v>0</v>
      </c>
      <c r="J5367" t="n">
        <v>0</v>
      </c>
      <c r="K5367" t="n">
        <v>0</v>
      </c>
      <c r="L5367" t="n">
        <v>0</v>
      </c>
      <c r="M5367" t="n">
        <v>0</v>
      </c>
      <c r="N5367" t="n">
        <v>0</v>
      </c>
      <c r="O5367" t="n">
        <v>0</v>
      </c>
      <c r="P5367" t="n">
        <v>0</v>
      </c>
      <c r="Q5367" t="n">
        <v>0</v>
      </c>
      <c r="R5367" s="2" t="inlineStr"/>
    </row>
    <row r="5368" ht="15" customHeight="1">
      <c r="A5368" t="inlineStr">
        <is>
          <t>A 9059-2022</t>
        </is>
      </c>
      <c r="B5368" s="1" t="n">
        <v>44615</v>
      </c>
      <c r="C5368" s="1" t="n">
        <v>45657</v>
      </c>
      <c r="D5368" t="inlineStr">
        <is>
          <t>VÄSTERNORRLANDS LÄN</t>
        </is>
      </c>
      <c r="E5368" t="inlineStr">
        <is>
          <t>HÄRNÖSAND</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9028-2022</t>
        </is>
      </c>
      <c r="B5369" s="1" t="n">
        <v>44615</v>
      </c>
      <c r="C5369" s="1" t="n">
        <v>45657</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9203-2022</t>
        </is>
      </c>
      <c r="B5370" s="1" t="n">
        <v>44615</v>
      </c>
      <c r="C5370" s="1" t="n">
        <v>45657</v>
      </c>
      <c r="D5370" t="inlineStr">
        <is>
          <t>VÄSTERNORRLANDS LÄN</t>
        </is>
      </c>
      <c r="E5370" t="inlineStr">
        <is>
          <t>TIMRÅ</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9200-2022</t>
        </is>
      </c>
      <c r="B5371" s="1" t="n">
        <v>44615</v>
      </c>
      <c r="C5371" s="1" t="n">
        <v>45657</v>
      </c>
      <c r="D5371" t="inlineStr">
        <is>
          <t>VÄSTERNORRLANDS LÄN</t>
        </is>
      </c>
      <c r="E5371" t="inlineStr">
        <is>
          <t>SUNDSVALL</t>
        </is>
      </c>
      <c r="G5371" t="n">
        <v>17.6</v>
      </c>
      <c r="H5371" t="n">
        <v>0</v>
      </c>
      <c r="I5371" t="n">
        <v>0</v>
      </c>
      <c r="J5371" t="n">
        <v>0</v>
      </c>
      <c r="K5371" t="n">
        <v>0</v>
      </c>
      <c r="L5371" t="n">
        <v>0</v>
      </c>
      <c r="M5371" t="n">
        <v>0</v>
      </c>
      <c r="N5371" t="n">
        <v>0</v>
      </c>
      <c r="O5371" t="n">
        <v>0</v>
      </c>
      <c r="P5371" t="n">
        <v>0</v>
      </c>
      <c r="Q5371" t="n">
        <v>0</v>
      </c>
      <c r="R5371" s="2" t="inlineStr"/>
    </row>
    <row r="5372" ht="15" customHeight="1">
      <c r="A5372" t="inlineStr">
        <is>
          <t>A 9201-2022</t>
        </is>
      </c>
      <c r="B5372" s="1" t="n">
        <v>44615</v>
      </c>
      <c r="C5372" s="1" t="n">
        <v>45657</v>
      </c>
      <c r="D5372" t="inlineStr">
        <is>
          <t>VÄSTERNORRLANDS LÄN</t>
        </is>
      </c>
      <c r="E5372" t="inlineStr">
        <is>
          <t>SUNDSVALL</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9202-2022</t>
        </is>
      </c>
      <c r="B5373" s="1" t="n">
        <v>44615</v>
      </c>
      <c r="C5373" s="1" t="n">
        <v>45657</v>
      </c>
      <c r="D5373" t="inlineStr">
        <is>
          <t>VÄSTERNORRLANDS LÄN</t>
        </is>
      </c>
      <c r="E5373" t="inlineStr">
        <is>
          <t>TIMRÅ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9365-2022</t>
        </is>
      </c>
      <c r="B5374" s="1" t="n">
        <v>44616</v>
      </c>
      <c r="C5374" s="1" t="n">
        <v>45657</v>
      </c>
      <c r="D5374" t="inlineStr">
        <is>
          <t>VÄSTERNORRLANDS LÄN</t>
        </is>
      </c>
      <c r="E5374" t="inlineStr">
        <is>
          <t>SUNDSVALL</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9400-2022</t>
        </is>
      </c>
      <c r="B5375" s="1" t="n">
        <v>44616</v>
      </c>
      <c r="C5375" s="1" t="n">
        <v>45657</v>
      </c>
      <c r="D5375" t="inlineStr">
        <is>
          <t>VÄSTERNORRLANDS LÄN</t>
        </is>
      </c>
      <c r="E5375" t="inlineStr">
        <is>
          <t>SUNDSVALL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9256-2022</t>
        </is>
      </c>
      <c r="B5376" s="1" t="n">
        <v>44616</v>
      </c>
      <c r="C5376" s="1" t="n">
        <v>45657</v>
      </c>
      <c r="D5376" t="inlineStr">
        <is>
          <t>VÄSTERNORRLANDS LÄN</t>
        </is>
      </c>
      <c r="E5376" t="inlineStr">
        <is>
          <t>TIMRÅ</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9257-2022</t>
        </is>
      </c>
      <c r="B5377" s="1" t="n">
        <v>44616</v>
      </c>
      <c r="C5377" s="1" t="n">
        <v>45657</v>
      </c>
      <c r="D5377" t="inlineStr">
        <is>
          <t>VÄSTERNORRLANDS LÄN</t>
        </is>
      </c>
      <c r="E5377" t="inlineStr">
        <is>
          <t>KRAMFORS</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9393-2022</t>
        </is>
      </c>
      <c r="B5378" s="1" t="n">
        <v>44616</v>
      </c>
      <c r="C5378" s="1" t="n">
        <v>45657</v>
      </c>
      <c r="D5378" t="inlineStr">
        <is>
          <t>VÄSTERNORRLANDS LÄN</t>
        </is>
      </c>
      <c r="E5378" t="inlineStr">
        <is>
          <t>SUNDSVALL</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9317-2022</t>
        </is>
      </c>
      <c r="B5379" s="1" t="n">
        <v>44616</v>
      </c>
      <c r="C5379" s="1" t="n">
        <v>45657</v>
      </c>
      <c r="D5379" t="inlineStr">
        <is>
          <t>VÄSTERNORRLANDS LÄN</t>
        </is>
      </c>
      <c r="E5379" t="inlineStr">
        <is>
          <t>TIMRÅ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9487-2022</t>
        </is>
      </c>
      <c r="B5380" s="1" t="n">
        <v>44616</v>
      </c>
      <c r="C5380" s="1" t="n">
        <v>45657</v>
      </c>
      <c r="D5380" t="inlineStr">
        <is>
          <t>VÄSTERNORRLANDS LÄN</t>
        </is>
      </c>
      <c r="E5380" t="inlineStr">
        <is>
          <t>SOLLEFTEÅ</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9452-2022</t>
        </is>
      </c>
      <c r="B5381" s="1" t="n">
        <v>44616</v>
      </c>
      <c r="C5381" s="1" t="n">
        <v>45657</v>
      </c>
      <c r="D5381" t="inlineStr">
        <is>
          <t>VÄSTERNORRLANDS LÄN</t>
        </is>
      </c>
      <c r="E5381" t="inlineStr">
        <is>
          <t>HÄRNÖSAND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9480-2022</t>
        </is>
      </c>
      <c r="B5382" s="1" t="n">
        <v>44616</v>
      </c>
      <c r="C5382" s="1" t="n">
        <v>45657</v>
      </c>
      <c r="D5382" t="inlineStr">
        <is>
          <t>VÄSTERNORRLANDS LÄN</t>
        </is>
      </c>
      <c r="E5382" t="inlineStr">
        <is>
          <t>ÅNGE</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9385-2022</t>
        </is>
      </c>
      <c r="B5383" s="1" t="n">
        <v>44616</v>
      </c>
      <c r="C5383" s="1" t="n">
        <v>45657</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9544-2022</t>
        </is>
      </c>
      <c r="B5384" s="1" t="n">
        <v>44617</v>
      </c>
      <c r="C5384" s="1" t="n">
        <v>45657</v>
      </c>
      <c r="D5384" t="inlineStr">
        <is>
          <t>VÄSTERNORRLANDS LÄN</t>
        </is>
      </c>
      <c r="E5384" t="inlineStr">
        <is>
          <t>ÅNGE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9586-2022</t>
        </is>
      </c>
      <c r="B5385" s="1" t="n">
        <v>44617</v>
      </c>
      <c r="C5385" s="1" t="n">
        <v>45657</v>
      </c>
      <c r="D5385" t="inlineStr">
        <is>
          <t>VÄSTERNORRLANDS LÄN</t>
        </is>
      </c>
      <c r="E5385" t="inlineStr">
        <is>
          <t>SOLLEFTEÅ</t>
        </is>
      </c>
      <c r="F5385" t="inlineStr">
        <is>
          <t>Övriga Aktiebolag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9727-2022</t>
        </is>
      </c>
      <c r="B5386" s="1" t="n">
        <v>44617</v>
      </c>
      <c r="C5386" s="1" t="n">
        <v>45657</v>
      </c>
      <c r="D5386" t="inlineStr">
        <is>
          <t>VÄSTERNORRLANDS LÄN</t>
        </is>
      </c>
      <c r="E5386" t="inlineStr">
        <is>
          <t>HÄRNÖSAND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9911-2022</t>
        </is>
      </c>
      <c r="B5387" s="1" t="n">
        <v>44620</v>
      </c>
      <c r="C5387" s="1" t="n">
        <v>45657</v>
      </c>
      <c r="D5387" t="inlineStr">
        <is>
          <t>VÄSTERNORRLANDS LÄN</t>
        </is>
      </c>
      <c r="E5387" t="inlineStr">
        <is>
          <t>ÅNGE</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9998-2022</t>
        </is>
      </c>
      <c r="B5388" s="1" t="n">
        <v>44621</v>
      </c>
      <c r="C5388" s="1" t="n">
        <v>45657</v>
      </c>
      <c r="D5388" t="inlineStr">
        <is>
          <t>VÄSTERNORRLANDS LÄN</t>
        </is>
      </c>
      <c r="E5388" t="inlineStr">
        <is>
          <t>ÅNGE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10113-2022</t>
        </is>
      </c>
      <c r="B5389" s="1" t="n">
        <v>44621</v>
      </c>
      <c r="C5389" s="1" t="n">
        <v>45657</v>
      </c>
      <c r="D5389" t="inlineStr">
        <is>
          <t>VÄSTERNORRLANDS LÄN</t>
        </is>
      </c>
      <c r="E5389" t="inlineStr">
        <is>
          <t>ÅNGE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10138-2022</t>
        </is>
      </c>
      <c r="B5390" s="1" t="n">
        <v>44621</v>
      </c>
      <c r="C5390" s="1" t="n">
        <v>45657</v>
      </c>
      <c r="D5390" t="inlineStr">
        <is>
          <t>VÄSTERNORRLANDS LÄN</t>
        </is>
      </c>
      <c r="E5390" t="inlineStr">
        <is>
          <t>SOLLEFTEÅ</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10139-2022</t>
        </is>
      </c>
      <c r="B5391" s="1" t="n">
        <v>44621</v>
      </c>
      <c r="C5391" s="1" t="n">
        <v>45657</v>
      </c>
      <c r="D5391" t="inlineStr">
        <is>
          <t>VÄSTERNORRLANDS LÄN</t>
        </is>
      </c>
      <c r="E5391" t="inlineStr">
        <is>
          <t>SOLLEFTEÅ</t>
        </is>
      </c>
      <c r="F5391" t="inlineStr">
        <is>
          <t>SCA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10140-2022</t>
        </is>
      </c>
      <c r="B5392" s="1" t="n">
        <v>44621</v>
      </c>
      <c r="C5392" s="1" t="n">
        <v>45657</v>
      </c>
      <c r="D5392" t="inlineStr">
        <is>
          <t>VÄSTERNORRLANDS LÄN</t>
        </is>
      </c>
      <c r="E5392" t="inlineStr">
        <is>
          <t>SOLLEFTEÅ</t>
        </is>
      </c>
      <c r="F5392" t="inlineStr">
        <is>
          <t>SCA</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10141-2022</t>
        </is>
      </c>
      <c r="B5393" s="1" t="n">
        <v>44621</v>
      </c>
      <c r="C5393" s="1" t="n">
        <v>45657</v>
      </c>
      <c r="D5393" t="inlineStr">
        <is>
          <t>VÄSTERNORRLANDS LÄN</t>
        </is>
      </c>
      <c r="E5393" t="inlineStr">
        <is>
          <t>SOLLEFTEÅ</t>
        </is>
      </c>
      <c r="F5393" t="inlineStr">
        <is>
          <t>SCA</t>
        </is>
      </c>
      <c r="G5393" t="n">
        <v>15.5</v>
      </c>
      <c r="H5393" t="n">
        <v>0</v>
      </c>
      <c r="I5393" t="n">
        <v>0</v>
      </c>
      <c r="J5393" t="n">
        <v>0</v>
      </c>
      <c r="K5393" t="n">
        <v>0</v>
      </c>
      <c r="L5393" t="n">
        <v>0</v>
      </c>
      <c r="M5393" t="n">
        <v>0</v>
      </c>
      <c r="N5393" t="n">
        <v>0</v>
      </c>
      <c r="O5393" t="n">
        <v>0</v>
      </c>
      <c r="P5393" t="n">
        <v>0</v>
      </c>
      <c r="Q5393" t="n">
        <v>0</v>
      </c>
      <c r="R5393" s="2" t="inlineStr"/>
    </row>
    <row r="5394" ht="15" customHeight="1">
      <c r="A5394" t="inlineStr">
        <is>
          <t>A 10198-2022</t>
        </is>
      </c>
      <c r="B5394" s="1" t="n">
        <v>44622</v>
      </c>
      <c r="C5394" s="1" t="n">
        <v>45657</v>
      </c>
      <c r="D5394" t="inlineStr">
        <is>
          <t>VÄSTERNORRLANDS LÄN</t>
        </is>
      </c>
      <c r="E5394" t="inlineStr">
        <is>
          <t>SOLLEFTEÅ</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10242-2022</t>
        </is>
      </c>
      <c r="B5395" s="1" t="n">
        <v>44622</v>
      </c>
      <c r="C5395" s="1" t="n">
        <v>45657</v>
      </c>
      <c r="D5395" t="inlineStr">
        <is>
          <t>VÄSTERNORRLANDS LÄN</t>
        </is>
      </c>
      <c r="E5395" t="inlineStr">
        <is>
          <t>SOLLEFTEÅ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10308-2022</t>
        </is>
      </c>
      <c r="B5396" s="1" t="n">
        <v>44622</v>
      </c>
      <c r="C5396" s="1" t="n">
        <v>45657</v>
      </c>
      <c r="D5396" t="inlineStr">
        <is>
          <t>VÄSTERNORRLANDS LÄN</t>
        </is>
      </c>
      <c r="E5396" t="inlineStr">
        <is>
          <t>SOLLEFTEÅ</t>
        </is>
      </c>
      <c r="F5396" t="inlineStr">
        <is>
          <t>SCA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10313-2022</t>
        </is>
      </c>
      <c r="B5397" s="1" t="n">
        <v>44622</v>
      </c>
      <c r="C5397" s="1" t="n">
        <v>45657</v>
      </c>
      <c r="D5397" t="inlineStr">
        <is>
          <t>VÄSTERNORRLANDS LÄN</t>
        </is>
      </c>
      <c r="E5397" t="inlineStr">
        <is>
          <t>ÅNGE</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10250-2022</t>
        </is>
      </c>
      <c r="B5398" s="1" t="n">
        <v>44622</v>
      </c>
      <c r="C5398" s="1" t="n">
        <v>45657</v>
      </c>
      <c r="D5398" t="inlineStr">
        <is>
          <t>VÄSTERNORRLANDS LÄN</t>
        </is>
      </c>
      <c r="E5398" t="inlineStr">
        <is>
          <t>SOLLEFTEÅ</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10310-2022</t>
        </is>
      </c>
      <c r="B5399" s="1" t="n">
        <v>44622</v>
      </c>
      <c r="C5399" s="1" t="n">
        <v>45657</v>
      </c>
      <c r="D5399" t="inlineStr">
        <is>
          <t>VÄSTERNORRLANDS LÄN</t>
        </is>
      </c>
      <c r="E5399" t="inlineStr">
        <is>
          <t>SOLLEFTEÅ</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10307-2022</t>
        </is>
      </c>
      <c r="B5400" s="1" t="n">
        <v>44622</v>
      </c>
      <c r="C5400" s="1" t="n">
        <v>45657</v>
      </c>
      <c r="D5400" t="inlineStr">
        <is>
          <t>VÄSTERNORRLANDS LÄN</t>
        </is>
      </c>
      <c r="E5400" t="inlineStr">
        <is>
          <t>SOLLEFTEÅ</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10311-2022</t>
        </is>
      </c>
      <c r="B5401" s="1" t="n">
        <v>44622</v>
      </c>
      <c r="C5401" s="1" t="n">
        <v>45657</v>
      </c>
      <c r="D5401" t="inlineStr">
        <is>
          <t>VÄSTERNORRLANDS LÄN</t>
        </is>
      </c>
      <c r="E5401" t="inlineStr">
        <is>
          <t>SOLLEFTEÅ</t>
        </is>
      </c>
      <c r="F5401" t="inlineStr">
        <is>
          <t>SCA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10309-2022</t>
        </is>
      </c>
      <c r="B5402" s="1" t="n">
        <v>44622</v>
      </c>
      <c r="C5402" s="1" t="n">
        <v>45657</v>
      </c>
      <c r="D5402" t="inlineStr">
        <is>
          <t>VÄSTERNORRLANDS LÄN</t>
        </is>
      </c>
      <c r="E5402" t="inlineStr">
        <is>
          <t>SOLLEFTEÅ</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10314-2022</t>
        </is>
      </c>
      <c r="B5403" s="1" t="n">
        <v>44622</v>
      </c>
      <c r="C5403" s="1" t="n">
        <v>45657</v>
      </c>
      <c r="D5403" t="inlineStr">
        <is>
          <t>VÄSTERNORRLANDS LÄN</t>
        </is>
      </c>
      <c r="E5403" t="inlineStr">
        <is>
          <t>SOLLEFTEÅ</t>
        </is>
      </c>
      <c r="F5403" t="inlineStr">
        <is>
          <t>SCA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10331-2022</t>
        </is>
      </c>
      <c r="B5404" s="1" t="n">
        <v>44622</v>
      </c>
      <c r="C5404" s="1" t="n">
        <v>45657</v>
      </c>
      <c r="D5404" t="inlineStr">
        <is>
          <t>VÄSTERNORRLANDS LÄN</t>
        </is>
      </c>
      <c r="E5404" t="inlineStr">
        <is>
          <t>ÅNGE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10417-2022</t>
        </is>
      </c>
      <c r="B5405" s="1" t="n">
        <v>44623</v>
      </c>
      <c r="C5405" s="1" t="n">
        <v>45657</v>
      </c>
      <c r="D5405" t="inlineStr">
        <is>
          <t>VÄSTERNORRLANDS LÄN</t>
        </is>
      </c>
      <c r="E5405" t="inlineStr">
        <is>
          <t>SOLLEFTEÅ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10423-2022</t>
        </is>
      </c>
      <c r="B5406" s="1" t="n">
        <v>44623</v>
      </c>
      <c r="C5406" s="1" t="n">
        <v>45657</v>
      </c>
      <c r="D5406" t="inlineStr">
        <is>
          <t>VÄSTERNORRLANDS LÄN</t>
        </is>
      </c>
      <c r="E5406" t="inlineStr">
        <is>
          <t>ÖRNSKÖLDSVIK</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10528-2022</t>
        </is>
      </c>
      <c r="B5407" s="1" t="n">
        <v>44623</v>
      </c>
      <c r="C5407" s="1" t="n">
        <v>45657</v>
      </c>
      <c r="D5407" t="inlineStr">
        <is>
          <t>VÄSTERNORRLANDS LÄN</t>
        </is>
      </c>
      <c r="E5407" t="inlineStr">
        <is>
          <t>SUNDSVALL</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10453-2022</t>
        </is>
      </c>
      <c r="B5408" s="1" t="n">
        <v>44623</v>
      </c>
      <c r="C5408" s="1" t="n">
        <v>45657</v>
      </c>
      <c r="D5408" t="inlineStr">
        <is>
          <t>VÄSTERNORRLANDS LÄN</t>
        </is>
      </c>
      <c r="E5408" t="inlineStr">
        <is>
          <t>ÖRNSKÖLDSVIK</t>
        </is>
      </c>
      <c r="G5408" t="n">
        <v>17.3</v>
      </c>
      <c r="H5408" t="n">
        <v>0</v>
      </c>
      <c r="I5408" t="n">
        <v>0</v>
      </c>
      <c r="J5408" t="n">
        <v>0</v>
      </c>
      <c r="K5408" t="n">
        <v>0</v>
      </c>
      <c r="L5408" t="n">
        <v>0</v>
      </c>
      <c r="M5408" t="n">
        <v>0</v>
      </c>
      <c r="N5408" t="n">
        <v>0</v>
      </c>
      <c r="O5408" t="n">
        <v>0</v>
      </c>
      <c r="P5408" t="n">
        <v>0</v>
      </c>
      <c r="Q5408" t="n">
        <v>0</v>
      </c>
      <c r="R5408" s="2" t="inlineStr"/>
    </row>
    <row r="5409" ht="15" customHeight="1">
      <c r="A5409" t="inlineStr">
        <is>
          <t>A 10472-2022</t>
        </is>
      </c>
      <c r="B5409" s="1" t="n">
        <v>44623</v>
      </c>
      <c r="C5409" s="1" t="n">
        <v>45657</v>
      </c>
      <c r="D5409" t="inlineStr">
        <is>
          <t>VÄSTERNORRLANDS LÄN</t>
        </is>
      </c>
      <c r="E5409" t="inlineStr">
        <is>
          <t>ÖRNSKÖLDSVIK</t>
        </is>
      </c>
      <c r="F5409" t="inlineStr">
        <is>
          <t>Holmen skog AB</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10574-2022</t>
        </is>
      </c>
      <c r="B5410" s="1" t="n">
        <v>44623</v>
      </c>
      <c r="C5410" s="1" t="n">
        <v>45657</v>
      </c>
      <c r="D5410" t="inlineStr">
        <is>
          <t>VÄSTERNORRLANDS LÄN</t>
        </is>
      </c>
      <c r="E5410" t="inlineStr">
        <is>
          <t>ÖRNSKÖLDSVIK</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10603-2022</t>
        </is>
      </c>
      <c r="B5411" s="1" t="n">
        <v>44623</v>
      </c>
      <c r="C5411" s="1" t="n">
        <v>45657</v>
      </c>
      <c r="D5411" t="inlineStr">
        <is>
          <t>VÄSTERNORRLANDS LÄN</t>
        </is>
      </c>
      <c r="E5411" t="inlineStr">
        <is>
          <t>ÖRNSKÖLDSVIK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10559-2022</t>
        </is>
      </c>
      <c r="B5412" s="1" t="n">
        <v>44623</v>
      </c>
      <c r="C5412" s="1" t="n">
        <v>45657</v>
      </c>
      <c r="D5412" t="inlineStr">
        <is>
          <t>VÄSTERNORRLANDS LÄN</t>
        </is>
      </c>
      <c r="E5412" t="inlineStr">
        <is>
          <t>ÖRNSKÖLDSVIK</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10606-2022</t>
        </is>
      </c>
      <c r="B5413" s="1" t="n">
        <v>44624</v>
      </c>
      <c r="C5413" s="1" t="n">
        <v>45657</v>
      </c>
      <c r="D5413" t="inlineStr">
        <is>
          <t>VÄSTERNORRLANDS LÄN</t>
        </is>
      </c>
      <c r="E5413" t="inlineStr">
        <is>
          <t>ÖRNSKÖLDSVIK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10680-2022</t>
        </is>
      </c>
      <c r="B5414" s="1" t="n">
        <v>44624</v>
      </c>
      <c r="C5414" s="1" t="n">
        <v>45657</v>
      </c>
      <c r="D5414" t="inlineStr">
        <is>
          <t>VÄSTERNORRLANDS LÄN</t>
        </is>
      </c>
      <c r="E5414" t="inlineStr">
        <is>
          <t>ÅNGE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10686-2022</t>
        </is>
      </c>
      <c r="B5415" s="1" t="n">
        <v>44624</v>
      </c>
      <c r="C5415" s="1" t="n">
        <v>45657</v>
      </c>
      <c r="D5415" t="inlineStr">
        <is>
          <t>VÄSTERNORRLANDS LÄN</t>
        </is>
      </c>
      <c r="E5415" t="inlineStr">
        <is>
          <t>ÅNGE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10687-2022</t>
        </is>
      </c>
      <c r="B5416" s="1" t="n">
        <v>44624</v>
      </c>
      <c r="C5416" s="1" t="n">
        <v>45657</v>
      </c>
      <c r="D5416" t="inlineStr">
        <is>
          <t>VÄSTERNORRLANDS LÄN</t>
        </is>
      </c>
      <c r="E5416" t="inlineStr">
        <is>
          <t>ÅNGE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10890-2022</t>
        </is>
      </c>
      <c r="B5417" s="1" t="n">
        <v>44627</v>
      </c>
      <c r="C5417" s="1" t="n">
        <v>45657</v>
      </c>
      <c r="D5417" t="inlineStr">
        <is>
          <t>VÄSTERNORRLANDS LÄN</t>
        </is>
      </c>
      <c r="E5417" t="inlineStr">
        <is>
          <t>SUNDSVALL</t>
        </is>
      </c>
      <c r="F5417" t="inlineStr">
        <is>
          <t>Kommuner</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10924-2022</t>
        </is>
      </c>
      <c r="B5418" s="1" t="n">
        <v>44627</v>
      </c>
      <c r="C5418" s="1" t="n">
        <v>45657</v>
      </c>
      <c r="D5418" t="inlineStr">
        <is>
          <t>VÄSTERNORRLANDS LÄN</t>
        </is>
      </c>
      <c r="E5418" t="inlineStr">
        <is>
          <t>SOLLEFTEÅ</t>
        </is>
      </c>
      <c r="F5418" t="inlineStr">
        <is>
          <t>SCA</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10926-2022</t>
        </is>
      </c>
      <c r="B5419" s="1" t="n">
        <v>44627</v>
      </c>
      <c r="C5419" s="1" t="n">
        <v>45657</v>
      </c>
      <c r="D5419" t="inlineStr">
        <is>
          <t>VÄSTERNORRLANDS LÄN</t>
        </is>
      </c>
      <c r="E5419" t="inlineStr">
        <is>
          <t>SOLLEFTEÅ</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10925-2022</t>
        </is>
      </c>
      <c r="B5420" s="1" t="n">
        <v>44627</v>
      </c>
      <c r="C5420" s="1" t="n">
        <v>45657</v>
      </c>
      <c r="D5420" t="inlineStr">
        <is>
          <t>VÄSTERNORRLANDS LÄN</t>
        </is>
      </c>
      <c r="E5420" t="inlineStr">
        <is>
          <t>SOLLEFTEÅ</t>
        </is>
      </c>
      <c r="F5420" t="inlineStr">
        <is>
          <t>SCA</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10933-2022</t>
        </is>
      </c>
      <c r="B5421" s="1" t="n">
        <v>44627</v>
      </c>
      <c r="C5421" s="1" t="n">
        <v>45657</v>
      </c>
      <c r="D5421" t="inlineStr">
        <is>
          <t>VÄSTERNORRLANDS LÄN</t>
        </is>
      </c>
      <c r="E5421" t="inlineStr">
        <is>
          <t>ÅNGE</t>
        </is>
      </c>
      <c r="F5421" t="inlineStr">
        <is>
          <t>SCA</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10927-2022</t>
        </is>
      </c>
      <c r="B5422" s="1" t="n">
        <v>44627</v>
      </c>
      <c r="C5422" s="1" t="n">
        <v>45657</v>
      </c>
      <c r="D5422" t="inlineStr">
        <is>
          <t>VÄSTERNORRLANDS LÄN</t>
        </is>
      </c>
      <c r="E5422" t="inlineStr">
        <is>
          <t>SOLLEFTEÅ</t>
        </is>
      </c>
      <c r="F5422" t="inlineStr">
        <is>
          <t>SCA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10984-2022</t>
        </is>
      </c>
      <c r="B5423" s="1" t="n">
        <v>44628</v>
      </c>
      <c r="C5423" s="1" t="n">
        <v>45657</v>
      </c>
      <c r="D5423" t="inlineStr">
        <is>
          <t>VÄSTERNORRLANDS LÄN</t>
        </is>
      </c>
      <c r="E5423" t="inlineStr">
        <is>
          <t>SUNDSVALL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10994-2022</t>
        </is>
      </c>
      <c r="B5424" s="1" t="n">
        <v>44628</v>
      </c>
      <c r="C5424" s="1" t="n">
        <v>45657</v>
      </c>
      <c r="D5424" t="inlineStr">
        <is>
          <t>VÄSTERNORRLANDS LÄN</t>
        </is>
      </c>
      <c r="E5424" t="inlineStr">
        <is>
          <t>SUNDSVALL</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10986-2022</t>
        </is>
      </c>
      <c r="B5425" s="1" t="n">
        <v>44628</v>
      </c>
      <c r="C5425" s="1" t="n">
        <v>45657</v>
      </c>
      <c r="D5425" t="inlineStr">
        <is>
          <t>VÄSTERNORRLANDS LÄN</t>
        </is>
      </c>
      <c r="E5425" t="inlineStr">
        <is>
          <t>SUNDSVALL</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10988-2022</t>
        </is>
      </c>
      <c r="B5426" s="1" t="n">
        <v>44628</v>
      </c>
      <c r="C5426" s="1" t="n">
        <v>45657</v>
      </c>
      <c r="D5426" t="inlineStr">
        <is>
          <t>VÄSTERNORRLANDS LÄN</t>
        </is>
      </c>
      <c r="E5426" t="inlineStr">
        <is>
          <t>SUNDSVALL</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10993-2022</t>
        </is>
      </c>
      <c r="B5427" s="1" t="n">
        <v>44628</v>
      </c>
      <c r="C5427" s="1" t="n">
        <v>45657</v>
      </c>
      <c r="D5427" t="inlineStr">
        <is>
          <t>VÄSTERNORRLANDS LÄN</t>
        </is>
      </c>
      <c r="E5427" t="inlineStr">
        <is>
          <t>SUNDSVALL</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11038-2022</t>
        </is>
      </c>
      <c r="B5428" s="1" t="n">
        <v>44628</v>
      </c>
      <c r="C5428" s="1" t="n">
        <v>45657</v>
      </c>
      <c r="D5428" t="inlineStr">
        <is>
          <t>VÄSTERNORRLANDS LÄN</t>
        </is>
      </c>
      <c r="E5428" t="inlineStr">
        <is>
          <t>KRAMFORS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11098-2022</t>
        </is>
      </c>
      <c r="B5429" s="1" t="n">
        <v>44628</v>
      </c>
      <c r="C5429" s="1" t="n">
        <v>45657</v>
      </c>
      <c r="D5429" t="inlineStr">
        <is>
          <t>VÄSTERNORRLANDS LÄN</t>
        </is>
      </c>
      <c r="E5429" t="inlineStr">
        <is>
          <t>ÅNGE</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11117-2022</t>
        </is>
      </c>
      <c r="B5430" s="1" t="n">
        <v>44628</v>
      </c>
      <c r="C5430" s="1" t="n">
        <v>45657</v>
      </c>
      <c r="D5430" t="inlineStr">
        <is>
          <t>VÄSTERNORRLANDS LÄN</t>
        </is>
      </c>
      <c r="E5430" t="inlineStr">
        <is>
          <t>SOLLEFTEÅ</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11131-2022</t>
        </is>
      </c>
      <c r="B5431" s="1" t="n">
        <v>44628</v>
      </c>
      <c r="C5431" s="1" t="n">
        <v>45657</v>
      </c>
      <c r="D5431" t="inlineStr">
        <is>
          <t>VÄSTERNORRLANDS LÄN</t>
        </is>
      </c>
      <c r="E5431" t="inlineStr">
        <is>
          <t>SOLLEFTEÅ</t>
        </is>
      </c>
      <c r="F5431" t="inlineStr">
        <is>
          <t>SCA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11133-2022</t>
        </is>
      </c>
      <c r="B5432" s="1" t="n">
        <v>44628</v>
      </c>
      <c r="C5432" s="1" t="n">
        <v>45657</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11125-2022</t>
        </is>
      </c>
      <c r="B5433" s="1" t="n">
        <v>44628</v>
      </c>
      <c r="C5433" s="1" t="n">
        <v>45657</v>
      </c>
      <c r="D5433" t="inlineStr">
        <is>
          <t>VÄSTERNORRLANDS LÄN</t>
        </is>
      </c>
      <c r="E5433" t="inlineStr">
        <is>
          <t>SOLLEFTEÅ</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11241-2022</t>
        </is>
      </c>
      <c r="B5434" s="1" t="n">
        <v>44629</v>
      </c>
      <c r="C5434" s="1" t="n">
        <v>45657</v>
      </c>
      <c r="D5434" t="inlineStr">
        <is>
          <t>VÄSTERNORRLANDS LÄN</t>
        </is>
      </c>
      <c r="E5434" t="inlineStr">
        <is>
          <t>SOLLEFTEÅ</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11142-2022</t>
        </is>
      </c>
      <c r="B5435" s="1" t="n">
        <v>44629</v>
      </c>
      <c r="C5435" s="1" t="n">
        <v>45657</v>
      </c>
      <c r="D5435" t="inlineStr">
        <is>
          <t>VÄSTERNORRLANDS LÄN</t>
        </is>
      </c>
      <c r="E5435" t="inlineStr">
        <is>
          <t>ÖRNSKÖLDSVIK</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11269-2022</t>
        </is>
      </c>
      <c r="B5436" s="1" t="n">
        <v>44629</v>
      </c>
      <c r="C5436" s="1" t="n">
        <v>45657</v>
      </c>
      <c r="D5436" t="inlineStr">
        <is>
          <t>VÄSTERNORRLANDS LÄN</t>
        </is>
      </c>
      <c r="E5436" t="inlineStr">
        <is>
          <t>TIMRÅ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11291-2022</t>
        </is>
      </c>
      <c r="B5437" s="1" t="n">
        <v>44629</v>
      </c>
      <c r="C5437" s="1" t="n">
        <v>45657</v>
      </c>
      <c r="D5437" t="inlineStr">
        <is>
          <t>VÄSTERNORRLANDS LÄN</t>
        </is>
      </c>
      <c r="E5437" t="inlineStr">
        <is>
          <t>KRAMFORS</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11289-2022</t>
        </is>
      </c>
      <c r="B5438" s="1" t="n">
        <v>44629</v>
      </c>
      <c r="C5438" s="1" t="n">
        <v>45657</v>
      </c>
      <c r="D5438" t="inlineStr">
        <is>
          <t>VÄSTERNORRLANDS LÄN</t>
        </is>
      </c>
      <c r="E5438" t="inlineStr">
        <is>
          <t>KRAMFORS</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11293-2022</t>
        </is>
      </c>
      <c r="B5439" s="1" t="n">
        <v>44629</v>
      </c>
      <c r="C5439" s="1" t="n">
        <v>45657</v>
      </c>
      <c r="D5439" t="inlineStr">
        <is>
          <t>VÄSTERNORRLANDS LÄN</t>
        </is>
      </c>
      <c r="E5439" t="inlineStr">
        <is>
          <t>KRAMFORS</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11297-2022</t>
        </is>
      </c>
      <c r="B5440" s="1" t="n">
        <v>44629</v>
      </c>
      <c r="C5440" s="1" t="n">
        <v>45657</v>
      </c>
      <c r="D5440" t="inlineStr">
        <is>
          <t>VÄSTERNORRLANDS LÄN</t>
        </is>
      </c>
      <c r="E5440" t="inlineStr">
        <is>
          <t>KRAMFORS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11301-2022</t>
        </is>
      </c>
      <c r="B5441" s="1" t="n">
        <v>44629</v>
      </c>
      <c r="C5441" s="1" t="n">
        <v>45657</v>
      </c>
      <c r="D5441" t="inlineStr">
        <is>
          <t>VÄSTERNORRLANDS LÄN</t>
        </is>
      </c>
      <c r="E5441" t="inlineStr">
        <is>
          <t>KRAMFORS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11292-2022</t>
        </is>
      </c>
      <c r="B5442" s="1" t="n">
        <v>44629</v>
      </c>
      <c r="C5442" s="1" t="n">
        <v>45657</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11296-2022</t>
        </is>
      </c>
      <c r="B5443" s="1" t="n">
        <v>44629</v>
      </c>
      <c r="C5443" s="1" t="n">
        <v>45657</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11300-2022</t>
        </is>
      </c>
      <c r="B5444" s="1" t="n">
        <v>44629</v>
      </c>
      <c r="C5444" s="1" t="n">
        <v>45657</v>
      </c>
      <c r="D5444" t="inlineStr">
        <is>
          <t>VÄSTERNORRLANDS LÄN</t>
        </is>
      </c>
      <c r="E5444" t="inlineStr">
        <is>
          <t>KRAMFORS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11295-2022</t>
        </is>
      </c>
      <c r="B5445" s="1" t="n">
        <v>44629</v>
      </c>
      <c r="C5445" s="1" t="n">
        <v>45657</v>
      </c>
      <c r="D5445" t="inlineStr">
        <is>
          <t>VÄSTERNORRLANDS LÄN</t>
        </is>
      </c>
      <c r="E5445" t="inlineStr">
        <is>
          <t>KRAMFORS</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11299-2022</t>
        </is>
      </c>
      <c r="B5446" s="1" t="n">
        <v>44629</v>
      </c>
      <c r="C5446" s="1" t="n">
        <v>45657</v>
      </c>
      <c r="D5446" t="inlineStr">
        <is>
          <t>VÄSTERNORRLANDS LÄN</t>
        </is>
      </c>
      <c r="E5446" t="inlineStr">
        <is>
          <t>KRAMFORS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11306-2022</t>
        </is>
      </c>
      <c r="B5447" s="1" t="n">
        <v>44629</v>
      </c>
      <c r="C5447" s="1" t="n">
        <v>45657</v>
      </c>
      <c r="D5447" t="inlineStr">
        <is>
          <t>VÄSTERNORRLANDS LÄN</t>
        </is>
      </c>
      <c r="E5447" t="inlineStr">
        <is>
          <t>ÅNGE</t>
        </is>
      </c>
      <c r="F5447" t="inlineStr">
        <is>
          <t>SCA</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11290-2022</t>
        </is>
      </c>
      <c r="B5448" s="1" t="n">
        <v>44629</v>
      </c>
      <c r="C5448" s="1" t="n">
        <v>45657</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11294-2022</t>
        </is>
      </c>
      <c r="B5449" s="1" t="n">
        <v>44629</v>
      </c>
      <c r="C5449" s="1" t="n">
        <v>45657</v>
      </c>
      <c r="D5449" t="inlineStr">
        <is>
          <t>VÄSTERNORRLANDS LÄN</t>
        </is>
      </c>
      <c r="E5449" t="inlineStr">
        <is>
          <t>KRAMFORS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11298-2022</t>
        </is>
      </c>
      <c r="B5450" s="1" t="n">
        <v>44629</v>
      </c>
      <c r="C5450" s="1" t="n">
        <v>45657</v>
      </c>
      <c r="D5450" t="inlineStr">
        <is>
          <t>VÄSTERNORRLANDS LÄN</t>
        </is>
      </c>
      <c r="E5450" t="inlineStr">
        <is>
          <t>KRAMFORS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11318-2022</t>
        </is>
      </c>
      <c r="B5451" s="1" t="n">
        <v>44629</v>
      </c>
      <c r="C5451" s="1" t="n">
        <v>45657</v>
      </c>
      <c r="D5451" t="inlineStr">
        <is>
          <t>VÄSTERNORRLANDS LÄN</t>
        </is>
      </c>
      <c r="E5451" t="inlineStr">
        <is>
          <t>SOLLEFTEÅ</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11352-2022</t>
        </is>
      </c>
      <c r="B5452" s="1" t="n">
        <v>44630</v>
      </c>
      <c r="C5452" s="1" t="n">
        <v>45657</v>
      </c>
      <c r="D5452" t="inlineStr">
        <is>
          <t>VÄSTERNORRLANDS LÄN</t>
        </is>
      </c>
      <c r="E5452" t="inlineStr">
        <is>
          <t>SUNDSVALL</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11475-2022</t>
        </is>
      </c>
      <c r="B5453" s="1" t="n">
        <v>44630</v>
      </c>
      <c r="C5453" s="1" t="n">
        <v>45657</v>
      </c>
      <c r="D5453" t="inlineStr">
        <is>
          <t>VÄSTERNORRLANDS LÄN</t>
        </is>
      </c>
      <c r="E5453" t="inlineStr">
        <is>
          <t>SOLLEFTEÅ</t>
        </is>
      </c>
      <c r="G5453" t="n">
        <v>18.7</v>
      </c>
      <c r="H5453" t="n">
        <v>0</v>
      </c>
      <c r="I5453" t="n">
        <v>0</v>
      </c>
      <c r="J5453" t="n">
        <v>0</v>
      </c>
      <c r="K5453" t="n">
        <v>0</v>
      </c>
      <c r="L5453" t="n">
        <v>0</v>
      </c>
      <c r="M5453" t="n">
        <v>0</v>
      </c>
      <c r="N5453" t="n">
        <v>0</v>
      </c>
      <c r="O5453" t="n">
        <v>0</v>
      </c>
      <c r="P5453" t="n">
        <v>0</v>
      </c>
      <c r="Q5453" t="n">
        <v>0</v>
      </c>
      <c r="R5453" s="2" t="inlineStr"/>
    </row>
    <row r="5454" ht="15" customHeight="1">
      <c r="A5454" t="inlineStr">
        <is>
          <t>A 11484-2022</t>
        </is>
      </c>
      <c r="B5454" s="1" t="n">
        <v>44630</v>
      </c>
      <c r="C5454" s="1" t="n">
        <v>45657</v>
      </c>
      <c r="D5454" t="inlineStr">
        <is>
          <t>VÄSTERNORRLANDS LÄN</t>
        </is>
      </c>
      <c r="E5454" t="inlineStr">
        <is>
          <t>SOLLEFTEÅ</t>
        </is>
      </c>
      <c r="F5454" t="inlineStr">
        <is>
          <t>SCA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11479-2022</t>
        </is>
      </c>
      <c r="B5455" s="1" t="n">
        <v>44630</v>
      </c>
      <c r="C5455" s="1" t="n">
        <v>45657</v>
      </c>
      <c r="D5455" t="inlineStr">
        <is>
          <t>VÄSTERNORRLANDS LÄN</t>
        </is>
      </c>
      <c r="E5455" t="inlineStr">
        <is>
          <t>TIMRÅ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11474-2022</t>
        </is>
      </c>
      <c r="B5456" s="1" t="n">
        <v>44630</v>
      </c>
      <c r="C5456" s="1" t="n">
        <v>45657</v>
      </c>
      <c r="D5456" t="inlineStr">
        <is>
          <t>VÄSTERNORRLANDS LÄN</t>
        </is>
      </c>
      <c r="E5456" t="inlineStr">
        <is>
          <t>SOLLEFTEÅ</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11483-2022</t>
        </is>
      </c>
      <c r="B5457" s="1" t="n">
        <v>44630</v>
      </c>
      <c r="C5457" s="1" t="n">
        <v>45657</v>
      </c>
      <c r="D5457" t="inlineStr">
        <is>
          <t>VÄSTERNORRLANDS LÄN</t>
        </is>
      </c>
      <c r="E5457" t="inlineStr">
        <is>
          <t>SOLLEFTEÅ</t>
        </is>
      </c>
      <c r="F5457" t="inlineStr">
        <is>
          <t>SCA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11610-2022</t>
        </is>
      </c>
      <c r="B5458" s="1" t="n">
        <v>44631</v>
      </c>
      <c r="C5458" s="1" t="n">
        <v>45657</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11652-2022</t>
        </is>
      </c>
      <c r="B5459" s="1" t="n">
        <v>44631</v>
      </c>
      <c r="C5459" s="1" t="n">
        <v>45657</v>
      </c>
      <c r="D5459" t="inlineStr">
        <is>
          <t>VÄSTERNORRLANDS LÄN</t>
        </is>
      </c>
      <c r="E5459" t="inlineStr">
        <is>
          <t>SOLLEFTEÅ</t>
        </is>
      </c>
      <c r="F5459" t="inlineStr">
        <is>
          <t>SCA</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11656-2022</t>
        </is>
      </c>
      <c r="B5460" s="1" t="n">
        <v>44631</v>
      </c>
      <c r="C5460" s="1" t="n">
        <v>45657</v>
      </c>
      <c r="D5460" t="inlineStr">
        <is>
          <t>VÄSTERNORRLANDS LÄN</t>
        </is>
      </c>
      <c r="E5460" t="inlineStr">
        <is>
          <t>SOLLEFTEÅ</t>
        </is>
      </c>
      <c r="F5460" t="inlineStr">
        <is>
          <t>SCA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11653-2022</t>
        </is>
      </c>
      <c r="B5461" s="1" t="n">
        <v>44631</v>
      </c>
      <c r="C5461" s="1" t="n">
        <v>45657</v>
      </c>
      <c r="D5461" t="inlineStr">
        <is>
          <t>VÄSTERNORRLANDS LÄN</t>
        </is>
      </c>
      <c r="E5461" t="inlineStr">
        <is>
          <t>SOLLEFTEÅ</t>
        </is>
      </c>
      <c r="F5461" t="inlineStr">
        <is>
          <t>SCA</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11677-2022</t>
        </is>
      </c>
      <c r="B5462" s="1" t="n">
        <v>44633</v>
      </c>
      <c r="C5462" s="1" t="n">
        <v>45657</v>
      </c>
      <c r="D5462" t="inlineStr">
        <is>
          <t>VÄSTERNORRLANDS LÄN</t>
        </is>
      </c>
      <c r="E5462" t="inlineStr">
        <is>
          <t>SOLLEFTEÅ</t>
        </is>
      </c>
      <c r="F5462" t="inlineStr">
        <is>
          <t>SCA</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11842-2022</t>
        </is>
      </c>
      <c r="B5463" s="1" t="n">
        <v>44634</v>
      </c>
      <c r="C5463" s="1" t="n">
        <v>45657</v>
      </c>
      <c r="D5463" t="inlineStr">
        <is>
          <t>VÄSTERNORRLANDS LÄN</t>
        </is>
      </c>
      <c r="E5463" t="inlineStr">
        <is>
          <t>SOLLEFTEÅ</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11845-2022</t>
        </is>
      </c>
      <c r="B5464" s="1" t="n">
        <v>44634</v>
      </c>
      <c r="C5464" s="1" t="n">
        <v>45657</v>
      </c>
      <c r="D5464" t="inlineStr">
        <is>
          <t>VÄSTERNORRLANDS LÄN</t>
        </is>
      </c>
      <c r="E5464" t="inlineStr">
        <is>
          <t>SOLLEFTEÅ</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11860-2022</t>
        </is>
      </c>
      <c r="B5465" s="1" t="n">
        <v>44634</v>
      </c>
      <c r="C5465" s="1" t="n">
        <v>45657</v>
      </c>
      <c r="D5465" t="inlineStr">
        <is>
          <t>VÄSTERNORRLANDS LÄN</t>
        </is>
      </c>
      <c r="E5465" t="inlineStr">
        <is>
          <t>KRAMFORS</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11813-2022</t>
        </is>
      </c>
      <c r="B5466" s="1" t="n">
        <v>44634</v>
      </c>
      <c r="C5466" s="1" t="n">
        <v>45657</v>
      </c>
      <c r="D5466" t="inlineStr">
        <is>
          <t>VÄSTERNORRLANDS LÄN</t>
        </is>
      </c>
      <c r="E5466" t="inlineStr">
        <is>
          <t>SUNDSVALL</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11838-2022</t>
        </is>
      </c>
      <c r="B5467" s="1" t="n">
        <v>44634</v>
      </c>
      <c r="C5467" s="1" t="n">
        <v>45657</v>
      </c>
      <c r="D5467" t="inlineStr">
        <is>
          <t>VÄSTERNORRLANDS LÄN</t>
        </is>
      </c>
      <c r="E5467" t="inlineStr">
        <is>
          <t>KRAMFORS</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11846-2022</t>
        </is>
      </c>
      <c r="B5468" s="1" t="n">
        <v>44634</v>
      </c>
      <c r="C5468" s="1" t="n">
        <v>45657</v>
      </c>
      <c r="D5468" t="inlineStr">
        <is>
          <t>VÄSTERNORRLANDS LÄN</t>
        </is>
      </c>
      <c r="E5468" t="inlineStr">
        <is>
          <t>SOLLEFTEÅ</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11843-2022</t>
        </is>
      </c>
      <c r="B5469" s="1" t="n">
        <v>44634</v>
      </c>
      <c r="C5469" s="1" t="n">
        <v>45657</v>
      </c>
      <c r="D5469" t="inlineStr">
        <is>
          <t>VÄSTERNORRLANDS LÄN</t>
        </is>
      </c>
      <c r="E5469" t="inlineStr">
        <is>
          <t>ÅNGE</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11870-2022</t>
        </is>
      </c>
      <c r="B5470" s="1" t="n">
        <v>44635</v>
      </c>
      <c r="C5470" s="1" t="n">
        <v>45657</v>
      </c>
      <c r="D5470" t="inlineStr">
        <is>
          <t>VÄSTERNORRLANDS LÄN</t>
        </is>
      </c>
      <c r="E5470" t="inlineStr">
        <is>
          <t>SOLLEFTEÅ</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11932-2022</t>
        </is>
      </c>
      <c r="B5471" s="1" t="n">
        <v>44635</v>
      </c>
      <c r="C5471" s="1" t="n">
        <v>45657</v>
      </c>
      <c r="D5471" t="inlineStr">
        <is>
          <t>VÄSTERNORRLANDS LÄN</t>
        </is>
      </c>
      <c r="E5471" t="inlineStr">
        <is>
          <t>ÖRNSKÖLDSVIK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11976-2022</t>
        </is>
      </c>
      <c r="B5472" s="1" t="n">
        <v>44635</v>
      </c>
      <c r="C5472" s="1" t="n">
        <v>45657</v>
      </c>
      <c r="D5472" t="inlineStr">
        <is>
          <t>VÄSTERNORRLANDS LÄN</t>
        </is>
      </c>
      <c r="E5472" t="inlineStr">
        <is>
          <t>ÖRNSKÖLDSVIK</t>
        </is>
      </c>
      <c r="G5472" t="n">
        <v>11.9</v>
      </c>
      <c r="H5472" t="n">
        <v>0</v>
      </c>
      <c r="I5472" t="n">
        <v>0</v>
      </c>
      <c r="J5472" t="n">
        <v>0</v>
      </c>
      <c r="K5472" t="n">
        <v>0</v>
      </c>
      <c r="L5472" t="n">
        <v>0</v>
      </c>
      <c r="M5472" t="n">
        <v>0</v>
      </c>
      <c r="N5472" t="n">
        <v>0</v>
      </c>
      <c r="O5472" t="n">
        <v>0</v>
      </c>
      <c r="P5472" t="n">
        <v>0</v>
      </c>
      <c r="Q5472" t="n">
        <v>0</v>
      </c>
      <c r="R5472" s="2" t="inlineStr"/>
    </row>
    <row r="5473" ht="15" customHeight="1">
      <c r="A5473" t="inlineStr">
        <is>
          <t>A 11862-2022</t>
        </is>
      </c>
      <c r="B5473" s="1" t="n">
        <v>44635</v>
      </c>
      <c r="C5473" s="1" t="n">
        <v>45657</v>
      </c>
      <c r="D5473" t="inlineStr">
        <is>
          <t>VÄSTERNORRLANDS LÄN</t>
        </is>
      </c>
      <c r="E5473" t="inlineStr">
        <is>
          <t>SUNDSVALL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11984-2022</t>
        </is>
      </c>
      <c r="B5474" s="1" t="n">
        <v>44635</v>
      </c>
      <c r="C5474" s="1" t="n">
        <v>45657</v>
      </c>
      <c r="D5474" t="inlineStr">
        <is>
          <t>VÄSTERNORRLANDS LÄN</t>
        </is>
      </c>
      <c r="E5474" t="inlineStr">
        <is>
          <t>ÖRNSKÖLDSVIK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11865-2022</t>
        </is>
      </c>
      <c r="B5475" s="1" t="n">
        <v>44635</v>
      </c>
      <c r="C5475" s="1" t="n">
        <v>45657</v>
      </c>
      <c r="D5475" t="inlineStr">
        <is>
          <t>VÄSTERNORRLANDS LÄN</t>
        </is>
      </c>
      <c r="E5475" t="inlineStr">
        <is>
          <t>SUNDSVALL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11874-2022</t>
        </is>
      </c>
      <c r="B5476" s="1" t="n">
        <v>44635</v>
      </c>
      <c r="C5476" s="1" t="n">
        <v>45657</v>
      </c>
      <c r="D5476" t="inlineStr">
        <is>
          <t>VÄSTERNORRLANDS LÄN</t>
        </is>
      </c>
      <c r="E5476" t="inlineStr">
        <is>
          <t>SOLLEFTEÅ</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11974-2022</t>
        </is>
      </c>
      <c r="B5477" s="1" t="n">
        <v>44635</v>
      </c>
      <c r="C5477" s="1" t="n">
        <v>45657</v>
      </c>
      <c r="D5477" t="inlineStr">
        <is>
          <t>VÄSTERNORRLANDS LÄN</t>
        </is>
      </c>
      <c r="E5477" t="inlineStr">
        <is>
          <t>KRAMFORS</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12007-2022</t>
        </is>
      </c>
      <c r="B5478" s="1" t="n">
        <v>44635</v>
      </c>
      <c r="C5478" s="1" t="n">
        <v>45657</v>
      </c>
      <c r="D5478" t="inlineStr">
        <is>
          <t>VÄSTERNORRLANDS LÄN</t>
        </is>
      </c>
      <c r="E5478" t="inlineStr">
        <is>
          <t>SOLLEFTEÅ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12001-2022</t>
        </is>
      </c>
      <c r="B5479" s="1" t="n">
        <v>44635</v>
      </c>
      <c r="C5479" s="1" t="n">
        <v>45657</v>
      </c>
      <c r="D5479" t="inlineStr">
        <is>
          <t>VÄSTERNORRLANDS LÄN</t>
        </is>
      </c>
      <c r="E5479" t="inlineStr">
        <is>
          <t>SOLLEFTEÅ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12006-2022</t>
        </is>
      </c>
      <c r="B5480" s="1" t="n">
        <v>44635</v>
      </c>
      <c r="C5480" s="1" t="n">
        <v>45657</v>
      </c>
      <c r="D5480" t="inlineStr">
        <is>
          <t>VÄSTERNORRLANDS LÄN</t>
        </is>
      </c>
      <c r="E5480" t="inlineStr">
        <is>
          <t>SOLLEFTEÅ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12015-2022</t>
        </is>
      </c>
      <c r="B5481" s="1" t="n">
        <v>44635</v>
      </c>
      <c r="C5481" s="1" t="n">
        <v>45657</v>
      </c>
      <c r="D5481" t="inlineStr">
        <is>
          <t>VÄSTERNORRLANDS LÄN</t>
        </is>
      </c>
      <c r="E5481" t="inlineStr">
        <is>
          <t>SUNDSVALL</t>
        </is>
      </c>
      <c r="F5481" t="inlineStr">
        <is>
          <t>SCA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12021-2022</t>
        </is>
      </c>
      <c r="B5482" s="1" t="n">
        <v>44635</v>
      </c>
      <c r="C5482" s="1" t="n">
        <v>45657</v>
      </c>
      <c r="D5482" t="inlineStr">
        <is>
          <t>VÄSTERNORRLANDS LÄN</t>
        </is>
      </c>
      <c r="E5482" t="inlineStr">
        <is>
          <t>ÅNGE</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12022-2022</t>
        </is>
      </c>
      <c r="B5483" s="1" t="n">
        <v>44635</v>
      </c>
      <c r="C5483" s="1" t="n">
        <v>45657</v>
      </c>
      <c r="D5483" t="inlineStr">
        <is>
          <t>VÄSTERNORRLANDS LÄN</t>
        </is>
      </c>
      <c r="E5483" t="inlineStr">
        <is>
          <t>SOLLEFTEÅ</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12191-2022</t>
        </is>
      </c>
      <c r="B5484" s="1" t="n">
        <v>44636</v>
      </c>
      <c r="C5484" s="1" t="n">
        <v>45657</v>
      </c>
      <c r="D5484" t="inlineStr">
        <is>
          <t>VÄSTERNORRLANDS LÄN</t>
        </is>
      </c>
      <c r="E5484" t="inlineStr">
        <is>
          <t>SOLLEFTEÅ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12205-2022</t>
        </is>
      </c>
      <c r="B5485" s="1" t="n">
        <v>44636</v>
      </c>
      <c r="C5485" s="1" t="n">
        <v>45657</v>
      </c>
      <c r="D5485" t="inlineStr">
        <is>
          <t>VÄSTERNORRLANDS LÄN</t>
        </is>
      </c>
      <c r="E5485" t="inlineStr">
        <is>
          <t>TIMRÅ</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12177-2022</t>
        </is>
      </c>
      <c r="B5486" s="1" t="n">
        <v>44636</v>
      </c>
      <c r="C5486" s="1" t="n">
        <v>45657</v>
      </c>
      <c r="D5486" t="inlineStr">
        <is>
          <t>VÄSTERNORRLANDS LÄN</t>
        </is>
      </c>
      <c r="E5486" t="inlineStr">
        <is>
          <t>SUNDSVALL</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12201-2022</t>
        </is>
      </c>
      <c r="B5487" s="1" t="n">
        <v>44636</v>
      </c>
      <c r="C5487" s="1" t="n">
        <v>45657</v>
      </c>
      <c r="D5487" t="inlineStr">
        <is>
          <t>VÄSTERNORRLANDS LÄN</t>
        </is>
      </c>
      <c r="E5487" t="inlineStr">
        <is>
          <t>SOLLEFTEÅ</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12208-2022</t>
        </is>
      </c>
      <c r="B5488" s="1" t="n">
        <v>44636</v>
      </c>
      <c r="C5488" s="1" t="n">
        <v>45657</v>
      </c>
      <c r="D5488" t="inlineStr">
        <is>
          <t>VÄSTERNORRLANDS LÄN</t>
        </is>
      </c>
      <c r="E5488" t="inlineStr">
        <is>
          <t>SUNDSVALL</t>
        </is>
      </c>
      <c r="F5488" t="inlineStr">
        <is>
          <t>SCA</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12395-2022</t>
        </is>
      </c>
      <c r="B5489" s="1" t="n">
        <v>44637</v>
      </c>
      <c r="C5489" s="1" t="n">
        <v>45657</v>
      </c>
      <c r="D5489" t="inlineStr">
        <is>
          <t>VÄSTERNORRLANDS LÄN</t>
        </is>
      </c>
      <c r="E5489" t="inlineStr">
        <is>
          <t>SOLLEFTEÅ</t>
        </is>
      </c>
      <c r="F5489" t="inlineStr">
        <is>
          <t>SCA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12496-2022</t>
        </is>
      </c>
      <c r="B5490" s="1" t="n">
        <v>44638</v>
      </c>
      <c r="C5490" s="1" t="n">
        <v>45657</v>
      </c>
      <c r="D5490" t="inlineStr">
        <is>
          <t>VÄSTERNORRLANDS LÄN</t>
        </is>
      </c>
      <c r="E5490" t="inlineStr">
        <is>
          <t>SUNDSVALL</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12555-2022</t>
        </is>
      </c>
      <c r="B5491" s="1" t="n">
        <v>44638</v>
      </c>
      <c r="C5491" s="1" t="n">
        <v>45657</v>
      </c>
      <c r="D5491" t="inlineStr">
        <is>
          <t>VÄSTERNORRLANDS LÄN</t>
        </is>
      </c>
      <c r="E5491" t="inlineStr">
        <is>
          <t>KRAMFORS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12475-2022</t>
        </is>
      </c>
      <c r="B5492" s="1" t="n">
        <v>44638</v>
      </c>
      <c r="C5492" s="1" t="n">
        <v>45657</v>
      </c>
      <c r="D5492" t="inlineStr">
        <is>
          <t>VÄSTERNORRLANDS LÄN</t>
        </is>
      </c>
      <c r="E5492" t="inlineStr">
        <is>
          <t>ÖRNSKÖLDSVIK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12494-2022</t>
        </is>
      </c>
      <c r="B5493" s="1" t="n">
        <v>44638</v>
      </c>
      <c r="C5493" s="1" t="n">
        <v>45657</v>
      </c>
      <c r="D5493" t="inlineStr">
        <is>
          <t>VÄSTERNORRLANDS LÄN</t>
        </is>
      </c>
      <c r="E5493" t="inlineStr">
        <is>
          <t>SUNDSVALL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12539-2022</t>
        </is>
      </c>
      <c r="B5494" s="1" t="n">
        <v>44638</v>
      </c>
      <c r="C5494" s="1" t="n">
        <v>45657</v>
      </c>
      <c r="D5494" t="inlineStr">
        <is>
          <t>VÄSTERNORRLANDS LÄN</t>
        </is>
      </c>
      <c r="E5494" t="inlineStr">
        <is>
          <t>KRAMFORS</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12561-2022</t>
        </is>
      </c>
      <c r="B5495" s="1" t="n">
        <v>44638</v>
      </c>
      <c r="C5495" s="1" t="n">
        <v>45657</v>
      </c>
      <c r="D5495" t="inlineStr">
        <is>
          <t>VÄSTERNORRLANDS LÄN</t>
        </is>
      </c>
      <c r="E5495" t="inlineStr">
        <is>
          <t>SOLLEFTEÅ</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12565-2022</t>
        </is>
      </c>
      <c r="B5496" s="1" t="n">
        <v>44638</v>
      </c>
      <c r="C5496" s="1" t="n">
        <v>45657</v>
      </c>
      <c r="D5496" t="inlineStr">
        <is>
          <t>VÄSTERNORRLANDS LÄN</t>
        </is>
      </c>
      <c r="E5496" t="inlineStr">
        <is>
          <t>SOLLEFTEÅ</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12572-2022</t>
        </is>
      </c>
      <c r="B5497" s="1" t="n">
        <v>44638</v>
      </c>
      <c r="C5497" s="1" t="n">
        <v>45657</v>
      </c>
      <c r="D5497" t="inlineStr">
        <is>
          <t>VÄSTERNORRLANDS LÄN</t>
        </is>
      </c>
      <c r="E5497" t="inlineStr">
        <is>
          <t>SOLLEFTEÅ</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12564-2022</t>
        </is>
      </c>
      <c r="B5498" s="1" t="n">
        <v>44638</v>
      </c>
      <c r="C5498" s="1" t="n">
        <v>45657</v>
      </c>
      <c r="D5498" t="inlineStr">
        <is>
          <t>VÄSTERNORRLANDS LÄN</t>
        </is>
      </c>
      <c r="E5498" t="inlineStr">
        <is>
          <t>SOLLEFTEÅ</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12568-2022</t>
        </is>
      </c>
      <c r="B5499" s="1" t="n">
        <v>44638</v>
      </c>
      <c r="C5499" s="1" t="n">
        <v>45657</v>
      </c>
      <c r="D5499" t="inlineStr">
        <is>
          <t>VÄSTERNORRLANDS LÄN</t>
        </is>
      </c>
      <c r="E5499" t="inlineStr">
        <is>
          <t>SOLLEFTEÅ</t>
        </is>
      </c>
      <c r="F5499" t="inlineStr">
        <is>
          <t>SCA</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12557-2022</t>
        </is>
      </c>
      <c r="B5500" s="1" t="n">
        <v>44638</v>
      </c>
      <c r="C5500" s="1" t="n">
        <v>45657</v>
      </c>
      <c r="D5500" t="inlineStr">
        <is>
          <t>VÄSTERNORRLANDS LÄN</t>
        </is>
      </c>
      <c r="E5500" t="inlineStr">
        <is>
          <t>SOLLEFTEÅ</t>
        </is>
      </c>
      <c r="F5500" t="inlineStr">
        <is>
          <t>SCA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12563-2022</t>
        </is>
      </c>
      <c r="B5501" s="1" t="n">
        <v>44638</v>
      </c>
      <c r="C5501" s="1" t="n">
        <v>45657</v>
      </c>
      <c r="D5501" t="inlineStr">
        <is>
          <t>VÄSTERNORRLANDS LÄN</t>
        </is>
      </c>
      <c r="E5501" t="inlineStr">
        <is>
          <t>SOLLEFTEÅ</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12567-2022</t>
        </is>
      </c>
      <c r="B5502" s="1" t="n">
        <v>44638</v>
      </c>
      <c r="C5502" s="1" t="n">
        <v>45657</v>
      </c>
      <c r="D5502" t="inlineStr">
        <is>
          <t>VÄSTERNORRLANDS LÄN</t>
        </is>
      </c>
      <c r="E5502" t="inlineStr">
        <is>
          <t>SOLLEFTEÅ</t>
        </is>
      </c>
      <c r="F5502" t="inlineStr">
        <is>
          <t>SCA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12562-2022</t>
        </is>
      </c>
      <c r="B5503" s="1" t="n">
        <v>44638</v>
      </c>
      <c r="C5503" s="1" t="n">
        <v>45657</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12566-2022</t>
        </is>
      </c>
      <c r="B5504" s="1" t="n">
        <v>44638</v>
      </c>
      <c r="C5504" s="1" t="n">
        <v>45657</v>
      </c>
      <c r="D5504" t="inlineStr">
        <is>
          <t>VÄSTERNORRLANDS LÄN</t>
        </is>
      </c>
      <c r="E5504" t="inlineStr">
        <is>
          <t>SOLLEFTEÅ</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12750-2022</t>
        </is>
      </c>
      <c r="B5505" s="1" t="n">
        <v>44641</v>
      </c>
      <c r="C5505" s="1" t="n">
        <v>45657</v>
      </c>
      <c r="D5505" t="inlineStr">
        <is>
          <t>VÄSTERNORRLANDS LÄN</t>
        </is>
      </c>
      <c r="E5505" t="inlineStr">
        <is>
          <t>HÄRNÖSAND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12758-2022</t>
        </is>
      </c>
      <c r="B5506" s="1" t="n">
        <v>44641</v>
      </c>
      <c r="C5506" s="1" t="n">
        <v>45657</v>
      </c>
      <c r="D5506" t="inlineStr">
        <is>
          <t>VÄSTERNORRLANDS LÄN</t>
        </is>
      </c>
      <c r="E5506" t="inlineStr">
        <is>
          <t>SOLLEFTEÅ</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12764-2022</t>
        </is>
      </c>
      <c r="B5507" s="1" t="n">
        <v>44641</v>
      </c>
      <c r="C5507" s="1" t="n">
        <v>45657</v>
      </c>
      <c r="D5507" t="inlineStr">
        <is>
          <t>VÄSTERNORRLANDS LÄN</t>
        </is>
      </c>
      <c r="E5507" t="inlineStr">
        <is>
          <t>SOLLEFTEÅ</t>
        </is>
      </c>
      <c r="F5507" t="inlineStr">
        <is>
          <t>SCA</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12774-2022</t>
        </is>
      </c>
      <c r="B5508" s="1" t="n">
        <v>44641</v>
      </c>
      <c r="C5508" s="1" t="n">
        <v>45657</v>
      </c>
      <c r="D5508" t="inlineStr">
        <is>
          <t>VÄSTERNORRLANDS LÄN</t>
        </is>
      </c>
      <c r="E5508" t="inlineStr">
        <is>
          <t>SOLLEFTEÅ</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12751-2022</t>
        </is>
      </c>
      <c r="B5509" s="1" t="n">
        <v>44641</v>
      </c>
      <c r="C5509" s="1" t="n">
        <v>45657</v>
      </c>
      <c r="D5509" t="inlineStr">
        <is>
          <t>VÄSTERNORRLANDS LÄN</t>
        </is>
      </c>
      <c r="E5509" t="inlineStr">
        <is>
          <t>SUNDSVALL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12782-2022</t>
        </is>
      </c>
      <c r="B5510" s="1" t="n">
        <v>44641</v>
      </c>
      <c r="C5510" s="1" t="n">
        <v>45657</v>
      </c>
      <c r="D5510" t="inlineStr">
        <is>
          <t>VÄSTERNORRLANDS LÄN</t>
        </is>
      </c>
      <c r="E5510" t="inlineStr">
        <is>
          <t>TIMRÅ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12780-2022</t>
        </is>
      </c>
      <c r="B5511" s="1" t="n">
        <v>44641</v>
      </c>
      <c r="C5511" s="1" t="n">
        <v>45657</v>
      </c>
      <c r="D5511" t="inlineStr">
        <is>
          <t>VÄSTERNORRLANDS LÄN</t>
        </is>
      </c>
      <c r="E5511" t="inlineStr">
        <is>
          <t>TIMRÅ</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12797-2022</t>
        </is>
      </c>
      <c r="B5512" s="1" t="n">
        <v>44641</v>
      </c>
      <c r="C5512" s="1" t="n">
        <v>45657</v>
      </c>
      <c r="D5512" t="inlineStr">
        <is>
          <t>VÄSTERNORRLANDS LÄN</t>
        </is>
      </c>
      <c r="E5512" t="inlineStr">
        <is>
          <t>ÅNGE</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12621-2022</t>
        </is>
      </c>
      <c r="B5513" s="1" t="n">
        <v>44641</v>
      </c>
      <c r="C5513" s="1" t="n">
        <v>45657</v>
      </c>
      <c r="D5513" t="inlineStr">
        <is>
          <t>VÄSTERNORRLANDS LÄN</t>
        </is>
      </c>
      <c r="E5513" t="inlineStr">
        <is>
          <t>ÖRNSKÖLDSVIK</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12779-2022</t>
        </is>
      </c>
      <c r="B5514" s="1" t="n">
        <v>44641</v>
      </c>
      <c r="C5514" s="1" t="n">
        <v>45657</v>
      </c>
      <c r="D5514" t="inlineStr">
        <is>
          <t>VÄSTERNORRLANDS LÄN</t>
        </is>
      </c>
      <c r="E5514" t="inlineStr">
        <is>
          <t>TIMRÅ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12882-2022</t>
        </is>
      </c>
      <c r="B5515" s="1" t="n">
        <v>44642</v>
      </c>
      <c r="C5515" s="1" t="n">
        <v>45657</v>
      </c>
      <c r="D5515" t="inlineStr">
        <is>
          <t>VÄSTERNORRLANDS LÄN</t>
        </is>
      </c>
      <c r="E5515" t="inlineStr">
        <is>
          <t>TIMRÅ</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12880-2022</t>
        </is>
      </c>
      <c r="B5516" s="1" t="n">
        <v>44642</v>
      </c>
      <c r="C5516" s="1" t="n">
        <v>45657</v>
      </c>
      <c r="D5516" t="inlineStr">
        <is>
          <t>VÄSTERNORRLANDS LÄN</t>
        </is>
      </c>
      <c r="E5516" t="inlineStr">
        <is>
          <t>TIMRÅ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12885-2022</t>
        </is>
      </c>
      <c r="B5517" s="1" t="n">
        <v>44642</v>
      </c>
      <c r="C5517" s="1" t="n">
        <v>45657</v>
      </c>
      <c r="D5517" t="inlineStr">
        <is>
          <t>VÄSTERNORRLANDS LÄN</t>
        </is>
      </c>
      <c r="E5517" t="inlineStr">
        <is>
          <t>TIMRÅ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12948-2022</t>
        </is>
      </c>
      <c r="B5518" s="1" t="n">
        <v>44642</v>
      </c>
      <c r="C5518" s="1" t="n">
        <v>45657</v>
      </c>
      <c r="D5518" t="inlineStr">
        <is>
          <t>VÄSTERNORRLANDS LÄN</t>
        </is>
      </c>
      <c r="E5518" t="inlineStr">
        <is>
          <t>ÅNGE</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12903-2022</t>
        </is>
      </c>
      <c r="B5519" s="1" t="n">
        <v>44642</v>
      </c>
      <c r="C5519" s="1" t="n">
        <v>45657</v>
      </c>
      <c r="D5519" t="inlineStr">
        <is>
          <t>VÄSTERNORRLANDS LÄN</t>
        </is>
      </c>
      <c r="E5519" t="inlineStr">
        <is>
          <t>ÖRNSKÖLDSVIK</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12952-2022</t>
        </is>
      </c>
      <c r="B5520" s="1" t="n">
        <v>44642</v>
      </c>
      <c r="C5520" s="1" t="n">
        <v>45657</v>
      </c>
      <c r="D5520" t="inlineStr">
        <is>
          <t>VÄSTERNORRLANDS LÄN</t>
        </is>
      </c>
      <c r="E5520" t="inlineStr">
        <is>
          <t>HÄRNÖSAND</t>
        </is>
      </c>
      <c r="F5520" t="inlineStr">
        <is>
          <t>SCA</t>
        </is>
      </c>
      <c r="G5520" t="n">
        <v>11.3</v>
      </c>
      <c r="H5520" t="n">
        <v>0</v>
      </c>
      <c r="I5520" t="n">
        <v>0</v>
      </c>
      <c r="J5520" t="n">
        <v>0</v>
      </c>
      <c r="K5520" t="n">
        <v>0</v>
      </c>
      <c r="L5520" t="n">
        <v>0</v>
      </c>
      <c r="M5520" t="n">
        <v>0</v>
      </c>
      <c r="N5520" t="n">
        <v>0</v>
      </c>
      <c r="O5520" t="n">
        <v>0</v>
      </c>
      <c r="P5520" t="n">
        <v>0</v>
      </c>
      <c r="Q5520" t="n">
        <v>0</v>
      </c>
      <c r="R5520" s="2" t="inlineStr"/>
    </row>
    <row r="5521" ht="15" customHeight="1">
      <c r="A5521" t="inlineStr">
        <is>
          <t>A 12960-2022</t>
        </is>
      </c>
      <c r="B5521" s="1" t="n">
        <v>44642</v>
      </c>
      <c r="C5521" s="1" t="n">
        <v>45657</v>
      </c>
      <c r="D5521" t="inlineStr">
        <is>
          <t>VÄSTERNORRLANDS LÄN</t>
        </is>
      </c>
      <c r="E5521" t="inlineStr">
        <is>
          <t>ÖRNSKÖLDSVIK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13164-2022</t>
        </is>
      </c>
      <c r="B5522" s="1" t="n">
        <v>44644</v>
      </c>
      <c r="C5522" s="1" t="n">
        <v>45657</v>
      </c>
      <c r="D5522" t="inlineStr">
        <is>
          <t>VÄSTERNORRLANDS LÄN</t>
        </is>
      </c>
      <c r="E5522" t="inlineStr">
        <is>
          <t>ÅNGE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13291-2022</t>
        </is>
      </c>
      <c r="B5523" s="1" t="n">
        <v>44644</v>
      </c>
      <c r="C5523" s="1" t="n">
        <v>45657</v>
      </c>
      <c r="D5523" t="inlineStr">
        <is>
          <t>VÄSTERNORRLANDS LÄN</t>
        </is>
      </c>
      <c r="E5523" t="inlineStr">
        <is>
          <t>SUNDSVALL</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13260-2022</t>
        </is>
      </c>
      <c r="B5524" s="1" t="n">
        <v>44644</v>
      </c>
      <c r="C5524" s="1" t="n">
        <v>45657</v>
      </c>
      <c r="D5524" t="inlineStr">
        <is>
          <t>VÄSTERNORRLANDS LÄN</t>
        </is>
      </c>
      <c r="E5524" t="inlineStr">
        <is>
          <t>SUNDSVALL</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13294-2022</t>
        </is>
      </c>
      <c r="B5525" s="1" t="n">
        <v>44644</v>
      </c>
      <c r="C5525" s="1" t="n">
        <v>45657</v>
      </c>
      <c r="D5525" t="inlineStr">
        <is>
          <t>VÄSTERNORRLANDS LÄN</t>
        </is>
      </c>
      <c r="E5525" t="inlineStr">
        <is>
          <t>KRAMFORS</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13293-2022</t>
        </is>
      </c>
      <c r="B5526" s="1" t="n">
        <v>44644</v>
      </c>
      <c r="C5526" s="1" t="n">
        <v>45657</v>
      </c>
      <c r="D5526" t="inlineStr">
        <is>
          <t>VÄSTERNORRLANDS LÄN</t>
        </is>
      </c>
      <c r="E5526" t="inlineStr">
        <is>
          <t>SUNDSVALL</t>
        </is>
      </c>
      <c r="G5526" t="n">
        <v>18.5</v>
      </c>
      <c r="H5526" t="n">
        <v>0</v>
      </c>
      <c r="I5526" t="n">
        <v>0</v>
      </c>
      <c r="J5526" t="n">
        <v>0</v>
      </c>
      <c r="K5526" t="n">
        <v>0</v>
      </c>
      <c r="L5526" t="n">
        <v>0</v>
      </c>
      <c r="M5526" t="n">
        <v>0</v>
      </c>
      <c r="N5526" t="n">
        <v>0</v>
      </c>
      <c r="O5526" t="n">
        <v>0</v>
      </c>
      <c r="P5526" t="n">
        <v>0</v>
      </c>
      <c r="Q5526" t="n">
        <v>0</v>
      </c>
      <c r="R5526" s="2" t="inlineStr"/>
    </row>
    <row r="5527" ht="15" customHeight="1">
      <c r="A5527" t="inlineStr">
        <is>
          <t>A 13300-2022</t>
        </is>
      </c>
      <c r="B5527" s="1" t="n">
        <v>44644</v>
      </c>
      <c r="C5527" s="1" t="n">
        <v>45657</v>
      </c>
      <c r="D5527" t="inlineStr">
        <is>
          <t>VÄSTERNORRLANDS LÄN</t>
        </is>
      </c>
      <c r="E5527" t="inlineStr">
        <is>
          <t>SOLLEFTEÅ</t>
        </is>
      </c>
      <c r="F5527" t="inlineStr">
        <is>
          <t>SCA</t>
        </is>
      </c>
      <c r="G5527" t="n">
        <v>9.9</v>
      </c>
      <c r="H5527" t="n">
        <v>0</v>
      </c>
      <c r="I5527" t="n">
        <v>0</v>
      </c>
      <c r="J5527" t="n">
        <v>0</v>
      </c>
      <c r="K5527" t="n">
        <v>0</v>
      </c>
      <c r="L5527" t="n">
        <v>0</v>
      </c>
      <c r="M5527" t="n">
        <v>0</v>
      </c>
      <c r="N5527" t="n">
        <v>0</v>
      </c>
      <c r="O5527" t="n">
        <v>0</v>
      </c>
      <c r="P5527" t="n">
        <v>0</v>
      </c>
      <c r="Q5527" t="n">
        <v>0</v>
      </c>
      <c r="R5527" s="2" t="inlineStr"/>
    </row>
    <row r="5528" ht="15" customHeight="1">
      <c r="A5528" t="inlineStr">
        <is>
          <t>A 13311-2022</t>
        </is>
      </c>
      <c r="B5528" s="1" t="n">
        <v>44644</v>
      </c>
      <c r="C5528" s="1" t="n">
        <v>45657</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13309-2022</t>
        </is>
      </c>
      <c r="B5529" s="1" t="n">
        <v>44644</v>
      </c>
      <c r="C5529" s="1" t="n">
        <v>45657</v>
      </c>
      <c r="D5529" t="inlineStr">
        <is>
          <t>VÄSTERNORRLANDS LÄN</t>
        </is>
      </c>
      <c r="E5529" t="inlineStr">
        <is>
          <t>SOLLEFTEÅ</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13461-2022</t>
        </is>
      </c>
      <c r="B5530" s="1" t="n">
        <v>44645</v>
      </c>
      <c r="C5530" s="1" t="n">
        <v>45657</v>
      </c>
      <c r="D5530" t="inlineStr">
        <is>
          <t>VÄSTERNORRLANDS LÄN</t>
        </is>
      </c>
      <c r="E5530" t="inlineStr">
        <is>
          <t>SUNDSVALL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13480-2022</t>
        </is>
      </c>
      <c r="B5531" s="1" t="n">
        <v>44645</v>
      </c>
      <c r="C5531" s="1" t="n">
        <v>45657</v>
      </c>
      <c r="D5531" t="inlineStr">
        <is>
          <t>VÄSTERNORRLANDS LÄN</t>
        </is>
      </c>
      <c r="E5531" t="inlineStr">
        <is>
          <t>KRAMFORS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13492-2022</t>
        </is>
      </c>
      <c r="B5532" s="1" t="n">
        <v>44646</v>
      </c>
      <c r="C5532" s="1" t="n">
        <v>45657</v>
      </c>
      <c r="D5532" t="inlineStr">
        <is>
          <t>VÄSTERNORRLANDS LÄN</t>
        </is>
      </c>
      <c r="E5532" t="inlineStr">
        <is>
          <t>SOLLEFTEÅ</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13598-2022</t>
        </is>
      </c>
      <c r="B5533" s="1" t="n">
        <v>44648</v>
      </c>
      <c r="C5533" s="1" t="n">
        <v>45657</v>
      </c>
      <c r="D5533" t="inlineStr">
        <is>
          <t>VÄSTERNORRLANDS LÄN</t>
        </is>
      </c>
      <c r="E5533" t="inlineStr">
        <is>
          <t>SOLLEFTEÅ</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13628-2022</t>
        </is>
      </c>
      <c r="B5534" s="1" t="n">
        <v>44648</v>
      </c>
      <c r="C5534" s="1" t="n">
        <v>45657</v>
      </c>
      <c r="D5534" t="inlineStr">
        <is>
          <t>VÄSTERNORRLANDS LÄN</t>
        </is>
      </c>
      <c r="E5534" t="inlineStr">
        <is>
          <t>ÅNGE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13648-2022</t>
        </is>
      </c>
      <c r="B5535" s="1" t="n">
        <v>44648</v>
      </c>
      <c r="C5535" s="1" t="n">
        <v>45657</v>
      </c>
      <c r="D5535" t="inlineStr">
        <is>
          <t>VÄSTERNORRLANDS LÄN</t>
        </is>
      </c>
      <c r="E5535" t="inlineStr">
        <is>
          <t>ÅNGE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13641-2022</t>
        </is>
      </c>
      <c r="B5536" s="1" t="n">
        <v>44648</v>
      </c>
      <c r="C5536" s="1" t="n">
        <v>45657</v>
      </c>
      <c r="D5536" t="inlineStr">
        <is>
          <t>VÄSTERNORRLANDS LÄN</t>
        </is>
      </c>
      <c r="E5536" t="inlineStr">
        <is>
          <t>ÅNGE</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13680-2022</t>
        </is>
      </c>
      <c r="B5537" s="1" t="n">
        <v>44648</v>
      </c>
      <c r="C5537" s="1" t="n">
        <v>45657</v>
      </c>
      <c r="D5537" t="inlineStr">
        <is>
          <t>VÄSTERNORRLANDS LÄN</t>
        </is>
      </c>
      <c r="E5537" t="inlineStr">
        <is>
          <t>ÅNGE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13710-2022</t>
        </is>
      </c>
      <c r="B5538" s="1" t="n">
        <v>44649</v>
      </c>
      <c r="C5538" s="1" t="n">
        <v>45657</v>
      </c>
      <c r="D5538" t="inlineStr">
        <is>
          <t>VÄSTERNORRLANDS LÄN</t>
        </is>
      </c>
      <c r="E5538" t="inlineStr">
        <is>
          <t>SOLLEFTEÅ</t>
        </is>
      </c>
      <c r="F5538" t="inlineStr">
        <is>
          <t>SCA</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13787-2022</t>
        </is>
      </c>
      <c r="B5539" s="1" t="n">
        <v>44649</v>
      </c>
      <c r="C5539" s="1" t="n">
        <v>45657</v>
      </c>
      <c r="D5539" t="inlineStr">
        <is>
          <t>VÄSTERNORRLANDS LÄN</t>
        </is>
      </c>
      <c r="E5539" t="inlineStr">
        <is>
          <t>ÖRNSKÖLDSVIK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13872-2022</t>
        </is>
      </c>
      <c r="B5540" s="1" t="n">
        <v>44650</v>
      </c>
      <c r="C5540" s="1" t="n">
        <v>45657</v>
      </c>
      <c r="D5540" t="inlineStr">
        <is>
          <t>VÄSTERNORRLANDS LÄN</t>
        </is>
      </c>
      <c r="E5540" t="inlineStr">
        <is>
          <t>ÅNGE</t>
        </is>
      </c>
      <c r="G5540" t="n">
        <v>10.3</v>
      </c>
      <c r="H5540" t="n">
        <v>0</v>
      </c>
      <c r="I5540" t="n">
        <v>0</v>
      </c>
      <c r="J5540" t="n">
        <v>0</v>
      </c>
      <c r="K5540" t="n">
        <v>0</v>
      </c>
      <c r="L5540" t="n">
        <v>0</v>
      </c>
      <c r="M5540" t="n">
        <v>0</v>
      </c>
      <c r="N5540" t="n">
        <v>0</v>
      </c>
      <c r="O5540" t="n">
        <v>0</v>
      </c>
      <c r="P5540" t="n">
        <v>0</v>
      </c>
      <c r="Q5540" t="n">
        <v>0</v>
      </c>
      <c r="R5540" s="2" t="inlineStr"/>
    </row>
    <row r="5541" ht="15" customHeight="1">
      <c r="A5541" t="inlineStr">
        <is>
          <t>A 13887-2022</t>
        </is>
      </c>
      <c r="B5541" s="1" t="n">
        <v>44649</v>
      </c>
      <c r="C5541" s="1" t="n">
        <v>45657</v>
      </c>
      <c r="D5541" t="inlineStr">
        <is>
          <t>VÄSTERNORRLANDS LÄN</t>
        </is>
      </c>
      <c r="E5541" t="inlineStr">
        <is>
          <t>ÖRNSKÖLDSVIK</t>
        </is>
      </c>
      <c r="G5541" t="n">
        <v>20</v>
      </c>
      <c r="H5541" t="n">
        <v>0</v>
      </c>
      <c r="I5541" t="n">
        <v>0</v>
      </c>
      <c r="J5541" t="n">
        <v>0</v>
      </c>
      <c r="K5541" t="n">
        <v>0</v>
      </c>
      <c r="L5541" t="n">
        <v>0</v>
      </c>
      <c r="M5541" t="n">
        <v>0</v>
      </c>
      <c r="N5541" t="n">
        <v>0</v>
      </c>
      <c r="O5541" t="n">
        <v>0</v>
      </c>
      <c r="P5541" t="n">
        <v>0</v>
      </c>
      <c r="Q5541" t="n">
        <v>0</v>
      </c>
      <c r="R5541" s="2" t="inlineStr"/>
    </row>
    <row r="5542" ht="15" customHeight="1">
      <c r="A5542" t="inlineStr">
        <is>
          <t>A 13874-2022</t>
        </is>
      </c>
      <c r="B5542" s="1" t="n">
        <v>44649</v>
      </c>
      <c r="C5542" s="1" t="n">
        <v>45657</v>
      </c>
      <c r="D5542" t="inlineStr">
        <is>
          <t>VÄSTERNORRLANDS LÄN</t>
        </is>
      </c>
      <c r="E5542" t="inlineStr">
        <is>
          <t>ÅNGE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13875-2022</t>
        </is>
      </c>
      <c r="B5543" s="1" t="n">
        <v>44649</v>
      </c>
      <c r="C5543" s="1" t="n">
        <v>45657</v>
      </c>
      <c r="D5543" t="inlineStr">
        <is>
          <t>VÄSTERNORRLANDS LÄN</t>
        </is>
      </c>
      <c r="E5543" t="inlineStr">
        <is>
          <t>ÅNGE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14014-2022</t>
        </is>
      </c>
      <c r="B5544" s="1" t="n">
        <v>44650</v>
      </c>
      <c r="C5544" s="1" t="n">
        <v>45657</v>
      </c>
      <c r="D5544" t="inlineStr">
        <is>
          <t>VÄSTERNORRLANDS LÄN</t>
        </is>
      </c>
      <c r="E5544" t="inlineStr">
        <is>
          <t>SUNDSVALL</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14061-2022</t>
        </is>
      </c>
      <c r="B5545" s="1" t="n">
        <v>44651</v>
      </c>
      <c r="C5545" s="1" t="n">
        <v>45657</v>
      </c>
      <c r="D5545" t="inlineStr">
        <is>
          <t>VÄSTERNORRLANDS LÄN</t>
        </is>
      </c>
      <c r="E5545" t="inlineStr">
        <is>
          <t>SOLLEFTEÅ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14066-2022</t>
        </is>
      </c>
      <c r="B5546" s="1" t="n">
        <v>44650</v>
      </c>
      <c r="C5546" s="1" t="n">
        <v>45657</v>
      </c>
      <c r="D5546" t="inlineStr">
        <is>
          <t>VÄSTERNORRLANDS LÄN</t>
        </is>
      </c>
      <c r="E5546" t="inlineStr">
        <is>
          <t>SOLLEFTEÅ</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14058-2022</t>
        </is>
      </c>
      <c r="B5547" s="1" t="n">
        <v>44651</v>
      </c>
      <c r="C5547" s="1" t="n">
        <v>45657</v>
      </c>
      <c r="D5547" t="inlineStr">
        <is>
          <t>VÄSTERNORRLANDS LÄN</t>
        </is>
      </c>
      <c r="E5547" t="inlineStr">
        <is>
          <t>SOLLEFTEÅ</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14063-2022</t>
        </is>
      </c>
      <c r="B5548" s="1" t="n">
        <v>44651</v>
      </c>
      <c r="C5548" s="1" t="n">
        <v>45657</v>
      </c>
      <c r="D5548" t="inlineStr">
        <is>
          <t>VÄSTERNORRLANDS LÄN</t>
        </is>
      </c>
      <c r="E5548" t="inlineStr">
        <is>
          <t>SOLLEFTEÅ</t>
        </is>
      </c>
      <c r="F5548" t="inlineStr">
        <is>
          <t>SCA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14040-2022</t>
        </is>
      </c>
      <c r="B5549" s="1" t="n">
        <v>44651</v>
      </c>
      <c r="C5549" s="1" t="n">
        <v>45657</v>
      </c>
      <c r="D5549" t="inlineStr">
        <is>
          <t>VÄSTERNORRLANDS LÄN</t>
        </is>
      </c>
      <c r="E5549" t="inlineStr">
        <is>
          <t>SUNDSVALL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14055-2022</t>
        </is>
      </c>
      <c r="B5550" s="1" t="n">
        <v>44651</v>
      </c>
      <c r="C5550" s="1" t="n">
        <v>45657</v>
      </c>
      <c r="D5550" t="inlineStr">
        <is>
          <t>VÄSTERNORRLANDS LÄN</t>
        </is>
      </c>
      <c r="E5550" t="inlineStr">
        <is>
          <t>SOLLEFTEÅ</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14060-2022</t>
        </is>
      </c>
      <c r="B5551" s="1" t="n">
        <v>44651</v>
      </c>
      <c r="C5551" s="1" t="n">
        <v>45657</v>
      </c>
      <c r="D5551" t="inlineStr">
        <is>
          <t>VÄSTERNORRLANDS LÄN</t>
        </is>
      </c>
      <c r="E5551" t="inlineStr">
        <is>
          <t>SOLLEFTEÅ</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14065-2022</t>
        </is>
      </c>
      <c r="B5552" s="1" t="n">
        <v>44650</v>
      </c>
      <c r="C5552" s="1" t="n">
        <v>45657</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14059-2022</t>
        </is>
      </c>
      <c r="B5553" s="1" t="n">
        <v>44651</v>
      </c>
      <c r="C5553" s="1" t="n">
        <v>45657</v>
      </c>
      <c r="D5553" t="inlineStr">
        <is>
          <t>VÄSTERNORRLANDS LÄN</t>
        </is>
      </c>
      <c r="E5553" t="inlineStr">
        <is>
          <t>SOLLEFTEÅ</t>
        </is>
      </c>
      <c r="F5553" t="inlineStr">
        <is>
          <t>SCA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14064-2022</t>
        </is>
      </c>
      <c r="B5554" s="1" t="n">
        <v>44651</v>
      </c>
      <c r="C5554" s="1" t="n">
        <v>45657</v>
      </c>
      <c r="D5554" t="inlineStr">
        <is>
          <t>VÄSTERNORRLANDS LÄN</t>
        </is>
      </c>
      <c r="E5554" t="inlineStr">
        <is>
          <t>SOLLEFTEÅ</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14091-2022</t>
        </is>
      </c>
      <c r="B5555" s="1" t="n">
        <v>44651</v>
      </c>
      <c r="C5555" s="1" t="n">
        <v>45657</v>
      </c>
      <c r="D5555" t="inlineStr">
        <is>
          <t>VÄSTERNORRLANDS LÄN</t>
        </is>
      </c>
      <c r="E5555" t="inlineStr">
        <is>
          <t>ÅNGE</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14097-2022</t>
        </is>
      </c>
      <c r="B5556" s="1" t="n">
        <v>44651</v>
      </c>
      <c r="C5556" s="1" t="n">
        <v>45657</v>
      </c>
      <c r="D5556" t="inlineStr">
        <is>
          <t>VÄSTERNORRLANDS LÄN</t>
        </is>
      </c>
      <c r="E5556" t="inlineStr">
        <is>
          <t>ÅNGE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14084-2022</t>
        </is>
      </c>
      <c r="B5557" s="1" t="n">
        <v>44651</v>
      </c>
      <c r="C5557" s="1" t="n">
        <v>45657</v>
      </c>
      <c r="D5557" t="inlineStr">
        <is>
          <t>VÄSTERNORRLANDS LÄN</t>
        </is>
      </c>
      <c r="E5557" t="inlineStr">
        <is>
          <t>ÅNGE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14276-2022</t>
        </is>
      </c>
      <c r="B5558" s="1" t="n">
        <v>44652</v>
      </c>
      <c r="C5558" s="1" t="n">
        <v>45657</v>
      </c>
      <c r="D5558" t="inlineStr">
        <is>
          <t>VÄSTERNORRLANDS LÄN</t>
        </is>
      </c>
      <c r="E5558" t="inlineStr">
        <is>
          <t>SOLLEFTEÅ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14297-2022</t>
        </is>
      </c>
      <c r="B5559" s="1" t="n">
        <v>44651</v>
      </c>
      <c r="C5559" s="1" t="n">
        <v>45657</v>
      </c>
      <c r="D5559" t="inlineStr">
        <is>
          <t>VÄSTERNORRLANDS LÄN</t>
        </is>
      </c>
      <c r="E5559" t="inlineStr">
        <is>
          <t>SOLLEFTEÅ</t>
        </is>
      </c>
      <c r="F5559" t="inlineStr">
        <is>
          <t>SCA</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14300-2022</t>
        </is>
      </c>
      <c r="B5560" s="1" t="n">
        <v>44652</v>
      </c>
      <c r="C5560" s="1" t="n">
        <v>45657</v>
      </c>
      <c r="D5560" t="inlineStr">
        <is>
          <t>VÄSTERNORRLANDS LÄN</t>
        </is>
      </c>
      <c r="E5560" t="inlineStr">
        <is>
          <t>SOLLEFTEÅ</t>
        </is>
      </c>
      <c r="F5560" t="inlineStr">
        <is>
          <t>SCA</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14308-2022</t>
        </is>
      </c>
      <c r="B5561" s="1" t="n">
        <v>44652</v>
      </c>
      <c r="C5561" s="1" t="n">
        <v>45657</v>
      </c>
      <c r="D5561" t="inlineStr">
        <is>
          <t>VÄSTERNORRLANDS LÄN</t>
        </is>
      </c>
      <c r="E5561" t="inlineStr">
        <is>
          <t>SOLLEFTEÅ</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14233-2022</t>
        </is>
      </c>
      <c r="B5562" s="1" t="n">
        <v>44651</v>
      </c>
      <c r="C5562" s="1" t="n">
        <v>45657</v>
      </c>
      <c r="D5562" t="inlineStr">
        <is>
          <t>VÄSTERNORRLANDS LÄN</t>
        </is>
      </c>
      <c r="E5562" t="inlineStr">
        <is>
          <t>SUNDSVALL</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14275-2022</t>
        </is>
      </c>
      <c r="B5563" s="1" t="n">
        <v>44651</v>
      </c>
      <c r="C5563" s="1" t="n">
        <v>45657</v>
      </c>
      <c r="D5563" t="inlineStr">
        <is>
          <t>VÄSTERNORRLANDS LÄN</t>
        </is>
      </c>
      <c r="E5563" t="inlineStr">
        <is>
          <t>SOLLEFTEÅ</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14299-2022</t>
        </is>
      </c>
      <c r="B5564" s="1" t="n">
        <v>44652</v>
      </c>
      <c r="C5564" s="1" t="n">
        <v>45657</v>
      </c>
      <c r="D5564" t="inlineStr">
        <is>
          <t>VÄSTERNORRLANDS LÄN</t>
        </is>
      </c>
      <c r="E5564" t="inlineStr">
        <is>
          <t>SOLLEFTEÅ</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14296-2022</t>
        </is>
      </c>
      <c r="B5565" s="1" t="n">
        <v>44652</v>
      </c>
      <c r="C5565" s="1" t="n">
        <v>45657</v>
      </c>
      <c r="D5565" t="inlineStr">
        <is>
          <t>VÄSTERNORRLANDS LÄN</t>
        </is>
      </c>
      <c r="E5565" t="inlineStr">
        <is>
          <t>SOLLEFTEÅ</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14302-2022</t>
        </is>
      </c>
      <c r="B5566" s="1" t="n">
        <v>44651</v>
      </c>
      <c r="C5566" s="1" t="n">
        <v>45657</v>
      </c>
      <c r="D5566" t="inlineStr">
        <is>
          <t>VÄSTERNORRLANDS LÄN</t>
        </is>
      </c>
      <c r="E5566" t="inlineStr">
        <is>
          <t>SOLLEFTEÅ</t>
        </is>
      </c>
      <c r="F5566" t="inlineStr">
        <is>
          <t>SCA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14372-2022</t>
        </is>
      </c>
      <c r="B5567" s="1" t="n">
        <v>44652</v>
      </c>
      <c r="C5567" s="1" t="n">
        <v>45657</v>
      </c>
      <c r="D5567" t="inlineStr">
        <is>
          <t>VÄSTERNORRLANDS LÄN</t>
        </is>
      </c>
      <c r="E5567" t="inlineStr">
        <is>
          <t>HÄRNÖSAND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14403-2022</t>
        </is>
      </c>
      <c r="B5568" s="1" t="n">
        <v>44652</v>
      </c>
      <c r="C5568" s="1" t="n">
        <v>45657</v>
      </c>
      <c r="D5568" t="inlineStr">
        <is>
          <t>VÄSTERNORRLANDS LÄN</t>
        </is>
      </c>
      <c r="E5568" t="inlineStr">
        <is>
          <t>ÖRNSKÖLDSVIK</t>
        </is>
      </c>
      <c r="F5568" t="inlineStr">
        <is>
          <t>Kyrkan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14433-2022</t>
        </is>
      </c>
      <c r="B5569" s="1" t="n">
        <v>44652</v>
      </c>
      <c r="C5569" s="1" t="n">
        <v>45657</v>
      </c>
      <c r="D5569" t="inlineStr">
        <is>
          <t>VÄSTERNORRLANDS LÄN</t>
        </is>
      </c>
      <c r="E5569" t="inlineStr">
        <is>
          <t>ÅNGE</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14448-2022</t>
        </is>
      </c>
      <c r="B5570" s="1" t="n">
        <v>44652</v>
      </c>
      <c r="C5570" s="1" t="n">
        <v>45657</v>
      </c>
      <c r="D5570" t="inlineStr">
        <is>
          <t>VÄSTERNORRLANDS LÄN</t>
        </is>
      </c>
      <c r="E5570" t="inlineStr">
        <is>
          <t>SOLLEFTEÅ</t>
        </is>
      </c>
      <c r="F5570" t="inlineStr">
        <is>
          <t>SCA</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14449-2022</t>
        </is>
      </c>
      <c r="B5571" s="1" t="n">
        <v>44652</v>
      </c>
      <c r="C5571" s="1" t="n">
        <v>45657</v>
      </c>
      <c r="D5571" t="inlineStr">
        <is>
          <t>VÄSTERNORRLANDS LÄN</t>
        </is>
      </c>
      <c r="E5571" t="inlineStr">
        <is>
          <t>SOLLEFTEÅ</t>
        </is>
      </c>
      <c r="F5571" t="inlineStr">
        <is>
          <t>SCA</t>
        </is>
      </c>
      <c r="G5571" t="n">
        <v>31.8</v>
      </c>
      <c r="H5571" t="n">
        <v>0</v>
      </c>
      <c r="I5571" t="n">
        <v>0</v>
      </c>
      <c r="J5571" t="n">
        <v>0</v>
      </c>
      <c r="K5571" t="n">
        <v>0</v>
      </c>
      <c r="L5571" t="n">
        <v>0</v>
      </c>
      <c r="M5571" t="n">
        <v>0</v>
      </c>
      <c r="N5571" t="n">
        <v>0</v>
      </c>
      <c r="O5571" t="n">
        <v>0</v>
      </c>
      <c r="P5571" t="n">
        <v>0</v>
      </c>
      <c r="Q5571" t="n">
        <v>0</v>
      </c>
      <c r="R5571" s="2" t="inlineStr"/>
    </row>
    <row r="5572" ht="15" customHeight="1">
      <c r="A5572" t="inlineStr">
        <is>
          <t>A 14450-2022</t>
        </is>
      </c>
      <c r="B5572" s="1" t="n">
        <v>44653</v>
      </c>
      <c r="C5572" s="1" t="n">
        <v>45657</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14447-2022</t>
        </is>
      </c>
      <c r="B5573" s="1" t="n">
        <v>44653</v>
      </c>
      <c r="C5573" s="1" t="n">
        <v>45657</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14462-2022</t>
        </is>
      </c>
      <c r="B5574" s="1" t="n">
        <v>44654</v>
      </c>
      <c r="C5574" s="1" t="n">
        <v>45657</v>
      </c>
      <c r="D5574" t="inlineStr">
        <is>
          <t>VÄSTERNORRLANDS LÄN</t>
        </is>
      </c>
      <c r="E5574" t="inlineStr">
        <is>
          <t>SUNDSVALL</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14468-2022</t>
        </is>
      </c>
      <c r="B5575" s="1" t="n">
        <v>44654</v>
      </c>
      <c r="C5575" s="1" t="n">
        <v>45657</v>
      </c>
      <c r="D5575" t="inlineStr">
        <is>
          <t>VÄSTERNORRLANDS LÄN</t>
        </is>
      </c>
      <c r="E5575" t="inlineStr">
        <is>
          <t>SUNDSVALL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14464-2022</t>
        </is>
      </c>
      <c r="B5576" s="1" t="n">
        <v>44654</v>
      </c>
      <c r="C5576" s="1" t="n">
        <v>45657</v>
      </c>
      <c r="D5576" t="inlineStr">
        <is>
          <t>VÄSTERNORRLANDS LÄN</t>
        </is>
      </c>
      <c r="E5576" t="inlineStr">
        <is>
          <t>SUNDSVALL</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14466-2022</t>
        </is>
      </c>
      <c r="B5577" s="1" t="n">
        <v>44654</v>
      </c>
      <c r="C5577" s="1" t="n">
        <v>45657</v>
      </c>
      <c r="D5577" t="inlineStr">
        <is>
          <t>VÄSTERNORRLANDS LÄN</t>
        </is>
      </c>
      <c r="E5577" t="inlineStr">
        <is>
          <t>SUNDSVALL</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14477-2022</t>
        </is>
      </c>
      <c r="B5578" s="1" t="n">
        <v>44655</v>
      </c>
      <c r="C5578" s="1" t="n">
        <v>45657</v>
      </c>
      <c r="D5578" t="inlineStr">
        <is>
          <t>VÄSTERNORRLANDS LÄN</t>
        </is>
      </c>
      <c r="E5578" t="inlineStr">
        <is>
          <t>SOLLEFTEÅ</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14597-2022</t>
        </is>
      </c>
      <c r="B5579" s="1" t="n">
        <v>44655</v>
      </c>
      <c r="C5579" s="1" t="n">
        <v>45657</v>
      </c>
      <c r="D5579" t="inlineStr">
        <is>
          <t>VÄSTERNORRLANDS LÄN</t>
        </is>
      </c>
      <c r="E5579" t="inlineStr">
        <is>
          <t>HÄRNÖSAND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14680-2022</t>
        </is>
      </c>
      <c r="B5580" s="1" t="n">
        <v>44655</v>
      </c>
      <c r="C5580" s="1" t="n">
        <v>45657</v>
      </c>
      <c r="D5580" t="inlineStr">
        <is>
          <t>VÄSTERNORRLANDS LÄN</t>
        </is>
      </c>
      <c r="E5580" t="inlineStr">
        <is>
          <t>TIMRÅ</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14813-2022</t>
        </is>
      </c>
      <c r="B5581" s="1" t="n">
        <v>44656</v>
      </c>
      <c r="C5581" s="1" t="n">
        <v>45657</v>
      </c>
      <c r="D5581" t="inlineStr">
        <is>
          <t>VÄSTERNORRLANDS LÄN</t>
        </is>
      </c>
      <c r="E5581" t="inlineStr">
        <is>
          <t>ÅNGE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14888-2022</t>
        </is>
      </c>
      <c r="B5582" s="1" t="n">
        <v>44656</v>
      </c>
      <c r="C5582" s="1" t="n">
        <v>45657</v>
      </c>
      <c r="D5582" t="inlineStr">
        <is>
          <t>VÄSTERNORRLANDS LÄN</t>
        </is>
      </c>
      <c r="E5582" t="inlineStr">
        <is>
          <t>ÅNGE</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14885-2022</t>
        </is>
      </c>
      <c r="B5583" s="1" t="n">
        <v>44656</v>
      </c>
      <c r="C5583" s="1" t="n">
        <v>45657</v>
      </c>
      <c r="D5583" t="inlineStr">
        <is>
          <t>VÄSTERNORRLANDS LÄN</t>
        </is>
      </c>
      <c r="E5583" t="inlineStr">
        <is>
          <t>ÅNGE</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14889-2022</t>
        </is>
      </c>
      <c r="B5584" s="1" t="n">
        <v>44656</v>
      </c>
      <c r="C5584" s="1" t="n">
        <v>45657</v>
      </c>
      <c r="D5584" t="inlineStr">
        <is>
          <t>VÄSTERNORRLANDS LÄN</t>
        </is>
      </c>
      <c r="E5584" t="inlineStr">
        <is>
          <t>ÅNGE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14910-2022</t>
        </is>
      </c>
      <c r="B5585" s="1" t="n">
        <v>44657</v>
      </c>
      <c r="C5585" s="1" t="n">
        <v>45657</v>
      </c>
      <c r="D5585" t="inlineStr">
        <is>
          <t>VÄSTERNORRLANDS LÄN</t>
        </is>
      </c>
      <c r="E5585" t="inlineStr">
        <is>
          <t>SOLLEFTEÅ</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14949-2022</t>
        </is>
      </c>
      <c r="B5586" s="1" t="n">
        <v>44657</v>
      </c>
      <c r="C5586" s="1" t="n">
        <v>45657</v>
      </c>
      <c r="D5586" t="inlineStr">
        <is>
          <t>VÄSTERNORRLANDS LÄN</t>
        </is>
      </c>
      <c r="E5586" t="inlineStr">
        <is>
          <t>ÅNGE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15030-2022</t>
        </is>
      </c>
      <c r="B5587" s="1" t="n">
        <v>44657</v>
      </c>
      <c r="C5587" s="1" t="n">
        <v>45657</v>
      </c>
      <c r="D5587" t="inlineStr">
        <is>
          <t>VÄSTERNORRLANDS LÄN</t>
        </is>
      </c>
      <c r="E5587" t="inlineStr">
        <is>
          <t>ÖRNSKÖLDSVIK</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15089-2022</t>
        </is>
      </c>
      <c r="B5588" s="1" t="n">
        <v>44657</v>
      </c>
      <c r="C5588" s="1" t="n">
        <v>45657</v>
      </c>
      <c r="D5588" t="inlineStr">
        <is>
          <t>VÄSTERNORRLANDS LÄN</t>
        </is>
      </c>
      <c r="E5588" t="inlineStr">
        <is>
          <t>SUNDSVALL</t>
        </is>
      </c>
      <c r="F5588" t="inlineStr">
        <is>
          <t>SCA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15090-2022</t>
        </is>
      </c>
      <c r="B5589" s="1" t="n">
        <v>44658</v>
      </c>
      <c r="C5589" s="1" t="n">
        <v>45657</v>
      </c>
      <c r="D5589" t="inlineStr">
        <is>
          <t>VÄSTERNORRLANDS LÄN</t>
        </is>
      </c>
      <c r="E5589" t="inlineStr">
        <is>
          <t>SOLLEFTEÅ</t>
        </is>
      </c>
      <c r="F5589" t="inlineStr">
        <is>
          <t>SCA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15103-2022</t>
        </is>
      </c>
      <c r="B5590" s="1" t="n">
        <v>44658</v>
      </c>
      <c r="C5590" s="1" t="n">
        <v>45657</v>
      </c>
      <c r="D5590" t="inlineStr">
        <is>
          <t>VÄSTERNORRLANDS LÄN</t>
        </is>
      </c>
      <c r="E5590" t="inlineStr">
        <is>
          <t>ÖRNSKÖLDSVIK</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15236-2022</t>
        </is>
      </c>
      <c r="B5591" s="1" t="n">
        <v>44659</v>
      </c>
      <c r="C5591" s="1" t="n">
        <v>45657</v>
      </c>
      <c r="D5591" t="inlineStr">
        <is>
          <t>VÄSTERNORRLANDS LÄN</t>
        </is>
      </c>
      <c r="E5591" t="inlineStr">
        <is>
          <t>KRAMFORS</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15241-2022</t>
        </is>
      </c>
      <c r="B5592" s="1" t="n">
        <v>44659</v>
      </c>
      <c r="C5592" s="1" t="n">
        <v>45657</v>
      </c>
      <c r="D5592" t="inlineStr">
        <is>
          <t>VÄSTERNORRLANDS LÄN</t>
        </is>
      </c>
      <c r="E5592" t="inlineStr">
        <is>
          <t>SOLLEFTEÅ</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15234-2022</t>
        </is>
      </c>
      <c r="B5593" s="1" t="n">
        <v>44659</v>
      </c>
      <c r="C5593" s="1" t="n">
        <v>45657</v>
      </c>
      <c r="D5593" t="inlineStr">
        <is>
          <t>VÄSTERNORRLANDS LÄN</t>
        </is>
      </c>
      <c r="E5593" t="inlineStr">
        <is>
          <t>SOLLEFTEÅ</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15598-2022</t>
        </is>
      </c>
      <c r="B5594" s="1" t="n">
        <v>44662</v>
      </c>
      <c r="C5594" s="1" t="n">
        <v>45657</v>
      </c>
      <c r="D5594" t="inlineStr">
        <is>
          <t>VÄSTERNORRLANDS LÄN</t>
        </is>
      </c>
      <c r="E5594" t="inlineStr">
        <is>
          <t>SUNDSVALL</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15599-2022</t>
        </is>
      </c>
      <c r="B5595" s="1" t="n">
        <v>44662</v>
      </c>
      <c r="C5595" s="1" t="n">
        <v>45657</v>
      </c>
      <c r="D5595" t="inlineStr">
        <is>
          <t>VÄSTERNORRLANDS LÄN</t>
        </is>
      </c>
      <c r="E5595" t="inlineStr">
        <is>
          <t>SUNDSVALL</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15658-2022</t>
        </is>
      </c>
      <c r="B5596" s="1" t="n">
        <v>44663</v>
      </c>
      <c r="C5596" s="1" t="n">
        <v>45657</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15698-2022</t>
        </is>
      </c>
      <c r="B5597" s="1" t="n">
        <v>44663</v>
      </c>
      <c r="C5597" s="1" t="n">
        <v>45657</v>
      </c>
      <c r="D5597" t="inlineStr">
        <is>
          <t>VÄSTERNORRLANDS LÄN</t>
        </is>
      </c>
      <c r="E5597" t="inlineStr">
        <is>
          <t>SUNDSVALL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15724-2022</t>
        </is>
      </c>
      <c r="B5598" s="1" t="n">
        <v>44663</v>
      </c>
      <c r="C5598" s="1" t="n">
        <v>45657</v>
      </c>
      <c r="D5598" t="inlineStr">
        <is>
          <t>VÄSTERNORRLANDS LÄN</t>
        </is>
      </c>
      <c r="E5598" t="inlineStr">
        <is>
          <t>SUNDSVALL</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15702-2022</t>
        </is>
      </c>
      <c r="B5599" s="1" t="n">
        <v>44663</v>
      </c>
      <c r="C5599" s="1" t="n">
        <v>45657</v>
      </c>
      <c r="D5599" t="inlineStr">
        <is>
          <t>VÄSTERNORRLANDS LÄN</t>
        </is>
      </c>
      <c r="E5599" t="inlineStr">
        <is>
          <t>ÖRNSKÖLDSVIK</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15802-2022</t>
        </is>
      </c>
      <c r="B5600" s="1" t="n">
        <v>44664</v>
      </c>
      <c r="C5600" s="1" t="n">
        <v>45657</v>
      </c>
      <c r="D5600" t="inlineStr">
        <is>
          <t>VÄSTERNORRLANDS LÄN</t>
        </is>
      </c>
      <c r="E5600" t="inlineStr">
        <is>
          <t>SUNDSVALL</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15726-2022</t>
        </is>
      </c>
      <c r="B5601" s="1" t="n">
        <v>44663</v>
      </c>
      <c r="C5601" s="1" t="n">
        <v>45657</v>
      </c>
      <c r="D5601" t="inlineStr">
        <is>
          <t>VÄSTERNORRLANDS LÄN</t>
        </is>
      </c>
      <c r="E5601" t="inlineStr">
        <is>
          <t>SUNDSVALL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15733-2022</t>
        </is>
      </c>
      <c r="B5602" s="1" t="n">
        <v>44663</v>
      </c>
      <c r="C5602" s="1" t="n">
        <v>45657</v>
      </c>
      <c r="D5602" t="inlineStr">
        <is>
          <t>VÄSTERNORRLANDS LÄN</t>
        </is>
      </c>
      <c r="E5602" t="inlineStr">
        <is>
          <t>SUNDSVALL</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15687-2022</t>
        </is>
      </c>
      <c r="B5603" s="1" t="n">
        <v>44663</v>
      </c>
      <c r="C5603" s="1" t="n">
        <v>45657</v>
      </c>
      <c r="D5603" t="inlineStr">
        <is>
          <t>VÄSTERNORRLANDS LÄN</t>
        </is>
      </c>
      <c r="E5603" t="inlineStr">
        <is>
          <t>SUNDSVALL</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15692-2022</t>
        </is>
      </c>
      <c r="B5604" s="1" t="n">
        <v>44663</v>
      </c>
      <c r="C5604" s="1" t="n">
        <v>45657</v>
      </c>
      <c r="D5604" t="inlineStr">
        <is>
          <t>VÄSTERNORRLANDS LÄN</t>
        </is>
      </c>
      <c r="E5604" t="inlineStr">
        <is>
          <t>ÖRNSKÖLDSVIK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15712-2022</t>
        </is>
      </c>
      <c r="B5605" s="1" t="n">
        <v>44663</v>
      </c>
      <c r="C5605" s="1" t="n">
        <v>45657</v>
      </c>
      <c r="D5605" t="inlineStr">
        <is>
          <t>VÄSTERNORRLANDS LÄN</t>
        </is>
      </c>
      <c r="E5605" t="inlineStr">
        <is>
          <t>SUNDSVALL</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15718-2022</t>
        </is>
      </c>
      <c r="B5606" s="1" t="n">
        <v>44663</v>
      </c>
      <c r="C5606" s="1" t="n">
        <v>45657</v>
      </c>
      <c r="D5606" t="inlineStr">
        <is>
          <t>VÄSTERNORRLANDS LÄN</t>
        </is>
      </c>
      <c r="E5606" t="inlineStr">
        <is>
          <t>HÄRNÖSAND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15746-2022</t>
        </is>
      </c>
      <c r="B5607" s="1" t="n">
        <v>44663</v>
      </c>
      <c r="C5607" s="1" t="n">
        <v>45657</v>
      </c>
      <c r="D5607" t="inlineStr">
        <is>
          <t>VÄSTERNORRLANDS LÄN</t>
        </is>
      </c>
      <c r="E5607" t="inlineStr">
        <is>
          <t>HÄRNÖSAND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15809-2022</t>
        </is>
      </c>
      <c r="B5608" s="1" t="n">
        <v>44663</v>
      </c>
      <c r="C5608" s="1" t="n">
        <v>45657</v>
      </c>
      <c r="D5608" t="inlineStr">
        <is>
          <t>VÄSTERNORRLANDS LÄN</t>
        </is>
      </c>
      <c r="E5608" t="inlineStr">
        <is>
          <t>SOLLEFTEÅ</t>
        </is>
      </c>
      <c r="F5608" t="inlineStr">
        <is>
          <t>SCA</t>
        </is>
      </c>
      <c r="G5608" t="n">
        <v>16.3</v>
      </c>
      <c r="H5608" t="n">
        <v>0</v>
      </c>
      <c r="I5608" t="n">
        <v>0</v>
      </c>
      <c r="J5608" t="n">
        <v>0</v>
      </c>
      <c r="K5608" t="n">
        <v>0</v>
      </c>
      <c r="L5608" t="n">
        <v>0</v>
      </c>
      <c r="M5608" t="n">
        <v>0</v>
      </c>
      <c r="N5608" t="n">
        <v>0</v>
      </c>
      <c r="O5608" t="n">
        <v>0</v>
      </c>
      <c r="P5608" t="n">
        <v>0</v>
      </c>
      <c r="Q5608" t="n">
        <v>0</v>
      </c>
      <c r="R5608" s="2" t="inlineStr"/>
    </row>
    <row r="5609" ht="15" customHeight="1">
      <c r="A5609" t="inlineStr">
        <is>
          <t>A 15863-2022</t>
        </is>
      </c>
      <c r="B5609" s="1" t="n">
        <v>44664</v>
      </c>
      <c r="C5609" s="1" t="n">
        <v>45657</v>
      </c>
      <c r="D5609" t="inlineStr">
        <is>
          <t>VÄSTERNORRLANDS LÄN</t>
        </is>
      </c>
      <c r="E5609" t="inlineStr">
        <is>
          <t>ÅNGE</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15849-2022</t>
        </is>
      </c>
      <c r="B5610" s="1" t="n">
        <v>44664</v>
      </c>
      <c r="C5610" s="1" t="n">
        <v>45657</v>
      </c>
      <c r="D5610" t="inlineStr">
        <is>
          <t>VÄSTERNORRLANDS LÄN</t>
        </is>
      </c>
      <c r="E5610" t="inlineStr">
        <is>
          <t>HÄRNÖSAND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15895-2022</t>
        </is>
      </c>
      <c r="B5611" s="1" t="n">
        <v>44664</v>
      </c>
      <c r="C5611" s="1" t="n">
        <v>45657</v>
      </c>
      <c r="D5611" t="inlineStr">
        <is>
          <t>VÄSTERNORRLANDS LÄN</t>
        </is>
      </c>
      <c r="E5611" t="inlineStr">
        <is>
          <t>HÄRNÖSAND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15844-2022</t>
        </is>
      </c>
      <c r="B5612" s="1" t="n">
        <v>44664</v>
      </c>
      <c r="C5612" s="1" t="n">
        <v>45657</v>
      </c>
      <c r="D5612" t="inlineStr">
        <is>
          <t>VÄSTERNORRLANDS LÄN</t>
        </is>
      </c>
      <c r="E5612" t="inlineStr">
        <is>
          <t>HÄRNÖSAND</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15855-2022</t>
        </is>
      </c>
      <c r="B5613" s="1" t="n">
        <v>44664</v>
      </c>
      <c r="C5613" s="1" t="n">
        <v>45657</v>
      </c>
      <c r="D5613" t="inlineStr">
        <is>
          <t>VÄSTERNORRLANDS LÄN</t>
        </is>
      </c>
      <c r="E5613" t="inlineStr">
        <is>
          <t>HÄRNÖSAND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15964-2022</t>
        </is>
      </c>
      <c r="B5614" s="1" t="n">
        <v>44665</v>
      </c>
      <c r="C5614" s="1" t="n">
        <v>45657</v>
      </c>
      <c r="D5614" t="inlineStr">
        <is>
          <t>VÄSTERNORRLANDS LÄN</t>
        </is>
      </c>
      <c r="E5614" t="inlineStr">
        <is>
          <t>SOLLEFTEÅ</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15974-2022</t>
        </is>
      </c>
      <c r="B5615" s="1" t="n">
        <v>44665</v>
      </c>
      <c r="C5615" s="1" t="n">
        <v>45657</v>
      </c>
      <c r="D5615" t="inlineStr">
        <is>
          <t>VÄSTERNORRLANDS LÄN</t>
        </is>
      </c>
      <c r="E5615" t="inlineStr">
        <is>
          <t>SOLLEFTEÅ</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16038-2022</t>
        </is>
      </c>
      <c r="B5616" s="1" t="n">
        <v>44665</v>
      </c>
      <c r="C5616" s="1" t="n">
        <v>45657</v>
      </c>
      <c r="D5616" t="inlineStr">
        <is>
          <t>VÄSTERNORRLANDS LÄN</t>
        </is>
      </c>
      <c r="E5616" t="inlineStr">
        <is>
          <t>ÅNGE</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16060-2022</t>
        </is>
      </c>
      <c r="B5617" s="1" t="n">
        <v>44665</v>
      </c>
      <c r="C5617" s="1" t="n">
        <v>45657</v>
      </c>
      <c r="D5617" t="inlineStr">
        <is>
          <t>VÄSTERNORRLANDS LÄN</t>
        </is>
      </c>
      <c r="E5617" t="inlineStr">
        <is>
          <t>ÖRNSKÖLDSVIK</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16058-2022</t>
        </is>
      </c>
      <c r="B5618" s="1" t="n">
        <v>44665</v>
      </c>
      <c r="C5618" s="1" t="n">
        <v>45657</v>
      </c>
      <c r="D5618" t="inlineStr">
        <is>
          <t>VÄSTERNORRLANDS LÄN</t>
        </is>
      </c>
      <c r="E5618" t="inlineStr">
        <is>
          <t>ÅNGE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16088-2022</t>
        </is>
      </c>
      <c r="B5619" s="1" t="n">
        <v>44665</v>
      </c>
      <c r="C5619" s="1" t="n">
        <v>45657</v>
      </c>
      <c r="D5619" t="inlineStr">
        <is>
          <t>VÄSTERNORRLANDS LÄN</t>
        </is>
      </c>
      <c r="E5619" t="inlineStr">
        <is>
          <t>SOLLEFTEÅ</t>
        </is>
      </c>
      <c r="F5619" t="inlineStr">
        <is>
          <t>Holmen skog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16000-2022</t>
        </is>
      </c>
      <c r="B5620" s="1" t="n">
        <v>44665</v>
      </c>
      <c r="C5620" s="1" t="n">
        <v>45657</v>
      </c>
      <c r="D5620" t="inlineStr">
        <is>
          <t>VÄSTERNORRLANDS LÄN</t>
        </is>
      </c>
      <c r="E5620" t="inlineStr">
        <is>
          <t>SOLLEFTEÅ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16083-2022</t>
        </is>
      </c>
      <c r="B5621" s="1" t="n">
        <v>44665</v>
      </c>
      <c r="C5621" s="1" t="n">
        <v>45657</v>
      </c>
      <c r="D5621" t="inlineStr">
        <is>
          <t>VÄSTERNORRLANDS LÄN</t>
        </is>
      </c>
      <c r="E5621" t="inlineStr">
        <is>
          <t>SOLLEFTEÅ</t>
        </is>
      </c>
      <c r="F5621" t="inlineStr">
        <is>
          <t>Holmen skog AB</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16147-2022</t>
        </is>
      </c>
      <c r="B5622" s="1" t="n">
        <v>44665</v>
      </c>
      <c r="C5622" s="1" t="n">
        <v>45657</v>
      </c>
      <c r="D5622" t="inlineStr">
        <is>
          <t>VÄSTERNORRLANDS LÄN</t>
        </is>
      </c>
      <c r="E5622" t="inlineStr">
        <is>
          <t>SUNDSVALL</t>
        </is>
      </c>
      <c r="F5622" t="inlineStr">
        <is>
          <t>SCA</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16093-2022</t>
        </is>
      </c>
      <c r="B5623" s="1" t="n">
        <v>44665</v>
      </c>
      <c r="C5623" s="1" t="n">
        <v>45657</v>
      </c>
      <c r="D5623" t="inlineStr">
        <is>
          <t>VÄSTERNORRLANDS LÄN</t>
        </is>
      </c>
      <c r="E5623" t="inlineStr">
        <is>
          <t>SOLLEFTEÅ</t>
        </is>
      </c>
      <c r="F5623" t="inlineStr">
        <is>
          <t>Holmen skog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16209-2022</t>
        </is>
      </c>
      <c r="B5624" s="1" t="n">
        <v>44670</v>
      </c>
      <c r="C5624" s="1" t="n">
        <v>45657</v>
      </c>
      <c r="D5624" t="inlineStr">
        <is>
          <t>VÄSTERNORRLANDS LÄN</t>
        </is>
      </c>
      <c r="E5624" t="inlineStr">
        <is>
          <t>ÖRNSKÖLDSVIK</t>
        </is>
      </c>
      <c r="F5624" t="inlineStr">
        <is>
          <t>Holmen skog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16211-2022</t>
        </is>
      </c>
      <c r="B5625" s="1" t="n">
        <v>44670</v>
      </c>
      <c r="C5625" s="1" t="n">
        <v>45657</v>
      </c>
      <c r="D5625" t="inlineStr">
        <is>
          <t>VÄSTERNORRLANDS LÄN</t>
        </is>
      </c>
      <c r="E5625" t="inlineStr">
        <is>
          <t>ÖRNSKÖLDSVIK</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16249-2022</t>
        </is>
      </c>
      <c r="B5626" s="1" t="n">
        <v>44670</v>
      </c>
      <c r="C5626" s="1" t="n">
        <v>45657</v>
      </c>
      <c r="D5626" t="inlineStr">
        <is>
          <t>VÄSTERNORRLANDS LÄN</t>
        </is>
      </c>
      <c r="E5626" t="inlineStr">
        <is>
          <t>ÖRNSKÖLDSVIK</t>
        </is>
      </c>
      <c r="F5626" t="inlineStr">
        <is>
          <t>Holmen skog AB</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16365-2022</t>
        </is>
      </c>
      <c r="B5627" s="1" t="n">
        <v>44671</v>
      </c>
      <c r="C5627" s="1" t="n">
        <v>45657</v>
      </c>
      <c r="D5627" t="inlineStr">
        <is>
          <t>VÄSTERNORRLANDS LÄN</t>
        </is>
      </c>
      <c r="E5627" t="inlineStr">
        <is>
          <t>SOLLEFTEÅ</t>
        </is>
      </c>
      <c r="F5627" t="inlineStr">
        <is>
          <t>SCA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16336-2022</t>
        </is>
      </c>
      <c r="B5628" s="1" t="n">
        <v>44670</v>
      </c>
      <c r="C5628" s="1" t="n">
        <v>45657</v>
      </c>
      <c r="D5628" t="inlineStr">
        <is>
          <t>VÄSTERNORRLANDS LÄN</t>
        </is>
      </c>
      <c r="E5628" t="inlineStr">
        <is>
          <t>ÖRNSKÖLDSVIK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16428-2022</t>
        </is>
      </c>
      <c r="B5629" s="1" t="n">
        <v>44671</v>
      </c>
      <c r="C5629" s="1" t="n">
        <v>45657</v>
      </c>
      <c r="D5629" t="inlineStr">
        <is>
          <t>VÄSTERNORRLANDS LÄN</t>
        </is>
      </c>
      <c r="E5629" t="inlineStr">
        <is>
          <t>HÄRNÖSAND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16477-2022</t>
        </is>
      </c>
      <c r="B5630" s="1" t="n">
        <v>44671</v>
      </c>
      <c r="C5630" s="1" t="n">
        <v>45657</v>
      </c>
      <c r="D5630" t="inlineStr">
        <is>
          <t>VÄSTERNORRLANDS LÄN</t>
        </is>
      </c>
      <c r="E5630" t="inlineStr">
        <is>
          <t>ÖRNSKÖLDSVIK</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16419-2022</t>
        </is>
      </c>
      <c r="B5631" s="1" t="n">
        <v>44671</v>
      </c>
      <c r="C5631" s="1" t="n">
        <v>45657</v>
      </c>
      <c r="D5631" t="inlineStr">
        <is>
          <t>VÄSTERNORRLANDS LÄN</t>
        </is>
      </c>
      <c r="E5631" t="inlineStr">
        <is>
          <t>SOLLEFTEÅ</t>
        </is>
      </c>
      <c r="F5631" t="inlineStr">
        <is>
          <t>Kommuner</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16519-2022</t>
        </is>
      </c>
      <c r="B5632" s="1" t="n">
        <v>44672</v>
      </c>
      <c r="C5632" s="1" t="n">
        <v>45657</v>
      </c>
      <c r="D5632" t="inlineStr">
        <is>
          <t>VÄSTERNORRLANDS LÄN</t>
        </is>
      </c>
      <c r="E5632" t="inlineStr">
        <is>
          <t>TIMRÅ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16521-2022</t>
        </is>
      </c>
      <c r="B5633" s="1" t="n">
        <v>44671</v>
      </c>
      <c r="C5633" s="1" t="n">
        <v>45657</v>
      </c>
      <c r="D5633" t="inlineStr">
        <is>
          <t>VÄSTERNORRLANDS LÄN</t>
        </is>
      </c>
      <c r="E5633" t="inlineStr">
        <is>
          <t>SOLLEFTEÅ</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16675-2022</t>
        </is>
      </c>
      <c r="B5634" s="1" t="n">
        <v>44672</v>
      </c>
      <c r="C5634" s="1" t="n">
        <v>45657</v>
      </c>
      <c r="D5634" t="inlineStr">
        <is>
          <t>VÄSTERNORRLANDS LÄN</t>
        </is>
      </c>
      <c r="E5634" t="inlineStr">
        <is>
          <t>SOLLEFTEÅ</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16558-2022</t>
        </is>
      </c>
      <c r="B5635" s="1" t="n">
        <v>44672</v>
      </c>
      <c r="C5635" s="1" t="n">
        <v>45657</v>
      </c>
      <c r="D5635" t="inlineStr">
        <is>
          <t>VÄSTERNORRLANDS LÄN</t>
        </is>
      </c>
      <c r="E5635" t="inlineStr">
        <is>
          <t>ÖRNSKÖLDSVIK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16611-2022</t>
        </is>
      </c>
      <c r="B5636" s="1" t="n">
        <v>44672</v>
      </c>
      <c r="C5636" s="1" t="n">
        <v>45657</v>
      </c>
      <c r="D5636" t="inlineStr">
        <is>
          <t>VÄSTERNORRLANDS LÄN</t>
        </is>
      </c>
      <c r="E5636" t="inlineStr">
        <is>
          <t>SOLLEFTEÅ</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16616-2022</t>
        </is>
      </c>
      <c r="B5637" s="1" t="n">
        <v>44672</v>
      </c>
      <c r="C5637" s="1" t="n">
        <v>45657</v>
      </c>
      <c r="D5637" t="inlineStr">
        <is>
          <t>VÄSTERNORRLANDS LÄN</t>
        </is>
      </c>
      <c r="E5637" t="inlineStr">
        <is>
          <t>HÄRNÖSAND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16670-2022</t>
        </is>
      </c>
      <c r="B5638" s="1" t="n">
        <v>44673</v>
      </c>
      <c r="C5638" s="1" t="n">
        <v>45657</v>
      </c>
      <c r="D5638" t="inlineStr">
        <is>
          <t>VÄSTERNORRLANDS LÄN</t>
        </is>
      </c>
      <c r="E5638" t="inlineStr">
        <is>
          <t>SOLLEFTEÅ</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16725-2022</t>
        </is>
      </c>
      <c r="B5639" s="1" t="n">
        <v>44673</v>
      </c>
      <c r="C5639" s="1" t="n">
        <v>45657</v>
      </c>
      <c r="D5639" t="inlineStr">
        <is>
          <t>VÄSTERNORRLANDS LÄN</t>
        </is>
      </c>
      <c r="E5639" t="inlineStr">
        <is>
          <t>ÖRNSKÖLDSVIK</t>
        </is>
      </c>
      <c r="F5639" t="inlineStr">
        <is>
          <t>Holmen skog AB</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16974-2022</t>
        </is>
      </c>
      <c r="B5640" s="1" t="n">
        <v>44676</v>
      </c>
      <c r="C5640" s="1" t="n">
        <v>45657</v>
      </c>
      <c r="D5640" t="inlineStr">
        <is>
          <t>VÄSTERNORRLANDS LÄN</t>
        </is>
      </c>
      <c r="E5640" t="inlineStr">
        <is>
          <t>HÄRNÖSAND</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16979-2022</t>
        </is>
      </c>
      <c r="B5641" s="1" t="n">
        <v>44676</v>
      </c>
      <c r="C5641" s="1" t="n">
        <v>45657</v>
      </c>
      <c r="D5641" t="inlineStr">
        <is>
          <t>VÄSTERNORRLANDS LÄN</t>
        </is>
      </c>
      <c r="E5641" t="inlineStr">
        <is>
          <t>HÄRNÖSAND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17039-2022</t>
        </is>
      </c>
      <c r="B5642" s="1" t="n">
        <v>44677</v>
      </c>
      <c r="C5642" s="1" t="n">
        <v>45657</v>
      </c>
      <c r="D5642" t="inlineStr">
        <is>
          <t>VÄSTERNORRLANDS LÄN</t>
        </is>
      </c>
      <c r="E5642" t="inlineStr">
        <is>
          <t>SUNDSVALL</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17045-2022</t>
        </is>
      </c>
      <c r="B5643" s="1" t="n">
        <v>44676</v>
      </c>
      <c r="C5643" s="1" t="n">
        <v>45657</v>
      </c>
      <c r="D5643" t="inlineStr">
        <is>
          <t>VÄSTERNORRLANDS LÄN</t>
        </is>
      </c>
      <c r="E5643" t="inlineStr">
        <is>
          <t>SOLLEFTEÅ</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17049-2022</t>
        </is>
      </c>
      <c r="B5644" s="1" t="n">
        <v>44676</v>
      </c>
      <c r="C5644" s="1" t="n">
        <v>45657</v>
      </c>
      <c r="D5644" t="inlineStr">
        <is>
          <t>VÄSTERNORRLANDS LÄN</t>
        </is>
      </c>
      <c r="E5644" t="inlineStr">
        <is>
          <t>SOLLEFTEÅ</t>
        </is>
      </c>
      <c r="F5644" t="inlineStr">
        <is>
          <t>SCA</t>
        </is>
      </c>
      <c r="G5644" t="n">
        <v>2.6</v>
      </c>
      <c r="H5644" t="n">
        <v>0</v>
      </c>
      <c r="I5644" t="n">
        <v>0</v>
      </c>
      <c r="J5644" t="n">
        <v>0</v>
      </c>
      <c r="K5644" t="n">
        <v>0</v>
      </c>
      <c r="L5644" t="n">
        <v>0</v>
      </c>
      <c r="M5644" t="n">
        <v>0</v>
      </c>
      <c r="N5644" t="n">
        <v>0</v>
      </c>
      <c r="O5644" t="n">
        <v>0</v>
      </c>
      <c r="P5644" t="n">
        <v>0</v>
      </c>
      <c r="Q5644" t="n">
        <v>0</v>
      </c>
      <c r="R5644" s="2" t="inlineStr"/>
      <c r="U5644">
        <f>HYPERLINK("https://klasma.github.io/Logging_2283/knärot/A 17049-2022 karta knärot.png", "A 17049-2022")</f>
        <v/>
      </c>
      <c r="V5644">
        <f>HYPERLINK("https://klasma.github.io/Logging_2283/klagomål/A 17049-2022 FSC-klagomål.docx", "A 17049-2022")</f>
        <v/>
      </c>
      <c r="W5644">
        <f>HYPERLINK("https://klasma.github.io/Logging_2283/klagomålsmail/A 17049-2022 FSC-klagomål mail.docx", "A 17049-2022")</f>
        <v/>
      </c>
      <c r="X5644">
        <f>HYPERLINK("https://klasma.github.io/Logging_2283/tillsyn/A 17049-2022 tillsynsbegäran.docx", "A 17049-2022")</f>
        <v/>
      </c>
      <c r="Y5644">
        <f>HYPERLINK("https://klasma.github.io/Logging_2283/tillsynsmail/A 17049-2022 tillsynsbegäran mail.docx", "A 17049-2022")</f>
        <v/>
      </c>
    </row>
    <row r="5645" ht="15" customHeight="1">
      <c r="A5645" t="inlineStr">
        <is>
          <t>A 17059-2022</t>
        </is>
      </c>
      <c r="B5645" s="1" t="n">
        <v>44676</v>
      </c>
      <c r="C5645" s="1" t="n">
        <v>45657</v>
      </c>
      <c r="D5645" t="inlineStr">
        <is>
          <t>VÄSTERNORRLANDS LÄN</t>
        </is>
      </c>
      <c r="E5645" t="inlineStr">
        <is>
          <t>SUNDSVALL</t>
        </is>
      </c>
      <c r="F5645" t="inlineStr">
        <is>
          <t>SCA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17040-2022</t>
        </is>
      </c>
      <c r="B5646" s="1" t="n">
        <v>44676</v>
      </c>
      <c r="C5646" s="1" t="n">
        <v>45657</v>
      </c>
      <c r="D5646" t="inlineStr">
        <is>
          <t>VÄSTERNORRLANDS LÄN</t>
        </is>
      </c>
      <c r="E5646" t="inlineStr">
        <is>
          <t>TIMRÅ</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17047-2022</t>
        </is>
      </c>
      <c r="B5647" s="1" t="n">
        <v>44677</v>
      </c>
      <c r="C5647" s="1" t="n">
        <v>45657</v>
      </c>
      <c r="D5647" t="inlineStr">
        <is>
          <t>VÄSTERNORRLANDS LÄN</t>
        </is>
      </c>
      <c r="E5647" t="inlineStr">
        <is>
          <t>ÅNGE</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17044-2022</t>
        </is>
      </c>
      <c r="B5648" s="1" t="n">
        <v>44676</v>
      </c>
      <c r="C5648" s="1" t="n">
        <v>45657</v>
      </c>
      <c r="D5648" t="inlineStr">
        <is>
          <t>VÄSTERNORRLANDS LÄN</t>
        </is>
      </c>
      <c r="E5648" t="inlineStr">
        <is>
          <t>ÅNGE</t>
        </is>
      </c>
      <c r="F5648" t="inlineStr">
        <is>
          <t>Övriga Aktiebolag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17060-2022</t>
        </is>
      </c>
      <c r="B5649" s="1" t="n">
        <v>44677</v>
      </c>
      <c r="C5649" s="1" t="n">
        <v>45657</v>
      </c>
      <c r="D5649" t="inlineStr">
        <is>
          <t>VÄSTERNORRLANDS LÄN</t>
        </is>
      </c>
      <c r="E5649" t="inlineStr">
        <is>
          <t>SUNDSVALL</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17054-2022</t>
        </is>
      </c>
      <c r="B5650" s="1" t="n">
        <v>44677</v>
      </c>
      <c r="C5650" s="1" t="n">
        <v>45657</v>
      </c>
      <c r="D5650" t="inlineStr">
        <is>
          <t>VÄSTERNORRLANDS LÄN</t>
        </is>
      </c>
      <c r="E5650" t="inlineStr">
        <is>
          <t>HÄRNÖSAND</t>
        </is>
      </c>
      <c r="F5650" t="inlineStr">
        <is>
          <t>SCA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17167-2022</t>
        </is>
      </c>
      <c r="B5651" s="1" t="n">
        <v>44677</v>
      </c>
      <c r="C5651" s="1" t="n">
        <v>45657</v>
      </c>
      <c r="D5651" t="inlineStr">
        <is>
          <t>VÄSTERNORRLANDS LÄN</t>
        </is>
      </c>
      <c r="E5651" t="inlineStr">
        <is>
          <t>ÖRNSKÖLDSVIK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17219-2022</t>
        </is>
      </c>
      <c r="B5652" s="1" t="n">
        <v>44677</v>
      </c>
      <c r="C5652" s="1" t="n">
        <v>45657</v>
      </c>
      <c r="D5652" t="inlineStr">
        <is>
          <t>VÄSTERNORRLANDS LÄN</t>
        </is>
      </c>
      <c r="E5652" t="inlineStr">
        <is>
          <t>ÖRNSKÖLDSVIK</t>
        </is>
      </c>
      <c r="F5652" t="inlineStr">
        <is>
          <t>SCA</t>
        </is>
      </c>
      <c r="G5652" t="n">
        <v>8.6</v>
      </c>
      <c r="H5652" t="n">
        <v>0</v>
      </c>
      <c r="I5652" t="n">
        <v>0</v>
      </c>
      <c r="J5652" t="n">
        <v>0</v>
      </c>
      <c r="K5652" t="n">
        <v>0</v>
      </c>
      <c r="L5652" t="n">
        <v>0</v>
      </c>
      <c r="M5652" t="n">
        <v>0</v>
      </c>
      <c r="N5652" t="n">
        <v>0</v>
      </c>
      <c r="O5652" t="n">
        <v>0</v>
      </c>
      <c r="P5652" t="n">
        <v>0</v>
      </c>
      <c r="Q5652" t="n">
        <v>0</v>
      </c>
      <c r="R5652" s="2" t="inlineStr"/>
    </row>
    <row r="5653" ht="15" customHeight="1">
      <c r="A5653" t="inlineStr">
        <is>
          <t>A 17144-2022</t>
        </is>
      </c>
      <c r="B5653" s="1" t="n">
        <v>44677</v>
      </c>
      <c r="C5653" s="1" t="n">
        <v>45657</v>
      </c>
      <c r="D5653" t="inlineStr">
        <is>
          <t>VÄSTERNORRLANDS LÄN</t>
        </is>
      </c>
      <c r="E5653" t="inlineStr">
        <is>
          <t>ÅNGE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17210-2022</t>
        </is>
      </c>
      <c r="B5654" s="1" t="n">
        <v>44678</v>
      </c>
      <c r="C5654" s="1" t="n">
        <v>45657</v>
      </c>
      <c r="D5654" t="inlineStr">
        <is>
          <t>VÄSTERNORRLANDS LÄN</t>
        </is>
      </c>
      <c r="E5654" t="inlineStr">
        <is>
          <t>ÅNGE</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17220-2022</t>
        </is>
      </c>
      <c r="B5655" s="1" t="n">
        <v>44678</v>
      </c>
      <c r="C5655" s="1" t="n">
        <v>45657</v>
      </c>
      <c r="D5655" t="inlineStr">
        <is>
          <t>VÄSTERNORRLANDS LÄN</t>
        </is>
      </c>
      <c r="E5655" t="inlineStr">
        <is>
          <t>ÅNGE</t>
        </is>
      </c>
      <c r="F5655" t="inlineStr">
        <is>
          <t>SCA</t>
        </is>
      </c>
      <c r="G5655" t="n">
        <v>19.7</v>
      </c>
      <c r="H5655" t="n">
        <v>0</v>
      </c>
      <c r="I5655" t="n">
        <v>0</v>
      </c>
      <c r="J5655" t="n">
        <v>0</v>
      </c>
      <c r="K5655" t="n">
        <v>0</v>
      </c>
      <c r="L5655" t="n">
        <v>0</v>
      </c>
      <c r="M5655" t="n">
        <v>0</v>
      </c>
      <c r="N5655" t="n">
        <v>0</v>
      </c>
      <c r="O5655" t="n">
        <v>0</v>
      </c>
      <c r="P5655" t="n">
        <v>0</v>
      </c>
      <c r="Q5655" t="n">
        <v>0</v>
      </c>
      <c r="R5655" s="2" t="inlineStr"/>
    </row>
    <row r="5656" ht="15" customHeight="1">
      <c r="A5656" t="inlineStr">
        <is>
          <t>A 17211-2022</t>
        </is>
      </c>
      <c r="B5656" s="1" t="n">
        <v>44677</v>
      </c>
      <c r="C5656" s="1" t="n">
        <v>45657</v>
      </c>
      <c r="D5656" t="inlineStr">
        <is>
          <t>VÄSTERNORRLANDS LÄN</t>
        </is>
      </c>
      <c r="E5656" t="inlineStr">
        <is>
          <t>SUNDSVALL</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17357-2022</t>
        </is>
      </c>
      <c r="B5657" s="1" t="n">
        <v>44678</v>
      </c>
      <c r="C5657" s="1" t="n">
        <v>45657</v>
      </c>
      <c r="D5657" t="inlineStr">
        <is>
          <t>VÄSTERNORRLANDS LÄN</t>
        </is>
      </c>
      <c r="E5657" t="inlineStr">
        <is>
          <t>ÖRNSKÖLDSVIK</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17344-2022</t>
        </is>
      </c>
      <c r="B5658" s="1" t="n">
        <v>44678</v>
      </c>
      <c r="C5658" s="1" t="n">
        <v>45657</v>
      </c>
      <c r="D5658" t="inlineStr">
        <is>
          <t>VÄSTERNORRLANDS LÄN</t>
        </is>
      </c>
      <c r="E5658" t="inlineStr">
        <is>
          <t>SOLLEFTEÅ</t>
        </is>
      </c>
      <c r="G5658" t="n">
        <v>34.2</v>
      </c>
      <c r="H5658" t="n">
        <v>0</v>
      </c>
      <c r="I5658" t="n">
        <v>0</v>
      </c>
      <c r="J5658" t="n">
        <v>0</v>
      </c>
      <c r="K5658" t="n">
        <v>0</v>
      </c>
      <c r="L5658" t="n">
        <v>0</v>
      </c>
      <c r="M5658" t="n">
        <v>0</v>
      </c>
      <c r="N5658" t="n">
        <v>0</v>
      </c>
      <c r="O5658" t="n">
        <v>0</v>
      </c>
      <c r="P5658" t="n">
        <v>0</v>
      </c>
      <c r="Q5658" t="n">
        <v>0</v>
      </c>
      <c r="R5658" s="2" t="inlineStr"/>
    </row>
    <row r="5659" ht="15" customHeight="1">
      <c r="A5659" t="inlineStr">
        <is>
          <t>A 17386-2022</t>
        </is>
      </c>
      <c r="B5659" s="1" t="n">
        <v>44678</v>
      </c>
      <c r="C5659" s="1" t="n">
        <v>45657</v>
      </c>
      <c r="D5659" t="inlineStr">
        <is>
          <t>VÄSTERNORRLANDS LÄN</t>
        </is>
      </c>
      <c r="E5659" t="inlineStr">
        <is>
          <t>ÖRNSKÖLDSVIK</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17418-2022</t>
        </is>
      </c>
      <c r="B5660" s="1" t="n">
        <v>44679</v>
      </c>
      <c r="C5660" s="1" t="n">
        <v>45657</v>
      </c>
      <c r="D5660" t="inlineStr">
        <is>
          <t>VÄSTERNORRLANDS LÄN</t>
        </is>
      </c>
      <c r="E5660" t="inlineStr">
        <is>
          <t>HÄRNÖSAND</t>
        </is>
      </c>
      <c r="F5660" t="inlineStr">
        <is>
          <t>SCA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17242-2022</t>
        </is>
      </c>
      <c r="B5661" s="1" t="n">
        <v>44679</v>
      </c>
      <c r="C5661" s="1" t="n">
        <v>45657</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17579-2022</t>
        </is>
      </c>
      <c r="B5662" s="1" t="n">
        <v>44679</v>
      </c>
      <c r="C5662" s="1" t="n">
        <v>45657</v>
      </c>
      <c r="D5662" t="inlineStr">
        <is>
          <t>VÄSTERNORRLANDS LÄN</t>
        </is>
      </c>
      <c r="E5662" t="inlineStr">
        <is>
          <t>SUNDSVALL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17586-2022</t>
        </is>
      </c>
      <c r="B5663" s="1" t="n">
        <v>44680</v>
      </c>
      <c r="C5663" s="1" t="n">
        <v>45657</v>
      </c>
      <c r="D5663" t="inlineStr">
        <is>
          <t>VÄSTERNORRLANDS LÄN</t>
        </is>
      </c>
      <c r="E5663" t="inlineStr">
        <is>
          <t>SUNDSVALL</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17603-2022</t>
        </is>
      </c>
      <c r="B5664" s="1" t="n">
        <v>44679</v>
      </c>
      <c r="C5664" s="1" t="n">
        <v>45657</v>
      </c>
      <c r="D5664" t="inlineStr">
        <is>
          <t>VÄSTERNORRLANDS LÄN</t>
        </is>
      </c>
      <c r="E5664" t="inlineStr">
        <is>
          <t>HÄRNÖSAND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17585-2022</t>
        </is>
      </c>
      <c r="B5665" s="1" t="n">
        <v>44679</v>
      </c>
      <c r="C5665" s="1" t="n">
        <v>45657</v>
      </c>
      <c r="D5665" t="inlineStr">
        <is>
          <t>VÄSTERNORRLANDS LÄN</t>
        </is>
      </c>
      <c r="E5665" t="inlineStr">
        <is>
          <t>SUNDSVALL</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17580-2022</t>
        </is>
      </c>
      <c r="B5666" s="1" t="n">
        <v>44679</v>
      </c>
      <c r="C5666" s="1" t="n">
        <v>45657</v>
      </c>
      <c r="D5666" t="inlineStr">
        <is>
          <t>VÄSTERNORRLANDS LÄN</t>
        </is>
      </c>
      <c r="E5666" t="inlineStr">
        <is>
          <t>ÅNGE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17589-2022</t>
        </is>
      </c>
      <c r="B5667" s="1" t="n">
        <v>44679</v>
      </c>
      <c r="C5667" s="1" t="n">
        <v>45657</v>
      </c>
      <c r="D5667" t="inlineStr">
        <is>
          <t>VÄSTERNORRLANDS LÄN</t>
        </is>
      </c>
      <c r="E5667" t="inlineStr">
        <is>
          <t>ÖRNSKÖLDSVIK</t>
        </is>
      </c>
      <c r="F5667" t="inlineStr">
        <is>
          <t>SCA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17739-2022</t>
        </is>
      </c>
      <c r="B5668" s="1" t="n">
        <v>44680</v>
      </c>
      <c r="C5668" s="1" t="n">
        <v>45657</v>
      </c>
      <c r="D5668" t="inlineStr">
        <is>
          <t>VÄSTERNORRLANDS LÄN</t>
        </is>
      </c>
      <c r="E5668" t="inlineStr">
        <is>
          <t>ÖRNSKÖLDSVIK</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17778-2022</t>
        </is>
      </c>
      <c r="B5669" s="1" t="n">
        <v>44682</v>
      </c>
      <c r="C5669" s="1" t="n">
        <v>45657</v>
      </c>
      <c r="D5669" t="inlineStr">
        <is>
          <t>VÄSTERNORRLANDS LÄN</t>
        </is>
      </c>
      <c r="E5669" t="inlineStr">
        <is>
          <t>ÖRNSKÖLDSVIK</t>
        </is>
      </c>
      <c r="G5669" t="n">
        <v>15.6</v>
      </c>
      <c r="H5669" t="n">
        <v>0</v>
      </c>
      <c r="I5669" t="n">
        <v>0</v>
      </c>
      <c r="J5669" t="n">
        <v>0</v>
      </c>
      <c r="K5669" t="n">
        <v>0</v>
      </c>
      <c r="L5669" t="n">
        <v>0</v>
      </c>
      <c r="M5669" t="n">
        <v>0</v>
      </c>
      <c r="N5669" t="n">
        <v>0</v>
      </c>
      <c r="O5669" t="n">
        <v>0</v>
      </c>
      <c r="P5669" t="n">
        <v>0</v>
      </c>
      <c r="Q5669" t="n">
        <v>0</v>
      </c>
      <c r="R5669" s="2" t="inlineStr"/>
    </row>
    <row r="5670" ht="15" customHeight="1">
      <c r="A5670" t="inlineStr">
        <is>
          <t>A 17781-2022</t>
        </is>
      </c>
      <c r="B5670" s="1" t="n">
        <v>44682</v>
      </c>
      <c r="C5670" s="1" t="n">
        <v>45657</v>
      </c>
      <c r="D5670" t="inlineStr">
        <is>
          <t>VÄSTERNORRLANDS LÄN</t>
        </is>
      </c>
      <c r="E5670" t="inlineStr">
        <is>
          <t>ÖRNSKÖLDSVIK</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17779-2022</t>
        </is>
      </c>
      <c r="B5671" s="1" t="n">
        <v>44682</v>
      </c>
      <c r="C5671" s="1" t="n">
        <v>45657</v>
      </c>
      <c r="D5671" t="inlineStr">
        <is>
          <t>VÄSTERNORRLANDS LÄN</t>
        </is>
      </c>
      <c r="E5671" t="inlineStr">
        <is>
          <t>ÖRNSKÖLDSVIK</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17940-2022</t>
        </is>
      </c>
      <c r="B5672" s="1" t="n">
        <v>44683</v>
      </c>
      <c r="C5672" s="1" t="n">
        <v>45657</v>
      </c>
      <c r="D5672" t="inlineStr">
        <is>
          <t>VÄSTERNORRLANDS LÄN</t>
        </is>
      </c>
      <c r="E5672" t="inlineStr">
        <is>
          <t>ÖRNSKÖLDSVIK</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17874-2022</t>
        </is>
      </c>
      <c r="B5673" s="1" t="n">
        <v>44683</v>
      </c>
      <c r="C5673" s="1" t="n">
        <v>45657</v>
      </c>
      <c r="D5673" t="inlineStr">
        <is>
          <t>VÄSTERNORRLANDS LÄN</t>
        </is>
      </c>
      <c r="E5673" t="inlineStr">
        <is>
          <t>ÖRNSKÖLDSVIK</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17995-2022</t>
        </is>
      </c>
      <c r="B5674" s="1" t="n">
        <v>44684</v>
      </c>
      <c r="C5674" s="1" t="n">
        <v>45657</v>
      </c>
      <c r="D5674" t="inlineStr">
        <is>
          <t>VÄSTERNORRLANDS LÄN</t>
        </is>
      </c>
      <c r="E5674" t="inlineStr">
        <is>
          <t>SOLLEFTEÅ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18000-2022</t>
        </is>
      </c>
      <c r="B5675" s="1" t="n">
        <v>44684</v>
      </c>
      <c r="C5675" s="1" t="n">
        <v>45657</v>
      </c>
      <c r="D5675" t="inlineStr">
        <is>
          <t>VÄSTERNORRLANDS LÄN</t>
        </is>
      </c>
      <c r="E5675" t="inlineStr">
        <is>
          <t>SOLLEFTEÅ</t>
        </is>
      </c>
      <c r="F5675" t="inlineStr">
        <is>
          <t>SCA</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18011-2022</t>
        </is>
      </c>
      <c r="B5676" s="1" t="n">
        <v>44683</v>
      </c>
      <c r="C5676" s="1" t="n">
        <v>45657</v>
      </c>
      <c r="D5676" t="inlineStr">
        <is>
          <t>VÄSTERNORRLANDS LÄN</t>
        </is>
      </c>
      <c r="E5676" t="inlineStr">
        <is>
          <t>SOLLEFTEÅ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18015-2022</t>
        </is>
      </c>
      <c r="B5677" s="1" t="n">
        <v>44684</v>
      </c>
      <c r="C5677" s="1" t="n">
        <v>45657</v>
      </c>
      <c r="D5677" t="inlineStr">
        <is>
          <t>VÄSTERNORRLANDS LÄN</t>
        </is>
      </c>
      <c r="E5677" t="inlineStr">
        <is>
          <t>SOLLEFTEÅ</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18020-2022</t>
        </is>
      </c>
      <c r="B5678" s="1" t="n">
        <v>44684</v>
      </c>
      <c r="C5678" s="1" t="n">
        <v>45657</v>
      </c>
      <c r="D5678" t="inlineStr">
        <is>
          <t>VÄSTERNORRLANDS LÄN</t>
        </is>
      </c>
      <c r="E5678" t="inlineStr">
        <is>
          <t>ÅNGE</t>
        </is>
      </c>
      <c r="F5678" t="inlineStr">
        <is>
          <t>SCA</t>
        </is>
      </c>
      <c r="G5678" t="n">
        <v>28.8</v>
      </c>
      <c r="H5678" t="n">
        <v>0</v>
      </c>
      <c r="I5678" t="n">
        <v>0</v>
      </c>
      <c r="J5678" t="n">
        <v>0</v>
      </c>
      <c r="K5678" t="n">
        <v>0</v>
      </c>
      <c r="L5678" t="n">
        <v>0</v>
      </c>
      <c r="M5678" t="n">
        <v>0</v>
      </c>
      <c r="N5678" t="n">
        <v>0</v>
      </c>
      <c r="O5678" t="n">
        <v>0</v>
      </c>
      <c r="P5678" t="n">
        <v>0</v>
      </c>
      <c r="Q5678" t="n">
        <v>0</v>
      </c>
      <c r="R5678" s="2" t="inlineStr"/>
    </row>
    <row r="5679" ht="15" customHeight="1">
      <c r="A5679" t="inlineStr">
        <is>
          <t>A 18016-2022</t>
        </is>
      </c>
      <c r="B5679" s="1" t="n">
        <v>44684</v>
      </c>
      <c r="C5679" s="1" t="n">
        <v>45657</v>
      </c>
      <c r="D5679" t="inlineStr">
        <is>
          <t>VÄSTERNORRLANDS LÄN</t>
        </is>
      </c>
      <c r="E5679" t="inlineStr">
        <is>
          <t>SOLLEFTEÅ</t>
        </is>
      </c>
      <c r="F5679" t="inlineStr">
        <is>
          <t>SCA</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18021-2022</t>
        </is>
      </c>
      <c r="B5680" s="1" t="n">
        <v>44683</v>
      </c>
      <c r="C5680" s="1" t="n">
        <v>45657</v>
      </c>
      <c r="D5680" t="inlineStr">
        <is>
          <t>VÄSTERNORRLANDS LÄN</t>
        </is>
      </c>
      <c r="E5680" t="inlineStr">
        <is>
          <t>ÖRNSKÖLDSVIK</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17993-2022</t>
        </is>
      </c>
      <c r="B5681" s="1" t="n">
        <v>44683</v>
      </c>
      <c r="C5681" s="1" t="n">
        <v>45657</v>
      </c>
      <c r="D5681" t="inlineStr">
        <is>
          <t>VÄSTERNORRLANDS LÄN</t>
        </is>
      </c>
      <c r="E5681" t="inlineStr">
        <is>
          <t>SUNDSVALL</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17999-2022</t>
        </is>
      </c>
      <c r="B5682" s="1" t="n">
        <v>44683</v>
      </c>
      <c r="C5682" s="1" t="n">
        <v>45657</v>
      </c>
      <c r="D5682" t="inlineStr">
        <is>
          <t>VÄSTERNORRLANDS LÄN</t>
        </is>
      </c>
      <c r="E5682" t="inlineStr">
        <is>
          <t>SOLLEFTEÅ</t>
        </is>
      </c>
      <c r="F5682" t="inlineStr">
        <is>
          <t>SCA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18013-2022</t>
        </is>
      </c>
      <c r="B5683" s="1" t="n">
        <v>44684</v>
      </c>
      <c r="C5683" s="1" t="n">
        <v>45657</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18017-2022</t>
        </is>
      </c>
      <c r="B5684" s="1" t="n">
        <v>44683</v>
      </c>
      <c r="C5684" s="1" t="n">
        <v>45657</v>
      </c>
      <c r="D5684" t="inlineStr">
        <is>
          <t>VÄSTERNORRLANDS LÄN</t>
        </is>
      </c>
      <c r="E5684" t="inlineStr">
        <is>
          <t>SOLLEFTEÅ</t>
        </is>
      </c>
      <c r="F5684" t="inlineStr">
        <is>
          <t>SCA</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18023-2022</t>
        </is>
      </c>
      <c r="B5685" s="1" t="n">
        <v>44683</v>
      </c>
      <c r="C5685" s="1" t="n">
        <v>45657</v>
      </c>
      <c r="D5685" t="inlineStr">
        <is>
          <t>VÄSTERNORRLANDS LÄN</t>
        </is>
      </c>
      <c r="E5685" t="inlineStr">
        <is>
          <t>ÖRNSKÖLDSVIK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18024-2022</t>
        </is>
      </c>
      <c r="B5686" s="1" t="n">
        <v>44684</v>
      </c>
      <c r="C5686" s="1" t="n">
        <v>45657</v>
      </c>
      <c r="D5686" t="inlineStr">
        <is>
          <t>VÄSTERNORRLANDS LÄN</t>
        </is>
      </c>
      <c r="E5686" t="inlineStr">
        <is>
          <t>ÅNGE</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17963-2022</t>
        </is>
      </c>
      <c r="B5687" s="1" t="n">
        <v>44683</v>
      </c>
      <c r="C5687" s="1" t="n">
        <v>45657</v>
      </c>
      <c r="D5687" t="inlineStr">
        <is>
          <t>VÄSTERNORRLANDS LÄN</t>
        </is>
      </c>
      <c r="E5687" t="inlineStr">
        <is>
          <t>ÅNGE</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18075-2022</t>
        </is>
      </c>
      <c r="B5688" s="1" t="n">
        <v>44684</v>
      </c>
      <c r="C5688" s="1" t="n">
        <v>45657</v>
      </c>
      <c r="D5688" t="inlineStr">
        <is>
          <t>VÄSTERNORRLANDS LÄN</t>
        </is>
      </c>
      <c r="E5688" t="inlineStr">
        <is>
          <t>ÖRNSKÖLDSVIK</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18187-2022</t>
        </is>
      </c>
      <c r="B5689" s="1" t="n">
        <v>44684</v>
      </c>
      <c r="C5689" s="1" t="n">
        <v>45657</v>
      </c>
      <c r="D5689" t="inlineStr">
        <is>
          <t>VÄSTERNORRLANDS LÄN</t>
        </is>
      </c>
      <c r="E5689" t="inlineStr">
        <is>
          <t>SOLLEFTEÅ</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18074-2022</t>
        </is>
      </c>
      <c r="B5690" s="1" t="n">
        <v>44684</v>
      </c>
      <c r="C5690" s="1" t="n">
        <v>45657</v>
      </c>
      <c r="D5690" t="inlineStr">
        <is>
          <t>VÄSTERNORRLANDS LÄN</t>
        </is>
      </c>
      <c r="E5690" t="inlineStr">
        <is>
          <t>ÖRNSKÖLDSVIK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18190-2022</t>
        </is>
      </c>
      <c r="B5691" s="1" t="n">
        <v>44685</v>
      </c>
      <c r="C5691" s="1" t="n">
        <v>45657</v>
      </c>
      <c r="D5691" t="inlineStr">
        <is>
          <t>VÄSTERNORRLANDS LÄN</t>
        </is>
      </c>
      <c r="E5691" t="inlineStr">
        <is>
          <t>SOLLEFTEÅ</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18197-2022</t>
        </is>
      </c>
      <c r="B5692" s="1" t="n">
        <v>44684</v>
      </c>
      <c r="C5692" s="1" t="n">
        <v>45657</v>
      </c>
      <c r="D5692" t="inlineStr">
        <is>
          <t>VÄSTERNORRLANDS LÄN</t>
        </is>
      </c>
      <c r="E5692" t="inlineStr">
        <is>
          <t>SOLLEFTEÅ</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18207-2022</t>
        </is>
      </c>
      <c r="B5693" s="1" t="n">
        <v>44684</v>
      </c>
      <c r="C5693" s="1" t="n">
        <v>45657</v>
      </c>
      <c r="D5693" t="inlineStr">
        <is>
          <t>VÄSTERNORRLANDS LÄN</t>
        </is>
      </c>
      <c r="E5693" t="inlineStr">
        <is>
          <t>SUNDSVALL</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18188-2022</t>
        </is>
      </c>
      <c r="B5694" s="1" t="n">
        <v>44685</v>
      </c>
      <c r="C5694" s="1" t="n">
        <v>45657</v>
      </c>
      <c r="D5694" t="inlineStr">
        <is>
          <t>VÄSTERNORRLANDS LÄN</t>
        </is>
      </c>
      <c r="E5694" t="inlineStr">
        <is>
          <t>SOLLEFTEÅ</t>
        </is>
      </c>
      <c r="F5694" t="inlineStr">
        <is>
          <t>SCA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18196-2022</t>
        </is>
      </c>
      <c r="B5695" s="1" t="n">
        <v>44685</v>
      </c>
      <c r="C5695" s="1" t="n">
        <v>45657</v>
      </c>
      <c r="D5695" t="inlineStr">
        <is>
          <t>VÄSTERNORRLANDS LÄN</t>
        </is>
      </c>
      <c r="E5695" t="inlineStr">
        <is>
          <t>SOLLEFTEÅ</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18194-2022</t>
        </is>
      </c>
      <c r="B5696" s="1" t="n">
        <v>44684</v>
      </c>
      <c r="C5696" s="1" t="n">
        <v>45657</v>
      </c>
      <c r="D5696" t="inlineStr">
        <is>
          <t>VÄSTERNORRLANDS LÄN</t>
        </is>
      </c>
      <c r="E5696" t="inlineStr">
        <is>
          <t>HÄRNÖSAND</t>
        </is>
      </c>
      <c r="F5696" t="inlineStr">
        <is>
          <t>SCA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18202-2022</t>
        </is>
      </c>
      <c r="B5697" s="1" t="n">
        <v>44684</v>
      </c>
      <c r="C5697" s="1" t="n">
        <v>45657</v>
      </c>
      <c r="D5697" t="inlineStr">
        <is>
          <t>VÄSTERNORRLANDS LÄN</t>
        </is>
      </c>
      <c r="E5697" t="inlineStr">
        <is>
          <t>SOLLEFTEÅ</t>
        </is>
      </c>
      <c r="F5697" t="inlineStr">
        <is>
          <t>SCA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18201-2022</t>
        </is>
      </c>
      <c r="B5698" s="1" t="n">
        <v>44685</v>
      </c>
      <c r="C5698" s="1" t="n">
        <v>45657</v>
      </c>
      <c r="D5698" t="inlineStr">
        <is>
          <t>VÄSTERNORRLANDS LÄN</t>
        </is>
      </c>
      <c r="E5698" t="inlineStr">
        <is>
          <t>ÖRNSKÖLDSVIK</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18266-2022</t>
        </is>
      </c>
      <c r="B5699" s="1" t="n">
        <v>44685</v>
      </c>
      <c r="C5699" s="1" t="n">
        <v>45657</v>
      </c>
      <c r="D5699" t="inlineStr">
        <is>
          <t>VÄSTERNORRLANDS LÄN</t>
        </is>
      </c>
      <c r="E5699" t="inlineStr">
        <is>
          <t>HÄRNÖSAND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18304-2022</t>
        </is>
      </c>
      <c r="B5700" s="1" t="n">
        <v>44685</v>
      </c>
      <c r="C5700" s="1" t="n">
        <v>45657</v>
      </c>
      <c r="D5700" t="inlineStr">
        <is>
          <t>VÄSTERNORRLANDS LÄN</t>
        </is>
      </c>
      <c r="E5700" t="inlineStr">
        <is>
          <t>SOLLEFTEÅ</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18372-2022</t>
        </is>
      </c>
      <c r="B5701" s="1" t="n">
        <v>44685</v>
      </c>
      <c r="C5701" s="1" t="n">
        <v>45657</v>
      </c>
      <c r="D5701" t="inlineStr">
        <is>
          <t>VÄSTERNORRLANDS LÄN</t>
        </is>
      </c>
      <c r="E5701" t="inlineStr">
        <is>
          <t>SOLLEFTEÅ</t>
        </is>
      </c>
      <c r="F5701" t="inlineStr">
        <is>
          <t>SCA</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18452-2022</t>
        </is>
      </c>
      <c r="B5702" s="1" t="n">
        <v>44686</v>
      </c>
      <c r="C5702" s="1" t="n">
        <v>45657</v>
      </c>
      <c r="D5702" t="inlineStr">
        <is>
          <t>VÄSTERNORRLANDS LÄN</t>
        </is>
      </c>
      <c r="E5702" t="inlineStr">
        <is>
          <t>SUNDSVALL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18455-2022</t>
        </is>
      </c>
      <c r="B5703" s="1" t="n">
        <v>44686</v>
      </c>
      <c r="C5703" s="1" t="n">
        <v>45657</v>
      </c>
      <c r="D5703" t="inlineStr">
        <is>
          <t>VÄSTERNORRLANDS LÄN</t>
        </is>
      </c>
      <c r="E5703" t="inlineStr">
        <is>
          <t>SUNDSVALL</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18562-2022</t>
        </is>
      </c>
      <c r="B5704" s="1" t="n">
        <v>44686</v>
      </c>
      <c r="C5704" s="1" t="n">
        <v>45657</v>
      </c>
      <c r="D5704" t="inlineStr">
        <is>
          <t>VÄSTERNORRLANDS LÄN</t>
        </is>
      </c>
      <c r="E5704" t="inlineStr">
        <is>
          <t>ÅNGE</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18542-2022</t>
        </is>
      </c>
      <c r="B5705" s="1" t="n">
        <v>44686</v>
      </c>
      <c r="C5705" s="1" t="n">
        <v>45657</v>
      </c>
      <c r="D5705" t="inlineStr">
        <is>
          <t>VÄSTERNORRLANDS LÄN</t>
        </is>
      </c>
      <c r="E5705" t="inlineStr">
        <is>
          <t>ÅNGE</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18570-2022</t>
        </is>
      </c>
      <c r="B5706" s="1" t="n">
        <v>44687</v>
      </c>
      <c r="C5706" s="1" t="n">
        <v>45657</v>
      </c>
      <c r="D5706" t="inlineStr">
        <is>
          <t>VÄSTERNORRLANDS LÄN</t>
        </is>
      </c>
      <c r="E5706" t="inlineStr">
        <is>
          <t>SOLLEFTEÅ</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18612-2022</t>
        </is>
      </c>
      <c r="B5707" s="1" t="n">
        <v>44687</v>
      </c>
      <c r="C5707" s="1" t="n">
        <v>45657</v>
      </c>
      <c r="D5707" t="inlineStr">
        <is>
          <t>VÄSTERNORRLANDS LÄN</t>
        </is>
      </c>
      <c r="E5707" t="inlineStr">
        <is>
          <t>KRAMFORS</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18422-2022</t>
        </is>
      </c>
      <c r="B5708" s="1" t="n">
        <v>44687</v>
      </c>
      <c r="C5708" s="1" t="n">
        <v>45657</v>
      </c>
      <c r="D5708" t="inlineStr">
        <is>
          <t>VÄSTERNORRLANDS LÄN</t>
        </is>
      </c>
      <c r="E5708" t="inlineStr">
        <is>
          <t>ÖRNSKÖLDSVIK</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18659-2022</t>
        </is>
      </c>
      <c r="B5709" s="1" t="n">
        <v>44687</v>
      </c>
      <c r="C5709" s="1" t="n">
        <v>45657</v>
      </c>
      <c r="D5709" t="inlineStr">
        <is>
          <t>VÄSTERNORRLANDS LÄN</t>
        </is>
      </c>
      <c r="E5709" t="inlineStr">
        <is>
          <t>ÖRNSKÖLDSVIK</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18722-2022</t>
        </is>
      </c>
      <c r="B5710" s="1" t="n">
        <v>44687</v>
      </c>
      <c r="C5710" s="1" t="n">
        <v>45657</v>
      </c>
      <c r="D5710" t="inlineStr">
        <is>
          <t>VÄSTERNORRLANDS LÄN</t>
        </is>
      </c>
      <c r="E5710" t="inlineStr">
        <is>
          <t>ÖRNSKÖLDSVIK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18764-2022</t>
        </is>
      </c>
      <c r="B5711" s="1" t="n">
        <v>44688</v>
      </c>
      <c r="C5711" s="1" t="n">
        <v>45657</v>
      </c>
      <c r="D5711" t="inlineStr">
        <is>
          <t>VÄSTERNORRLANDS LÄN</t>
        </is>
      </c>
      <c r="E5711" t="inlineStr">
        <is>
          <t>KRAMFORS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18770-2022</t>
        </is>
      </c>
      <c r="B5712" s="1" t="n">
        <v>44689</v>
      </c>
      <c r="C5712" s="1" t="n">
        <v>45657</v>
      </c>
      <c r="D5712" t="inlineStr">
        <is>
          <t>VÄSTERNORRLANDS LÄN</t>
        </is>
      </c>
      <c r="E5712" t="inlineStr">
        <is>
          <t>ÖRNSKÖLDSVIK</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18838-2022</t>
        </is>
      </c>
      <c r="B5713" s="1" t="n">
        <v>44690</v>
      </c>
      <c r="C5713" s="1" t="n">
        <v>45657</v>
      </c>
      <c r="D5713" t="inlineStr">
        <is>
          <t>VÄSTERNORRLANDS LÄN</t>
        </is>
      </c>
      <c r="E5713" t="inlineStr">
        <is>
          <t>SUNDSVALL</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18867-2022</t>
        </is>
      </c>
      <c r="B5714" s="1" t="n">
        <v>44690</v>
      </c>
      <c r="C5714" s="1" t="n">
        <v>45657</v>
      </c>
      <c r="D5714" t="inlineStr">
        <is>
          <t>VÄSTERNORRLANDS LÄN</t>
        </is>
      </c>
      <c r="E5714" t="inlineStr">
        <is>
          <t>ÖRNSKÖLDSVIK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18852-2022</t>
        </is>
      </c>
      <c r="B5715" s="1" t="n">
        <v>44690</v>
      </c>
      <c r="C5715" s="1" t="n">
        <v>45657</v>
      </c>
      <c r="D5715" t="inlineStr">
        <is>
          <t>VÄSTERNORRLANDS LÄN</t>
        </is>
      </c>
      <c r="E5715" t="inlineStr">
        <is>
          <t>SOLLEFTEÅ</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18986-2022</t>
        </is>
      </c>
      <c r="B5716" s="1" t="n">
        <v>44691</v>
      </c>
      <c r="C5716" s="1" t="n">
        <v>45657</v>
      </c>
      <c r="D5716" t="inlineStr">
        <is>
          <t>VÄSTERNORRLANDS LÄN</t>
        </is>
      </c>
      <c r="E5716" t="inlineStr">
        <is>
          <t>SUNDSVALL</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18989-2022</t>
        </is>
      </c>
      <c r="B5717" s="1" t="n">
        <v>44690</v>
      </c>
      <c r="C5717" s="1" t="n">
        <v>45657</v>
      </c>
      <c r="D5717" t="inlineStr">
        <is>
          <t>VÄSTERNORRLANDS LÄN</t>
        </is>
      </c>
      <c r="E5717" t="inlineStr">
        <is>
          <t>ÅNGE</t>
        </is>
      </c>
      <c r="F5717" t="inlineStr">
        <is>
          <t>SCA</t>
        </is>
      </c>
      <c r="G5717" t="n">
        <v>37.8</v>
      </c>
      <c r="H5717" t="n">
        <v>0</v>
      </c>
      <c r="I5717" t="n">
        <v>0</v>
      </c>
      <c r="J5717" t="n">
        <v>0</v>
      </c>
      <c r="K5717" t="n">
        <v>0</v>
      </c>
      <c r="L5717" t="n">
        <v>0</v>
      </c>
      <c r="M5717" t="n">
        <v>0</v>
      </c>
      <c r="N5717" t="n">
        <v>0</v>
      </c>
      <c r="O5717" t="n">
        <v>0</v>
      </c>
      <c r="P5717" t="n">
        <v>0</v>
      </c>
      <c r="Q5717" t="n">
        <v>0</v>
      </c>
      <c r="R5717" s="2" t="inlineStr"/>
      <c r="U5717">
        <f>HYPERLINK("https://klasma.github.io/Logging_2260/knärot/A 18989-2022 karta knärot.png", "A 18989-2022")</f>
        <v/>
      </c>
      <c r="V5717">
        <f>HYPERLINK("https://klasma.github.io/Logging_2260/klagomål/A 18989-2022 FSC-klagomål.docx", "A 18989-2022")</f>
        <v/>
      </c>
      <c r="W5717">
        <f>HYPERLINK("https://klasma.github.io/Logging_2260/klagomålsmail/A 18989-2022 FSC-klagomål mail.docx", "A 18989-2022")</f>
        <v/>
      </c>
      <c r="X5717">
        <f>HYPERLINK("https://klasma.github.io/Logging_2260/tillsyn/A 18989-2022 tillsynsbegäran.docx", "A 18989-2022")</f>
        <v/>
      </c>
      <c r="Y5717">
        <f>HYPERLINK("https://klasma.github.io/Logging_2260/tillsynsmail/A 18989-2022 tillsynsbegäran mail.docx", "A 18989-2022")</f>
        <v/>
      </c>
    </row>
    <row r="5718" ht="15" customHeight="1">
      <c r="A5718" t="inlineStr">
        <is>
          <t>A 18987-2022</t>
        </is>
      </c>
      <c r="B5718" s="1" t="n">
        <v>44691</v>
      </c>
      <c r="C5718" s="1" t="n">
        <v>45657</v>
      </c>
      <c r="D5718" t="inlineStr">
        <is>
          <t>VÄSTERNORRLANDS LÄN</t>
        </is>
      </c>
      <c r="E5718" t="inlineStr">
        <is>
          <t>SUNDSVALL</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19055-2022</t>
        </is>
      </c>
      <c r="B5719" s="1" t="n">
        <v>44691</v>
      </c>
      <c r="C5719" s="1" t="n">
        <v>45657</v>
      </c>
      <c r="D5719" t="inlineStr">
        <is>
          <t>VÄSTERNORRLANDS LÄN</t>
        </is>
      </c>
      <c r="E5719" t="inlineStr">
        <is>
          <t>SOLLEFTEÅ</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19178-2022</t>
        </is>
      </c>
      <c r="B5720" s="1" t="n">
        <v>44691</v>
      </c>
      <c r="C5720" s="1" t="n">
        <v>45657</v>
      </c>
      <c r="D5720" t="inlineStr">
        <is>
          <t>VÄSTERNORRLANDS LÄN</t>
        </is>
      </c>
      <c r="E5720" t="inlineStr">
        <is>
          <t>SUNDSVALL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19051-2022</t>
        </is>
      </c>
      <c r="B5721" s="1" t="n">
        <v>44691</v>
      </c>
      <c r="C5721" s="1" t="n">
        <v>45657</v>
      </c>
      <c r="D5721" t="inlineStr">
        <is>
          <t>VÄSTERNORRLANDS LÄN</t>
        </is>
      </c>
      <c r="E5721" t="inlineStr">
        <is>
          <t>SOLLEFTEÅ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19053-2022</t>
        </is>
      </c>
      <c r="B5722" s="1" t="n">
        <v>44691</v>
      </c>
      <c r="C5722" s="1" t="n">
        <v>45657</v>
      </c>
      <c r="D5722" t="inlineStr">
        <is>
          <t>VÄSTERNORRLANDS LÄN</t>
        </is>
      </c>
      <c r="E5722" t="inlineStr">
        <is>
          <t>SOLLEFTEÅ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19193-2022</t>
        </is>
      </c>
      <c r="B5723" s="1" t="n">
        <v>44691</v>
      </c>
      <c r="C5723" s="1" t="n">
        <v>45657</v>
      </c>
      <c r="D5723" t="inlineStr">
        <is>
          <t>VÄSTERNORRLANDS LÄN</t>
        </is>
      </c>
      <c r="E5723" t="inlineStr">
        <is>
          <t>ÖRNSKÖLDSVIK</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19203-2022</t>
        </is>
      </c>
      <c r="B5724" s="1" t="n">
        <v>44692</v>
      </c>
      <c r="C5724" s="1" t="n">
        <v>45657</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19166-2022</t>
        </is>
      </c>
      <c r="B5725" s="1" t="n">
        <v>44691</v>
      </c>
      <c r="C5725" s="1" t="n">
        <v>45657</v>
      </c>
      <c r="D5725" t="inlineStr">
        <is>
          <t>VÄSTERNORRLANDS LÄN</t>
        </is>
      </c>
      <c r="E5725" t="inlineStr">
        <is>
          <t>ÅNGE</t>
        </is>
      </c>
      <c r="F5725" t="inlineStr">
        <is>
          <t>Holmen skog AB</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19176-2022</t>
        </is>
      </c>
      <c r="B5726" s="1" t="n">
        <v>44691</v>
      </c>
      <c r="C5726" s="1" t="n">
        <v>45657</v>
      </c>
      <c r="D5726" t="inlineStr">
        <is>
          <t>VÄSTERNORRLANDS LÄN</t>
        </is>
      </c>
      <c r="E5726" t="inlineStr">
        <is>
          <t>SUNDSVALL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19194-2022</t>
        </is>
      </c>
      <c r="B5727" s="1" t="n">
        <v>44691</v>
      </c>
      <c r="C5727" s="1" t="n">
        <v>45657</v>
      </c>
      <c r="D5727" t="inlineStr">
        <is>
          <t>VÄSTERNORRLANDS LÄN</t>
        </is>
      </c>
      <c r="E5727" t="inlineStr">
        <is>
          <t>ÖRNSKÖLDSVIK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19208-2022</t>
        </is>
      </c>
      <c r="B5728" s="1" t="n">
        <v>44691</v>
      </c>
      <c r="C5728" s="1" t="n">
        <v>45657</v>
      </c>
      <c r="D5728" t="inlineStr">
        <is>
          <t>VÄSTERNORRLANDS LÄN</t>
        </is>
      </c>
      <c r="E5728" t="inlineStr">
        <is>
          <t>SOLLEFTEÅ</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19207-2022</t>
        </is>
      </c>
      <c r="B5729" s="1" t="n">
        <v>44691</v>
      </c>
      <c r="C5729" s="1" t="n">
        <v>45657</v>
      </c>
      <c r="D5729" t="inlineStr">
        <is>
          <t>VÄSTERNORRLANDS LÄN</t>
        </is>
      </c>
      <c r="E5729" t="inlineStr">
        <is>
          <t>HÄRNÖSAND</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19035-2022</t>
        </is>
      </c>
      <c r="B5730" s="1" t="n">
        <v>44691</v>
      </c>
      <c r="C5730" s="1" t="n">
        <v>45657</v>
      </c>
      <c r="D5730" t="inlineStr">
        <is>
          <t>VÄSTERNORRLANDS LÄN</t>
        </is>
      </c>
      <c r="E5730" t="inlineStr">
        <is>
          <t>ÅNGE</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19236-2022</t>
        </is>
      </c>
      <c r="B5731" s="1" t="n">
        <v>44692</v>
      </c>
      <c r="C5731" s="1" t="n">
        <v>45657</v>
      </c>
      <c r="D5731" t="inlineStr">
        <is>
          <t>VÄSTERNORRLANDS LÄN</t>
        </is>
      </c>
      <c r="E5731" t="inlineStr">
        <is>
          <t>ÅNGE</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19295-2022</t>
        </is>
      </c>
      <c r="B5732" s="1" t="n">
        <v>44692</v>
      </c>
      <c r="C5732" s="1" t="n">
        <v>45657</v>
      </c>
      <c r="D5732" t="inlineStr">
        <is>
          <t>VÄSTERNORRLANDS LÄN</t>
        </is>
      </c>
      <c r="E5732" t="inlineStr">
        <is>
          <t>SOLLEFTEÅ</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19388-2022</t>
        </is>
      </c>
      <c r="B5733" s="1" t="n">
        <v>44693</v>
      </c>
      <c r="C5733" s="1" t="n">
        <v>45657</v>
      </c>
      <c r="D5733" t="inlineStr">
        <is>
          <t>VÄSTERNORRLANDS LÄN</t>
        </is>
      </c>
      <c r="E5733" t="inlineStr">
        <is>
          <t>SUNDSVALL</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19385-2022</t>
        </is>
      </c>
      <c r="B5734" s="1" t="n">
        <v>44693</v>
      </c>
      <c r="C5734" s="1" t="n">
        <v>45657</v>
      </c>
      <c r="D5734" t="inlineStr">
        <is>
          <t>VÄSTERNORRLANDS LÄN</t>
        </is>
      </c>
      <c r="E5734" t="inlineStr">
        <is>
          <t>SUNDSVALL</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19468-2022</t>
        </is>
      </c>
      <c r="B5735" s="1" t="n">
        <v>44693</v>
      </c>
      <c r="C5735" s="1" t="n">
        <v>45657</v>
      </c>
      <c r="D5735" t="inlineStr">
        <is>
          <t>VÄSTERNORRLANDS LÄN</t>
        </is>
      </c>
      <c r="E5735" t="inlineStr">
        <is>
          <t>SUNDSVALL</t>
        </is>
      </c>
      <c r="G5735" t="n">
        <v>0.1</v>
      </c>
      <c r="H5735" t="n">
        <v>0</v>
      </c>
      <c r="I5735" t="n">
        <v>0</v>
      </c>
      <c r="J5735" t="n">
        <v>0</v>
      </c>
      <c r="K5735" t="n">
        <v>0</v>
      </c>
      <c r="L5735" t="n">
        <v>0</v>
      </c>
      <c r="M5735" t="n">
        <v>0</v>
      </c>
      <c r="N5735" t="n">
        <v>0</v>
      </c>
      <c r="O5735" t="n">
        <v>0</v>
      </c>
      <c r="P5735" t="n">
        <v>0</v>
      </c>
      <c r="Q5735" t="n">
        <v>0</v>
      </c>
      <c r="R5735" s="2" t="inlineStr"/>
    </row>
    <row r="5736" ht="15" customHeight="1">
      <c r="A5736" t="inlineStr">
        <is>
          <t>A 19414-2022</t>
        </is>
      </c>
      <c r="B5736" s="1" t="n">
        <v>44693</v>
      </c>
      <c r="C5736" s="1" t="n">
        <v>45657</v>
      </c>
      <c r="D5736" t="inlineStr">
        <is>
          <t>VÄSTERNORRLANDS LÄN</t>
        </is>
      </c>
      <c r="E5736" t="inlineStr">
        <is>
          <t>SOLLEFTEÅ</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19416-2022</t>
        </is>
      </c>
      <c r="B5737" s="1" t="n">
        <v>44693</v>
      </c>
      <c r="C5737" s="1" t="n">
        <v>45657</v>
      </c>
      <c r="D5737" t="inlineStr">
        <is>
          <t>VÄSTERNORRLANDS LÄN</t>
        </is>
      </c>
      <c r="E5737" t="inlineStr">
        <is>
          <t>SOLLEFTEÅ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19508-2022</t>
        </is>
      </c>
      <c r="B5738" s="1" t="n">
        <v>44693</v>
      </c>
      <c r="C5738" s="1" t="n">
        <v>45657</v>
      </c>
      <c r="D5738" t="inlineStr">
        <is>
          <t>VÄSTERNORRLANDS LÄN</t>
        </is>
      </c>
      <c r="E5738" t="inlineStr">
        <is>
          <t>SOLLEFTEÅ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19585-2022</t>
        </is>
      </c>
      <c r="B5739" s="1" t="n">
        <v>44693</v>
      </c>
      <c r="C5739" s="1" t="n">
        <v>45657</v>
      </c>
      <c r="D5739" t="inlineStr">
        <is>
          <t>VÄSTERNORRLANDS LÄN</t>
        </is>
      </c>
      <c r="E5739" t="inlineStr">
        <is>
          <t>SOLLEFTEÅ</t>
        </is>
      </c>
      <c r="F5739" t="inlineStr">
        <is>
          <t>SCA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19592-2022</t>
        </is>
      </c>
      <c r="B5740" s="1" t="n">
        <v>44694</v>
      </c>
      <c r="C5740" s="1" t="n">
        <v>45657</v>
      </c>
      <c r="D5740" t="inlineStr">
        <is>
          <t>VÄSTERNORRLANDS LÄN</t>
        </is>
      </c>
      <c r="E5740" t="inlineStr">
        <is>
          <t>ÅNGE</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19604-2022</t>
        </is>
      </c>
      <c r="B5741" s="1" t="n">
        <v>44693</v>
      </c>
      <c r="C5741" s="1" t="n">
        <v>45657</v>
      </c>
      <c r="D5741" t="inlineStr">
        <is>
          <t>VÄSTERNORRLANDS LÄN</t>
        </is>
      </c>
      <c r="E5741" t="inlineStr">
        <is>
          <t>HÄRNÖSAND</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19583-2022</t>
        </is>
      </c>
      <c r="B5742" s="1" t="n">
        <v>44693</v>
      </c>
      <c r="C5742" s="1" t="n">
        <v>45657</v>
      </c>
      <c r="D5742" t="inlineStr">
        <is>
          <t>VÄSTERNORRLANDS LÄN</t>
        </is>
      </c>
      <c r="E5742" t="inlineStr">
        <is>
          <t>SOLLEFTEÅ</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19593-2022</t>
        </is>
      </c>
      <c r="B5743" s="1" t="n">
        <v>44694</v>
      </c>
      <c r="C5743" s="1" t="n">
        <v>45657</v>
      </c>
      <c r="D5743" t="inlineStr">
        <is>
          <t>VÄSTERNORRLANDS LÄN</t>
        </is>
      </c>
      <c r="E5743" t="inlineStr">
        <is>
          <t>SOLLEFTEÅ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19588-2022</t>
        </is>
      </c>
      <c r="B5744" s="1" t="n">
        <v>44694</v>
      </c>
      <c r="C5744" s="1" t="n">
        <v>45657</v>
      </c>
      <c r="D5744" t="inlineStr">
        <is>
          <t>VÄSTERNORRLANDS LÄN</t>
        </is>
      </c>
      <c r="E5744" t="inlineStr">
        <is>
          <t>SOLLEFTEÅ</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19595-2022</t>
        </is>
      </c>
      <c r="B5745" s="1" t="n">
        <v>44693</v>
      </c>
      <c r="C5745" s="1" t="n">
        <v>45657</v>
      </c>
      <c r="D5745" t="inlineStr">
        <is>
          <t>VÄSTERNORRLANDS LÄN</t>
        </is>
      </c>
      <c r="E5745" t="inlineStr">
        <is>
          <t>SOLLEFTEÅ</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19594-2022</t>
        </is>
      </c>
      <c r="B5746" s="1" t="n">
        <v>44694</v>
      </c>
      <c r="C5746" s="1" t="n">
        <v>45657</v>
      </c>
      <c r="D5746" t="inlineStr">
        <is>
          <t>VÄSTERNORRLANDS LÄN</t>
        </is>
      </c>
      <c r="E5746" t="inlineStr">
        <is>
          <t>SOLLEFTEÅ</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19680-2022</t>
        </is>
      </c>
      <c r="B5747" s="1" t="n">
        <v>44694</v>
      </c>
      <c r="C5747" s="1" t="n">
        <v>45657</v>
      </c>
      <c r="D5747" t="inlineStr">
        <is>
          <t>VÄSTERNORRLANDS LÄN</t>
        </is>
      </c>
      <c r="E5747" t="inlineStr">
        <is>
          <t>ÖRNSKÖLDSVIK</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19682-2022</t>
        </is>
      </c>
      <c r="B5748" s="1" t="n">
        <v>44694</v>
      </c>
      <c r="C5748" s="1" t="n">
        <v>45657</v>
      </c>
      <c r="D5748" t="inlineStr">
        <is>
          <t>VÄSTERNORRLANDS LÄN</t>
        </is>
      </c>
      <c r="E5748" t="inlineStr">
        <is>
          <t>ÖRNSKÖLDSVIK</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19788-2022</t>
        </is>
      </c>
      <c r="B5749" s="1" t="n">
        <v>44694</v>
      </c>
      <c r="C5749" s="1" t="n">
        <v>45657</v>
      </c>
      <c r="D5749" t="inlineStr">
        <is>
          <t>VÄSTERNORRLANDS LÄN</t>
        </is>
      </c>
      <c r="E5749" t="inlineStr">
        <is>
          <t>ÖRNSKÖLDSVIK</t>
        </is>
      </c>
      <c r="F5749" t="inlineStr">
        <is>
          <t>Holmen skog AB</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19792-2022</t>
        </is>
      </c>
      <c r="B5750" s="1" t="n">
        <v>44695</v>
      </c>
      <c r="C5750" s="1" t="n">
        <v>45657</v>
      </c>
      <c r="D5750" t="inlineStr">
        <is>
          <t>VÄSTERNORRLANDS LÄN</t>
        </is>
      </c>
      <c r="E5750" t="inlineStr">
        <is>
          <t>ÖRNSKÖLDSVIK</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19825-2022</t>
        </is>
      </c>
      <c r="B5751" s="1" t="n">
        <v>44695</v>
      </c>
      <c r="C5751" s="1" t="n">
        <v>45657</v>
      </c>
      <c r="D5751" t="inlineStr">
        <is>
          <t>VÄSTERNORRLANDS LÄN</t>
        </is>
      </c>
      <c r="E5751" t="inlineStr">
        <is>
          <t>SOLLEFTEÅ</t>
        </is>
      </c>
      <c r="F5751" t="inlineStr">
        <is>
          <t>SCA</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19813-2022</t>
        </is>
      </c>
      <c r="B5752" s="1" t="n">
        <v>44695</v>
      </c>
      <c r="C5752" s="1" t="n">
        <v>45657</v>
      </c>
      <c r="D5752" t="inlineStr">
        <is>
          <t>VÄSTERNORRLANDS LÄN</t>
        </is>
      </c>
      <c r="E5752" t="inlineStr">
        <is>
          <t>SOLLEFTEÅ</t>
        </is>
      </c>
      <c r="F5752" t="inlineStr">
        <is>
          <t>SCA</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19814-2022</t>
        </is>
      </c>
      <c r="B5753" s="1" t="n">
        <v>44695</v>
      </c>
      <c r="C5753" s="1" t="n">
        <v>45657</v>
      </c>
      <c r="D5753" t="inlineStr">
        <is>
          <t>VÄSTERNORRLANDS LÄN</t>
        </is>
      </c>
      <c r="E5753" t="inlineStr">
        <is>
          <t>SOLLEFTEÅ</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19061-2022</t>
        </is>
      </c>
      <c r="B5754" s="1" t="n">
        <v>44697</v>
      </c>
      <c r="C5754" s="1" t="n">
        <v>45657</v>
      </c>
      <c r="D5754" t="inlineStr">
        <is>
          <t>VÄSTERNORRLANDS LÄN</t>
        </is>
      </c>
      <c r="E5754" t="inlineStr">
        <is>
          <t>ÖRNSKÖLDSVIK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20061-2022</t>
        </is>
      </c>
      <c r="B5755" s="1" t="n">
        <v>44698</v>
      </c>
      <c r="C5755" s="1" t="n">
        <v>45657</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20056-2022</t>
        </is>
      </c>
      <c r="B5756" s="1" t="n">
        <v>44698</v>
      </c>
      <c r="C5756" s="1" t="n">
        <v>45657</v>
      </c>
      <c r="D5756" t="inlineStr">
        <is>
          <t>VÄSTERNORRLANDS LÄN</t>
        </is>
      </c>
      <c r="E5756" t="inlineStr">
        <is>
          <t>KRAMFORS</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20062-2022</t>
        </is>
      </c>
      <c r="B5757" s="1" t="n">
        <v>44697</v>
      </c>
      <c r="C5757" s="1" t="n">
        <v>45657</v>
      </c>
      <c r="D5757" t="inlineStr">
        <is>
          <t>VÄSTERNORRLANDS LÄN</t>
        </is>
      </c>
      <c r="E5757" t="inlineStr">
        <is>
          <t>SOLLEFTEÅ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20086-2022</t>
        </is>
      </c>
      <c r="B5758" s="1" t="n">
        <v>44697</v>
      </c>
      <c r="C5758" s="1" t="n">
        <v>45657</v>
      </c>
      <c r="D5758" t="inlineStr">
        <is>
          <t>VÄSTERNORRLANDS LÄN</t>
        </is>
      </c>
      <c r="E5758" t="inlineStr">
        <is>
          <t>SUNDSVALL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20005-2022</t>
        </is>
      </c>
      <c r="B5759" s="1" t="n">
        <v>44697</v>
      </c>
      <c r="C5759" s="1" t="n">
        <v>45657</v>
      </c>
      <c r="D5759" t="inlineStr">
        <is>
          <t>VÄSTERNORRLANDS LÄN</t>
        </is>
      </c>
      <c r="E5759" t="inlineStr">
        <is>
          <t>HÄRNÖSAND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20137-2022</t>
        </is>
      </c>
      <c r="B5760" s="1" t="n">
        <v>44698</v>
      </c>
      <c r="C5760" s="1" t="n">
        <v>45657</v>
      </c>
      <c r="D5760" t="inlineStr">
        <is>
          <t>VÄSTERNORRLANDS LÄN</t>
        </is>
      </c>
      <c r="E5760" t="inlineStr">
        <is>
          <t>ÖRNSKÖLDSVIK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20231-2022</t>
        </is>
      </c>
      <c r="B5761" s="1" t="n">
        <v>44698</v>
      </c>
      <c r="C5761" s="1" t="n">
        <v>45657</v>
      </c>
      <c r="D5761" t="inlineStr">
        <is>
          <t>VÄSTERNORRLANDS LÄN</t>
        </is>
      </c>
      <c r="E5761" t="inlineStr">
        <is>
          <t>ÅNGE</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20096-2022</t>
        </is>
      </c>
      <c r="B5762" s="1" t="n">
        <v>44698</v>
      </c>
      <c r="C5762" s="1" t="n">
        <v>45657</v>
      </c>
      <c r="D5762" t="inlineStr">
        <is>
          <t>VÄSTERNORRLANDS LÄN</t>
        </is>
      </c>
      <c r="E5762" t="inlineStr">
        <is>
          <t>ÖRNSKÖLDSVIK</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20097-2022</t>
        </is>
      </c>
      <c r="B5763" s="1" t="n">
        <v>44698</v>
      </c>
      <c r="C5763" s="1" t="n">
        <v>45657</v>
      </c>
      <c r="D5763" t="inlineStr">
        <is>
          <t>VÄSTERNORRLANDS LÄN</t>
        </is>
      </c>
      <c r="E5763" t="inlineStr">
        <is>
          <t>ÖRNSKÖLDSVIK</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20127-2022</t>
        </is>
      </c>
      <c r="B5764" s="1" t="n">
        <v>44698</v>
      </c>
      <c r="C5764" s="1" t="n">
        <v>45657</v>
      </c>
      <c r="D5764" t="inlineStr">
        <is>
          <t>VÄSTERNORRLANDS LÄN</t>
        </is>
      </c>
      <c r="E5764" t="inlineStr">
        <is>
          <t>ÖRNSKÖLDSVIK</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20138-2022</t>
        </is>
      </c>
      <c r="B5765" s="1" t="n">
        <v>44698</v>
      </c>
      <c r="C5765" s="1" t="n">
        <v>45657</v>
      </c>
      <c r="D5765" t="inlineStr">
        <is>
          <t>VÄSTERNORRLANDS LÄN</t>
        </is>
      </c>
      <c r="E5765" t="inlineStr">
        <is>
          <t>ÖRNSKÖLDSVIK</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20229-2022</t>
        </is>
      </c>
      <c r="B5766" s="1" t="n">
        <v>44698</v>
      </c>
      <c r="C5766" s="1" t="n">
        <v>45657</v>
      </c>
      <c r="D5766" t="inlineStr">
        <is>
          <t>VÄSTERNORRLANDS LÄN</t>
        </is>
      </c>
      <c r="E5766" t="inlineStr">
        <is>
          <t>ÅNGE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20296-2022</t>
        </is>
      </c>
      <c r="B5767" s="1" t="n">
        <v>44698</v>
      </c>
      <c r="C5767" s="1" t="n">
        <v>45657</v>
      </c>
      <c r="D5767" t="inlineStr">
        <is>
          <t>VÄSTERNORRLANDS LÄN</t>
        </is>
      </c>
      <c r="E5767" t="inlineStr">
        <is>
          <t>SOLLEFTEÅ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20474-2022</t>
        </is>
      </c>
      <c r="B5768" s="1" t="n">
        <v>44699</v>
      </c>
      <c r="C5768" s="1" t="n">
        <v>45657</v>
      </c>
      <c r="D5768" t="inlineStr">
        <is>
          <t>VÄSTERNORRLANDS LÄN</t>
        </is>
      </c>
      <c r="E5768" t="inlineStr">
        <is>
          <t>ÖRNSKÖLDSVIK</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20369-2022</t>
        </is>
      </c>
      <c r="B5769" s="1" t="n">
        <v>44699</v>
      </c>
      <c r="C5769" s="1" t="n">
        <v>45657</v>
      </c>
      <c r="D5769" t="inlineStr">
        <is>
          <t>VÄSTERNORRLANDS LÄN</t>
        </is>
      </c>
      <c r="E5769" t="inlineStr">
        <is>
          <t>ÅNGE</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20393-2022</t>
        </is>
      </c>
      <c r="B5770" s="1" t="n">
        <v>44699</v>
      </c>
      <c r="C5770" s="1" t="n">
        <v>45657</v>
      </c>
      <c r="D5770" t="inlineStr">
        <is>
          <t>VÄSTERNORRLANDS LÄN</t>
        </is>
      </c>
      <c r="E5770" t="inlineStr">
        <is>
          <t>ÅNGE</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20463-2022</t>
        </is>
      </c>
      <c r="B5771" s="1" t="n">
        <v>44699</v>
      </c>
      <c r="C5771" s="1" t="n">
        <v>45657</v>
      </c>
      <c r="D5771" t="inlineStr">
        <is>
          <t>VÄSTERNORRLANDS LÄN</t>
        </is>
      </c>
      <c r="E5771" t="inlineStr">
        <is>
          <t>ÖRNSKÖLDSVIK</t>
        </is>
      </c>
      <c r="F5771" t="inlineStr">
        <is>
          <t>Holmen skog AB</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20470-2022</t>
        </is>
      </c>
      <c r="B5772" s="1" t="n">
        <v>44699</v>
      </c>
      <c r="C5772" s="1" t="n">
        <v>45657</v>
      </c>
      <c r="D5772" t="inlineStr">
        <is>
          <t>VÄSTERNORRLANDS LÄN</t>
        </is>
      </c>
      <c r="E5772" t="inlineStr">
        <is>
          <t>ÖRNSKÖLDSVIK</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20476-2022</t>
        </is>
      </c>
      <c r="B5773" s="1" t="n">
        <v>44699</v>
      </c>
      <c r="C5773" s="1" t="n">
        <v>45657</v>
      </c>
      <c r="D5773" t="inlineStr">
        <is>
          <t>VÄSTERNORRLANDS LÄN</t>
        </is>
      </c>
      <c r="E5773" t="inlineStr">
        <is>
          <t>ÖRNSKÖLDSVIK</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20475-2022</t>
        </is>
      </c>
      <c r="B5774" s="1" t="n">
        <v>44699</v>
      </c>
      <c r="C5774" s="1" t="n">
        <v>45657</v>
      </c>
      <c r="D5774" t="inlineStr">
        <is>
          <t>VÄSTERNORRLANDS LÄN</t>
        </is>
      </c>
      <c r="E5774" t="inlineStr">
        <is>
          <t>ÖRNSKÖLDSVIK</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20509-2022</t>
        </is>
      </c>
      <c r="B5775" s="1" t="n">
        <v>44700</v>
      </c>
      <c r="C5775" s="1" t="n">
        <v>45657</v>
      </c>
      <c r="D5775" t="inlineStr">
        <is>
          <t>VÄSTERNORRLANDS LÄN</t>
        </is>
      </c>
      <c r="E5775" t="inlineStr">
        <is>
          <t>SUNDSVALL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20516-2022</t>
        </is>
      </c>
      <c r="B5776" s="1" t="n">
        <v>44700</v>
      </c>
      <c r="C5776" s="1" t="n">
        <v>45657</v>
      </c>
      <c r="D5776" t="inlineStr">
        <is>
          <t>VÄSTERNORRLANDS LÄN</t>
        </is>
      </c>
      <c r="E5776" t="inlineStr">
        <is>
          <t>SUNDSVALL</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20522-2022</t>
        </is>
      </c>
      <c r="B5777" s="1" t="n">
        <v>44699</v>
      </c>
      <c r="C5777" s="1" t="n">
        <v>45657</v>
      </c>
      <c r="D5777" t="inlineStr">
        <is>
          <t>VÄSTERNORRLANDS LÄN</t>
        </is>
      </c>
      <c r="E5777" t="inlineStr">
        <is>
          <t>SUNDSVALL</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20551-2022</t>
        </is>
      </c>
      <c r="B5778" s="1" t="n">
        <v>44699</v>
      </c>
      <c r="C5778" s="1" t="n">
        <v>45657</v>
      </c>
      <c r="D5778" t="inlineStr">
        <is>
          <t>VÄSTERNORRLANDS LÄN</t>
        </is>
      </c>
      <c r="E5778" t="inlineStr">
        <is>
          <t>SOLLEFTEÅ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20510-2022</t>
        </is>
      </c>
      <c r="B5779" s="1" t="n">
        <v>44700</v>
      </c>
      <c r="C5779" s="1" t="n">
        <v>45657</v>
      </c>
      <c r="D5779" t="inlineStr">
        <is>
          <t>VÄSTERNORRLANDS LÄN</t>
        </is>
      </c>
      <c r="E5779" t="inlineStr">
        <is>
          <t>SUNDSVALL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20517-2022</t>
        </is>
      </c>
      <c r="B5780" s="1" t="n">
        <v>44700</v>
      </c>
      <c r="C5780" s="1" t="n">
        <v>45657</v>
      </c>
      <c r="D5780" t="inlineStr">
        <is>
          <t>VÄSTERNORRLANDS LÄN</t>
        </is>
      </c>
      <c r="E5780" t="inlineStr">
        <is>
          <t>SUNDSVALL</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20532-2022</t>
        </is>
      </c>
      <c r="B5781" s="1" t="n">
        <v>44700</v>
      </c>
      <c r="C5781" s="1" t="n">
        <v>45657</v>
      </c>
      <c r="D5781" t="inlineStr">
        <is>
          <t>VÄSTERNORRLANDS LÄN</t>
        </is>
      </c>
      <c r="E5781" t="inlineStr">
        <is>
          <t>ÖRNSKÖLDSVIK</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20533-2022</t>
        </is>
      </c>
      <c r="B5782" s="1" t="n">
        <v>44700</v>
      </c>
      <c r="C5782" s="1" t="n">
        <v>45657</v>
      </c>
      <c r="D5782" t="inlineStr">
        <is>
          <t>VÄSTERNORRLANDS LÄN</t>
        </is>
      </c>
      <c r="E5782" t="inlineStr">
        <is>
          <t>ÖRNSKÖLDSVIK</t>
        </is>
      </c>
      <c r="F5782" t="inlineStr">
        <is>
          <t>SCA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20534-2022</t>
        </is>
      </c>
      <c r="B5783" s="1" t="n">
        <v>44700</v>
      </c>
      <c r="C5783" s="1" t="n">
        <v>45657</v>
      </c>
      <c r="D5783" t="inlineStr">
        <is>
          <t>VÄSTERNORRLANDS LÄN</t>
        </is>
      </c>
      <c r="E5783" t="inlineStr">
        <is>
          <t>ÖRNSKÖLDSVIK</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20542-2022</t>
        </is>
      </c>
      <c r="B5784" s="1" t="n">
        <v>44700</v>
      </c>
      <c r="C5784" s="1" t="n">
        <v>45657</v>
      </c>
      <c r="D5784" t="inlineStr">
        <is>
          <t>VÄSTERNORRLANDS LÄN</t>
        </is>
      </c>
      <c r="E5784" t="inlineStr">
        <is>
          <t>ÖRNSKÖLDSVIK</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20600-2022</t>
        </is>
      </c>
      <c r="B5785" s="1" t="n">
        <v>44700</v>
      </c>
      <c r="C5785" s="1" t="n">
        <v>45657</v>
      </c>
      <c r="D5785" t="inlineStr">
        <is>
          <t>VÄSTERNORRLANDS LÄN</t>
        </is>
      </c>
      <c r="E5785" t="inlineStr">
        <is>
          <t>ÖRNSKÖLDSVIK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20540-2022</t>
        </is>
      </c>
      <c r="B5786" s="1" t="n">
        <v>44700</v>
      </c>
      <c r="C5786" s="1" t="n">
        <v>45657</v>
      </c>
      <c r="D5786" t="inlineStr">
        <is>
          <t>VÄSTERNORRLANDS LÄN</t>
        </is>
      </c>
      <c r="E5786" t="inlineStr">
        <is>
          <t>ÖRNSKÖLDSVIK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20620-2022</t>
        </is>
      </c>
      <c r="B5787" s="1" t="n">
        <v>44700</v>
      </c>
      <c r="C5787" s="1" t="n">
        <v>45657</v>
      </c>
      <c r="D5787" t="inlineStr">
        <is>
          <t>VÄSTERNORRLANDS LÄN</t>
        </is>
      </c>
      <c r="E5787" t="inlineStr">
        <is>
          <t>ÖRNSKÖLDSVIK</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20549-2022</t>
        </is>
      </c>
      <c r="B5788" s="1" t="n">
        <v>44700</v>
      </c>
      <c r="C5788" s="1" t="n">
        <v>45657</v>
      </c>
      <c r="D5788" t="inlineStr">
        <is>
          <t>VÄSTERNORRLANDS LÄN</t>
        </is>
      </c>
      <c r="E5788" t="inlineStr">
        <is>
          <t>ÖRNSKÖLDSVIK</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20655-2022</t>
        </is>
      </c>
      <c r="B5789" s="1" t="n">
        <v>44700</v>
      </c>
      <c r="C5789" s="1" t="n">
        <v>45657</v>
      </c>
      <c r="D5789" t="inlineStr">
        <is>
          <t>VÄSTERNORRLANDS LÄN</t>
        </is>
      </c>
      <c r="E5789" t="inlineStr">
        <is>
          <t>SUNDSVALL</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20676-2022</t>
        </is>
      </c>
      <c r="B5790" s="1" t="n">
        <v>44700</v>
      </c>
      <c r="C5790" s="1" t="n">
        <v>45657</v>
      </c>
      <c r="D5790" t="inlineStr">
        <is>
          <t>VÄSTERNORRLANDS LÄN</t>
        </is>
      </c>
      <c r="E5790" t="inlineStr">
        <is>
          <t>ÖRNSKÖLDSVIK</t>
        </is>
      </c>
      <c r="F5790" t="inlineStr">
        <is>
          <t>Holmen skog AB</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20699-2022</t>
        </is>
      </c>
      <c r="B5791" s="1" t="n">
        <v>44701</v>
      </c>
      <c r="C5791" s="1" t="n">
        <v>45657</v>
      </c>
      <c r="D5791" t="inlineStr">
        <is>
          <t>VÄSTERNORRLANDS LÄN</t>
        </is>
      </c>
      <c r="E5791" t="inlineStr">
        <is>
          <t>SOLLEFTEÅ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20704-2022</t>
        </is>
      </c>
      <c r="B5792" s="1" t="n">
        <v>44700</v>
      </c>
      <c r="C5792" s="1" t="n">
        <v>45657</v>
      </c>
      <c r="D5792" t="inlineStr">
        <is>
          <t>VÄSTERNORRLANDS LÄN</t>
        </is>
      </c>
      <c r="E5792" t="inlineStr">
        <is>
          <t>SOLLEFTEÅ</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20709-2022</t>
        </is>
      </c>
      <c r="B5793" s="1" t="n">
        <v>44701</v>
      </c>
      <c r="C5793" s="1" t="n">
        <v>45657</v>
      </c>
      <c r="D5793" t="inlineStr">
        <is>
          <t>VÄSTERNORRLANDS LÄN</t>
        </is>
      </c>
      <c r="E5793" t="inlineStr">
        <is>
          <t>KRAMFORS</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20702-2022</t>
        </is>
      </c>
      <c r="B5794" s="1" t="n">
        <v>44701</v>
      </c>
      <c r="C5794" s="1" t="n">
        <v>45657</v>
      </c>
      <c r="D5794" t="inlineStr">
        <is>
          <t>VÄSTERNORRLANDS LÄN</t>
        </is>
      </c>
      <c r="E5794" t="inlineStr">
        <is>
          <t>SOLLEFTEÅ</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20715-2022</t>
        </is>
      </c>
      <c r="B5795" s="1" t="n">
        <v>44701</v>
      </c>
      <c r="C5795" s="1" t="n">
        <v>45657</v>
      </c>
      <c r="D5795" t="inlineStr">
        <is>
          <t>VÄSTERNORRLANDS LÄN</t>
        </is>
      </c>
      <c r="E5795" t="inlineStr">
        <is>
          <t>SUNDSVALL</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20700-2022</t>
        </is>
      </c>
      <c r="B5796" s="1" t="n">
        <v>44700</v>
      </c>
      <c r="C5796" s="1" t="n">
        <v>45657</v>
      </c>
      <c r="D5796" t="inlineStr">
        <is>
          <t>VÄSTERNORRLANDS LÄN</t>
        </is>
      </c>
      <c r="E5796" t="inlineStr">
        <is>
          <t>KRAMFORS</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20714-2022</t>
        </is>
      </c>
      <c r="B5797" s="1" t="n">
        <v>44700</v>
      </c>
      <c r="C5797" s="1" t="n">
        <v>45657</v>
      </c>
      <c r="D5797" t="inlineStr">
        <is>
          <t>VÄSTERNORRLANDS LÄN</t>
        </is>
      </c>
      <c r="E5797" t="inlineStr">
        <is>
          <t>SUNDSVALL</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20703-2022</t>
        </is>
      </c>
      <c r="B5798" s="1" t="n">
        <v>44701</v>
      </c>
      <c r="C5798" s="1" t="n">
        <v>45657</v>
      </c>
      <c r="D5798" t="inlineStr">
        <is>
          <t>VÄSTERNORRLANDS LÄN</t>
        </is>
      </c>
      <c r="E5798" t="inlineStr">
        <is>
          <t>SOLLEFTEÅ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20724-2022</t>
        </is>
      </c>
      <c r="B5799" s="1" t="n">
        <v>44700</v>
      </c>
      <c r="C5799" s="1" t="n">
        <v>45657</v>
      </c>
      <c r="D5799" t="inlineStr">
        <is>
          <t>VÄSTERNORRLANDS LÄN</t>
        </is>
      </c>
      <c r="E5799" t="inlineStr">
        <is>
          <t>SOLLEFTEÅ</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20732-2022</t>
        </is>
      </c>
      <c r="B5800" s="1" t="n">
        <v>44701</v>
      </c>
      <c r="C5800" s="1" t="n">
        <v>45657</v>
      </c>
      <c r="D5800" t="inlineStr">
        <is>
          <t>VÄSTERNORRLANDS LÄN</t>
        </is>
      </c>
      <c r="E5800" t="inlineStr">
        <is>
          <t>SUNDSVALL</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20734-2022</t>
        </is>
      </c>
      <c r="B5801" s="1" t="n">
        <v>44701</v>
      </c>
      <c r="C5801" s="1" t="n">
        <v>45657</v>
      </c>
      <c r="D5801" t="inlineStr">
        <is>
          <t>VÄSTERNORRLANDS LÄN</t>
        </is>
      </c>
      <c r="E5801" t="inlineStr">
        <is>
          <t>SUNDSVALL</t>
        </is>
      </c>
      <c r="F5801" t="inlineStr">
        <is>
          <t>SCA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20731-2022</t>
        </is>
      </c>
      <c r="B5802" s="1" t="n">
        <v>44700</v>
      </c>
      <c r="C5802" s="1" t="n">
        <v>45657</v>
      </c>
      <c r="D5802" t="inlineStr">
        <is>
          <t>VÄSTERNORRLANDS LÄN</t>
        </is>
      </c>
      <c r="E5802" t="inlineStr">
        <is>
          <t>SUNDSVALL</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20738-2022</t>
        </is>
      </c>
      <c r="B5803" s="1" t="n">
        <v>44700</v>
      </c>
      <c r="C5803" s="1" t="n">
        <v>45657</v>
      </c>
      <c r="D5803" t="inlineStr">
        <is>
          <t>VÄSTERNORRLANDS LÄN</t>
        </is>
      </c>
      <c r="E5803" t="inlineStr">
        <is>
          <t>SOLLEFTEÅ</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20733-2022</t>
        </is>
      </c>
      <c r="B5804" s="1" t="n">
        <v>44700</v>
      </c>
      <c r="C5804" s="1" t="n">
        <v>45657</v>
      </c>
      <c r="D5804" t="inlineStr">
        <is>
          <t>VÄSTERNORRLANDS LÄN</t>
        </is>
      </c>
      <c r="E5804" t="inlineStr">
        <is>
          <t>SUNDSVALL</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20955-2022</t>
        </is>
      </c>
      <c r="B5805" s="1" t="n">
        <v>44702</v>
      </c>
      <c r="C5805" s="1" t="n">
        <v>45657</v>
      </c>
      <c r="D5805" t="inlineStr">
        <is>
          <t>VÄSTERNORRLANDS LÄN</t>
        </is>
      </c>
      <c r="E5805" t="inlineStr">
        <is>
          <t>SOLLEFTEÅ</t>
        </is>
      </c>
      <c r="F5805" t="inlineStr">
        <is>
          <t>SCA</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20950-2022</t>
        </is>
      </c>
      <c r="B5806" s="1" t="n">
        <v>44701</v>
      </c>
      <c r="C5806" s="1" t="n">
        <v>45657</v>
      </c>
      <c r="D5806" t="inlineStr">
        <is>
          <t>VÄSTERNORRLANDS LÄN</t>
        </is>
      </c>
      <c r="E5806" t="inlineStr">
        <is>
          <t>SOLLEFTEÅ</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20975-2022</t>
        </is>
      </c>
      <c r="B5807" s="1" t="n">
        <v>44702</v>
      </c>
      <c r="C5807" s="1" t="n">
        <v>45657</v>
      </c>
      <c r="D5807" t="inlineStr">
        <is>
          <t>VÄSTERNORRLANDS LÄN</t>
        </is>
      </c>
      <c r="E5807" t="inlineStr">
        <is>
          <t>SUNDSVALL</t>
        </is>
      </c>
      <c r="F5807" t="inlineStr">
        <is>
          <t>SCA</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20954-2022</t>
        </is>
      </c>
      <c r="B5808" s="1" t="n">
        <v>44702</v>
      </c>
      <c r="C5808" s="1" t="n">
        <v>45657</v>
      </c>
      <c r="D5808" t="inlineStr">
        <is>
          <t>VÄSTERNORRLANDS LÄN</t>
        </is>
      </c>
      <c r="E5808" t="inlineStr">
        <is>
          <t>SOLLEFTEÅ</t>
        </is>
      </c>
      <c r="F5808" t="inlineStr">
        <is>
          <t>SCA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20947-2022</t>
        </is>
      </c>
      <c r="B5809" s="1" t="n">
        <v>44702</v>
      </c>
      <c r="C5809" s="1" t="n">
        <v>45657</v>
      </c>
      <c r="D5809" t="inlineStr">
        <is>
          <t>VÄSTERNORRLANDS LÄN</t>
        </is>
      </c>
      <c r="E5809" t="inlineStr">
        <is>
          <t>SUNDSVALL</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20943-2022</t>
        </is>
      </c>
      <c r="B5810" s="1" t="n">
        <v>44701</v>
      </c>
      <c r="C5810" s="1" t="n">
        <v>45657</v>
      </c>
      <c r="D5810" t="inlineStr">
        <is>
          <t>VÄSTERNORRLANDS LÄN</t>
        </is>
      </c>
      <c r="E5810" t="inlineStr">
        <is>
          <t>ÅNGE</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20951-2022</t>
        </is>
      </c>
      <c r="B5811" s="1" t="n">
        <v>44701</v>
      </c>
      <c r="C5811" s="1" t="n">
        <v>45657</v>
      </c>
      <c r="D5811" t="inlineStr">
        <is>
          <t>VÄSTERNORRLANDS LÄN</t>
        </is>
      </c>
      <c r="E5811" t="inlineStr">
        <is>
          <t>SOLLEFTEÅ</t>
        </is>
      </c>
      <c r="F5811" t="inlineStr">
        <is>
          <t>SCA</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20942-2022</t>
        </is>
      </c>
      <c r="B5812" s="1" t="n">
        <v>44701</v>
      </c>
      <c r="C5812" s="1" t="n">
        <v>45657</v>
      </c>
      <c r="D5812" t="inlineStr">
        <is>
          <t>VÄSTERNORRLANDS LÄN</t>
        </is>
      </c>
      <c r="E5812" t="inlineStr">
        <is>
          <t>SOLLEFTEÅ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20996-2022</t>
        </is>
      </c>
      <c r="B5813" s="1" t="n">
        <v>44703</v>
      </c>
      <c r="C5813" s="1" t="n">
        <v>45657</v>
      </c>
      <c r="D5813" t="inlineStr">
        <is>
          <t>VÄSTERNORRLANDS LÄN</t>
        </is>
      </c>
      <c r="E5813" t="inlineStr">
        <is>
          <t>SOLLEFTEÅ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20994-2022</t>
        </is>
      </c>
      <c r="B5814" s="1" t="n">
        <v>44703</v>
      </c>
      <c r="C5814" s="1" t="n">
        <v>45657</v>
      </c>
      <c r="D5814" t="inlineStr">
        <is>
          <t>VÄSTERNORRLANDS LÄN</t>
        </is>
      </c>
      <c r="E5814" t="inlineStr">
        <is>
          <t>SOLLEFTEÅ</t>
        </is>
      </c>
      <c r="F5814" t="inlineStr">
        <is>
          <t>SCA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21038-2022</t>
        </is>
      </c>
      <c r="B5815" s="1" t="n">
        <v>44704</v>
      </c>
      <c r="C5815" s="1" t="n">
        <v>45657</v>
      </c>
      <c r="D5815" t="inlineStr">
        <is>
          <t>VÄSTERNORRLANDS LÄN</t>
        </is>
      </c>
      <c r="E5815" t="inlineStr">
        <is>
          <t>ÖRNSKÖLDSVIK</t>
        </is>
      </c>
      <c r="F5815" t="inlineStr">
        <is>
          <t>Holmen skog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21020-2022</t>
        </is>
      </c>
      <c r="B5816" s="1" t="n">
        <v>44704</v>
      </c>
      <c r="C5816" s="1" t="n">
        <v>45657</v>
      </c>
      <c r="D5816" t="inlineStr">
        <is>
          <t>VÄSTERNORRLANDS LÄN</t>
        </is>
      </c>
      <c r="E5816" t="inlineStr">
        <is>
          <t>ÖRNSKÖLDSVIK</t>
        </is>
      </c>
      <c r="F5816" t="inlineStr">
        <is>
          <t>Holmen skog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21050-2022</t>
        </is>
      </c>
      <c r="B5817" s="1" t="n">
        <v>44704</v>
      </c>
      <c r="C5817" s="1" t="n">
        <v>45657</v>
      </c>
      <c r="D5817" t="inlineStr">
        <is>
          <t>VÄSTERNORRLANDS LÄN</t>
        </is>
      </c>
      <c r="E5817" t="inlineStr">
        <is>
          <t>SOLLEFTEÅ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21182-2022</t>
        </is>
      </c>
      <c r="B5818" s="1" t="n">
        <v>44704</v>
      </c>
      <c r="C5818" s="1" t="n">
        <v>45657</v>
      </c>
      <c r="D5818" t="inlineStr">
        <is>
          <t>VÄSTERNORRLANDS LÄN</t>
        </is>
      </c>
      <c r="E5818" t="inlineStr">
        <is>
          <t>SUNDSVALL</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21191-2022</t>
        </is>
      </c>
      <c r="B5819" s="1" t="n">
        <v>44705</v>
      </c>
      <c r="C5819" s="1" t="n">
        <v>45657</v>
      </c>
      <c r="D5819" t="inlineStr">
        <is>
          <t>VÄSTERNORRLANDS LÄN</t>
        </is>
      </c>
      <c r="E5819" t="inlineStr">
        <is>
          <t>SOLLEFTEÅ</t>
        </is>
      </c>
      <c r="F5819" t="inlineStr">
        <is>
          <t>SCA</t>
        </is>
      </c>
      <c r="G5819" t="n">
        <v>26.5</v>
      </c>
      <c r="H5819" t="n">
        <v>0</v>
      </c>
      <c r="I5819" t="n">
        <v>0</v>
      </c>
      <c r="J5819" t="n">
        <v>0</v>
      </c>
      <c r="K5819" t="n">
        <v>0</v>
      </c>
      <c r="L5819" t="n">
        <v>0</v>
      </c>
      <c r="M5819" t="n">
        <v>0</v>
      </c>
      <c r="N5819" t="n">
        <v>0</v>
      </c>
      <c r="O5819" t="n">
        <v>0</v>
      </c>
      <c r="P5819" t="n">
        <v>0</v>
      </c>
      <c r="Q5819" t="n">
        <v>0</v>
      </c>
      <c r="R5819" s="2" t="inlineStr"/>
    </row>
    <row r="5820" ht="15" customHeight="1">
      <c r="A5820" t="inlineStr">
        <is>
          <t>A 21183-2022</t>
        </is>
      </c>
      <c r="B5820" s="1" t="n">
        <v>44704</v>
      </c>
      <c r="C5820" s="1" t="n">
        <v>45657</v>
      </c>
      <c r="D5820" t="inlineStr">
        <is>
          <t>VÄSTERNORRLANDS LÄN</t>
        </is>
      </c>
      <c r="E5820" t="inlineStr">
        <is>
          <t>SUNDSVALL</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21210-2022</t>
        </is>
      </c>
      <c r="B5821" s="1" t="n">
        <v>44705</v>
      </c>
      <c r="C5821" s="1" t="n">
        <v>45657</v>
      </c>
      <c r="D5821" t="inlineStr">
        <is>
          <t>VÄSTERNORRLANDS LÄN</t>
        </is>
      </c>
      <c r="E5821" t="inlineStr">
        <is>
          <t>SOLLEFTEÅ</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21319-2022</t>
        </is>
      </c>
      <c r="B5822" s="1" t="n">
        <v>44705</v>
      </c>
      <c r="C5822" s="1" t="n">
        <v>45657</v>
      </c>
      <c r="D5822" t="inlineStr">
        <is>
          <t>VÄSTERNORRLANDS LÄN</t>
        </is>
      </c>
      <c r="E5822" t="inlineStr">
        <is>
          <t>ÖRNSKÖLDSVIK</t>
        </is>
      </c>
      <c r="F5822" t="inlineStr">
        <is>
          <t>Holmen skog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21240-2022</t>
        </is>
      </c>
      <c r="B5823" s="1" t="n">
        <v>44705</v>
      </c>
      <c r="C5823" s="1" t="n">
        <v>45657</v>
      </c>
      <c r="D5823" t="inlineStr">
        <is>
          <t>VÄSTERNORRLANDS LÄN</t>
        </is>
      </c>
      <c r="E5823" t="inlineStr">
        <is>
          <t>ÖRNSKÖLDSVIK</t>
        </is>
      </c>
      <c r="F5823" t="inlineStr">
        <is>
          <t>Holmen skog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21318-2022</t>
        </is>
      </c>
      <c r="B5824" s="1" t="n">
        <v>44705</v>
      </c>
      <c r="C5824" s="1" t="n">
        <v>45657</v>
      </c>
      <c r="D5824" t="inlineStr">
        <is>
          <t>VÄSTERNORRLANDS LÄN</t>
        </is>
      </c>
      <c r="E5824" t="inlineStr">
        <is>
          <t>ÖRNSKÖLDSVIK</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21404-2022</t>
        </is>
      </c>
      <c r="B5825" s="1" t="n">
        <v>44706</v>
      </c>
      <c r="C5825" s="1" t="n">
        <v>45657</v>
      </c>
      <c r="D5825" t="inlineStr">
        <is>
          <t>VÄSTERNORRLANDS LÄN</t>
        </is>
      </c>
      <c r="E5825" t="inlineStr">
        <is>
          <t>SOLLEFTEÅ</t>
        </is>
      </c>
      <c r="F5825" t="inlineStr">
        <is>
          <t>SCA</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21412-2022</t>
        </is>
      </c>
      <c r="B5826" s="1" t="n">
        <v>44705</v>
      </c>
      <c r="C5826" s="1" t="n">
        <v>45657</v>
      </c>
      <c r="D5826" t="inlineStr">
        <is>
          <t>VÄSTERNORRLANDS LÄN</t>
        </is>
      </c>
      <c r="E5826" t="inlineStr">
        <is>
          <t>ÅNGE</t>
        </is>
      </c>
      <c r="F5826" t="inlineStr">
        <is>
          <t>SCA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21396-2022</t>
        </is>
      </c>
      <c r="B5827" s="1" t="n">
        <v>44705</v>
      </c>
      <c r="C5827" s="1" t="n">
        <v>45657</v>
      </c>
      <c r="D5827" t="inlineStr">
        <is>
          <t>VÄSTERNORRLANDS LÄN</t>
        </is>
      </c>
      <c r="E5827" t="inlineStr">
        <is>
          <t>SUNDSVALL</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21389-2022</t>
        </is>
      </c>
      <c r="B5828" s="1" t="n">
        <v>44705</v>
      </c>
      <c r="C5828" s="1" t="n">
        <v>45657</v>
      </c>
      <c r="D5828" t="inlineStr">
        <is>
          <t>VÄSTERNORRLANDS LÄN</t>
        </is>
      </c>
      <c r="E5828" t="inlineStr">
        <is>
          <t>SUNDSVALL</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21406-2022</t>
        </is>
      </c>
      <c r="B5829" s="1" t="n">
        <v>44706</v>
      </c>
      <c r="C5829" s="1" t="n">
        <v>45657</v>
      </c>
      <c r="D5829" t="inlineStr">
        <is>
          <t>VÄSTERNORRLANDS LÄN</t>
        </is>
      </c>
      <c r="E5829" t="inlineStr">
        <is>
          <t>ÅNGE</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21409-2022</t>
        </is>
      </c>
      <c r="B5830" s="1" t="n">
        <v>44706</v>
      </c>
      <c r="C5830" s="1" t="n">
        <v>45657</v>
      </c>
      <c r="D5830" t="inlineStr">
        <is>
          <t>VÄSTERNORRLANDS LÄN</t>
        </is>
      </c>
      <c r="E5830" t="inlineStr">
        <is>
          <t>ÅNGE</t>
        </is>
      </c>
      <c r="F5830" t="inlineStr">
        <is>
          <t>SCA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21258-2022</t>
        </is>
      </c>
      <c r="B5831" s="1" t="n">
        <v>44706</v>
      </c>
      <c r="C5831" s="1" t="n">
        <v>45657</v>
      </c>
      <c r="D5831" t="inlineStr">
        <is>
          <t>VÄSTERNORRLANDS LÄN</t>
        </is>
      </c>
      <c r="E5831" t="inlineStr">
        <is>
          <t>ÖRNSKÖLDSVIK</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21471-2022</t>
        </is>
      </c>
      <c r="B5832" s="1" t="n">
        <v>44706</v>
      </c>
      <c r="C5832" s="1" t="n">
        <v>45657</v>
      </c>
      <c r="D5832" t="inlineStr">
        <is>
          <t>VÄSTERNORRLANDS LÄN</t>
        </is>
      </c>
      <c r="E5832" t="inlineStr">
        <is>
          <t>HÄRNÖSAND</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21517-2022</t>
        </is>
      </c>
      <c r="B5833" s="1" t="n">
        <v>44706</v>
      </c>
      <c r="C5833" s="1" t="n">
        <v>45657</v>
      </c>
      <c r="D5833" t="inlineStr">
        <is>
          <t>VÄSTERNORRLANDS LÄN</t>
        </is>
      </c>
      <c r="E5833" t="inlineStr">
        <is>
          <t>ÖRNSKÖLDSVIK</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21590-2022</t>
        </is>
      </c>
      <c r="B5834" s="1" t="n">
        <v>44706</v>
      </c>
      <c r="C5834" s="1" t="n">
        <v>45657</v>
      </c>
      <c r="D5834" t="inlineStr">
        <is>
          <t>VÄSTERNORRLANDS LÄN</t>
        </is>
      </c>
      <c r="E5834" t="inlineStr">
        <is>
          <t>ÖRNSKÖLDSVIK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21625-2022</t>
        </is>
      </c>
      <c r="B5835" s="1" t="n">
        <v>44706</v>
      </c>
      <c r="C5835" s="1" t="n">
        <v>45657</v>
      </c>
      <c r="D5835" t="inlineStr">
        <is>
          <t>VÄSTERNORRLANDS LÄN</t>
        </is>
      </c>
      <c r="E5835" t="inlineStr">
        <is>
          <t>ÖRNSKÖLDSVIK</t>
        </is>
      </c>
      <c r="F5835" t="inlineStr">
        <is>
          <t>Holmen skog AB</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21569-2022</t>
        </is>
      </c>
      <c r="B5836" s="1" t="n">
        <v>44706</v>
      </c>
      <c r="C5836" s="1" t="n">
        <v>45657</v>
      </c>
      <c r="D5836" t="inlineStr">
        <is>
          <t>VÄSTERNORRLANDS LÄN</t>
        </is>
      </c>
      <c r="E5836" t="inlineStr">
        <is>
          <t>ÖRNSKÖLDSVIK</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21582-2022</t>
        </is>
      </c>
      <c r="B5837" s="1" t="n">
        <v>44706</v>
      </c>
      <c r="C5837" s="1" t="n">
        <v>45657</v>
      </c>
      <c r="D5837" t="inlineStr">
        <is>
          <t>VÄSTERNORRLANDS LÄN</t>
        </is>
      </c>
      <c r="E5837" t="inlineStr">
        <is>
          <t>SOLLEFTEÅ</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21637-2022</t>
        </is>
      </c>
      <c r="B5838" s="1" t="n">
        <v>44707</v>
      </c>
      <c r="C5838" s="1" t="n">
        <v>45657</v>
      </c>
      <c r="D5838" t="inlineStr">
        <is>
          <t>VÄSTERNORRLANDS LÄN</t>
        </is>
      </c>
      <c r="E5838" t="inlineStr">
        <is>
          <t>SOLLEFTEÅ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21533-2022</t>
        </is>
      </c>
      <c r="B5839" s="1" t="n">
        <v>44706</v>
      </c>
      <c r="C5839" s="1" t="n">
        <v>45657</v>
      </c>
      <c r="D5839" t="inlineStr">
        <is>
          <t>VÄSTERNORRLANDS LÄN</t>
        </is>
      </c>
      <c r="E5839" t="inlineStr">
        <is>
          <t>ÖRNSKÖLDSVIK</t>
        </is>
      </c>
      <c r="F5839" t="inlineStr">
        <is>
          <t>Holmen skog AB</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21595-2022</t>
        </is>
      </c>
      <c r="B5840" s="1" t="n">
        <v>44706</v>
      </c>
      <c r="C5840" s="1" t="n">
        <v>45657</v>
      </c>
      <c r="D5840" t="inlineStr">
        <is>
          <t>VÄSTERNORRLANDS LÄN</t>
        </is>
      </c>
      <c r="E5840" t="inlineStr">
        <is>
          <t>ÖRNSKÖLDSVIK</t>
        </is>
      </c>
      <c r="F5840" t="inlineStr">
        <is>
          <t>Holmen skog AB</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21558-2022</t>
        </is>
      </c>
      <c r="B5841" s="1" t="n">
        <v>44706</v>
      </c>
      <c r="C5841" s="1" t="n">
        <v>45657</v>
      </c>
      <c r="D5841" t="inlineStr">
        <is>
          <t>VÄSTERNORRLANDS LÄN</t>
        </is>
      </c>
      <c r="E5841" t="inlineStr">
        <is>
          <t>ÖRNSKÖLDSVIK</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21601-2022</t>
        </is>
      </c>
      <c r="B5842" s="1" t="n">
        <v>44706</v>
      </c>
      <c r="C5842" s="1" t="n">
        <v>45657</v>
      </c>
      <c r="D5842" t="inlineStr">
        <is>
          <t>VÄSTERNORRLANDS LÄN</t>
        </is>
      </c>
      <c r="E5842" t="inlineStr">
        <is>
          <t>ÖRNSKÖLDSVIK</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21636-2022</t>
        </is>
      </c>
      <c r="B5843" s="1" t="n">
        <v>44707</v>
      </c>
      <c r="C5843" s="1" t="n">
        <v>45657</v>
      </c>
      <c r="D5843" t="inlineStr">
        <is>
          <t>VÄSTERNORRLANDS LÄN</t>
        </is>
      </c>
      <c r="E5843" t="inlineStr">
        <is>
          <t>SOLLEFTEÅ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21635-2022</t>
        </is>
      </c>
      <c r="B5844" s="1" t="n">
        <v>44707</v>
      </c>
      <c r="C5844" s="1" t="n">
        <v>45657</v>
      </c>
      <c r="D5844" t="inlineStr">
        <is>
          <t>VÄSTERNORRLANDS LÄN</t>
        </is>
      </c>
      <c r="E5844" t="inlineStr">
        <is>
          <t>SOLLEFTEÅ</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21706-2022</t>
        </is>
      </c>
      <c r="B5845" s="1" t="n">
        <v>44707</v>
      </c>
      <c r="C5845" s="1" t="n">
        <v>45657</v>
      </c>
      <c r="D5845" t="inlineStr">
        <is>
          <t>VÄSTERNORRLANDS LÄN</t>
        </is>
      </c>
      <c r="E5845" t="inlineStr">
        <is>
          <t>ÖRNSKÖLDSVIK</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21703-2022</t>
        </is>
      </c>
      <c r="B5846" s="1" t="n">
        <v>44707</v>
      </c>
      <c r="C5846" s="1" t="n">
        <v>45657</v>
      </c>
      <c r="D5846" t="inlineStr">
        <is>
          <t>VÄSTERNORRLANDS LÄN</t>
        </is>
      </c>
      <c r="E5846" t="inlineStr">
        <is>
          <t>ÖRNSKÖLDSVIK</t>
        </is>
      </c>
      <c r="F5846" t="inlineStr">
        <is>
          <t>SCA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21707-2022</t>
        </is>
      </c>
      <c r="B5847" s="1" t="n">
        <v>44707</v>
      </c>
      <c r="C5847" s="1" t="n">
        <v>45657</v>
      </c>
      <c r="D5847" t="inlineStr">
        <is>
          <t>VÄSTERNORRLANDS LÄN</t>
        </is>
      </c>
      <c r="E5847" t="inlineStr">
        <is>
          <t>ÖRNSKÖLDSVIK</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21713-2022</t>
        </is>
      </c>
      <c r="B5848" s="1" t="n">
        <v>44708</v>
      </c>
      <c r="C5848" s="1" t="n">
        <v>45657</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21704-2022</t>
        </is>
      </c>
      <c r="B5849" s="1" t="n">
        <v>44707</v>
      </c>
      <c r="C5849" s="1" t="n">
        <v>45657</v>
      </c>
      <c r="D5849" t="inlineStr">
        <is>
          <t>VÄSTERNORRLANDS LÄN</t>
        </is>
      </c>
      <c r="E5849" t="inlineStr">
        <is>
          <t>ÖRNSKÖLDSVIK</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21714-2022</t>
        </is>
      </c>
      <c r="B5850" s="1" t="n">
        <v>44708</v>
      </c>
      <c r="C5850" s="1" t="n">
        <v>45657</v>
      </c>
      <c r="D5850" t="inlineStr">
        <is>
          <t>VÄSTERNORRLANDS LÄN</t>
        </is>
      </c>
      <c r="E5850" t="inlineStr">
        <is>
          <t>SOLLEFTEÅ</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21705-2022</t>
        </is>
      </c>
      <c r="B5851" s="1" t="n">
        <v>44708</v>
      </c>
      <c r="C5851" s="1" t="n">
        <v>45657</v>
      </c>
      <c r="D5851" t="inlineStr">
        <is>
          <t>VÄSTERNORRLANDS LÄN</t>
        </is>
      </c>
      <c r="E5851" t="inlineStr">
        <is>
          <t>ÖRNSKÖLDSVIK</t>
        </is>
      </c>
      <c r="F5851" t="inlineStr">
        <is>
          <t>SCA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21709-2022</t>
        </is>
      </c>
      <c r="B5852" s="1" t="n">
        <v>44708</v>
      </c>
      <c r="C5852" s="1" t="n">
        <v>45657</v>
      </c>
      <c r="D5852" t="inlineStr">
        <is>
          <t>VÄSTERNORRLANDS LÄN</t>
        </is>
      </c>
      <c r="E5852" t="inlineStr">
        <is>
          <t>KRAMFORS</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21715-2022</t>
        </is>
      </c>
      <c r="B5853" s="1" t="n">
        <v>44708</v>
      </c>
      <c r="C5853" s="1" t="n">
        <v>45657</v>
      </c>
      <c r="D5853" t="inlineStr">
        <is>
          <t>VÄSTERNORRLANDS LÄN</t>
        </is>
      </c>
      <c r="E5853" t="inlineStr">
        <is>
          <t>SOLLEFTEÅ</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21711-2022</t>
        </is>
      </c>
      <c r="B5854" s="1" t="n">
        <v>44707</v>
      </c>
      <c r="C5854" s="1" t="n">
        <v>45657</v>
      </c>
      <c r="D5854" t="inlineStr">
        <is>
          <t>VÄSTERNORRLANDS LÄN</t>
        </is>
      </c>
      <c r="E5854" t="inlineStr">
        <is>
          <t>SOLLEFTEÅ</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21725-2022</t>
        </is>
      </c>
      <c r="B5855" s="1" t="n">
        <v>44708</v>
      </c>
      <c r="C5855" s="1" t="n">
        <v>45657</v>
      </c>
      <c r="D5855" t="inlineStr">
        <is>
          <t>VÄSTERNORRLANDS LÄN</t>
        </is>
      </c>
      <c r="E5855" t="inlineStr">
        <is>
          <t>ÖRNSKÖLDSVIK</t>
        </is>
      </c>
      <c r="F5855" t="inlineStr">
        <is>
          <t>Holmen skog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21733-2022</t>
        </is>
      </c>
      <c r="B5856" s="1" t="n">
        <v>44708</v>
      </c>
      <c r="C5856" s="1" t="n">
        <v>45657</v>
      </c>
      <c r="D5856" t="inlineStr">
        <is>
          <t>VÄSTERNORRLANDS LÄN</t>
        </is>
      </c>
      <c r="E5856" t="inlineStr">
        <is>
          <t>ÖRNSKÖLDSVIK</t>
        </is>
      </c>
      <c r="F5856" t="inlineStr">
        <is>
          <t>Holmen skog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21740-2022</t>
        </is>
      </c>
      <c r="B5857" s="1" t="n">
        <v>44708</v>
      </c>
      <c r="C5857" s="1" t="n">
        <v>45657</v>
      </c>
      <c r="D5857" t="inlineStr">
        <is>
          <t>VÄSTERNORRLANDS LÄN</t>
        </is>
      </c>
      <c r="E5857" t="inlineStr">
        <is>
          <t>ÅNGE</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21790-2022</t>
        </is>
      </c>
      <c r="B5858" s="1" t="n">
        <v>44708</v>
      </c>
      <c r="C5858" s="1" t="n">
        <v>45657</v>
      </c>
      <c r="D5858" t="inlineStr">
        <is>
          <t>VÄSTERNORRLANDS LÄN</t>
        </is>
      </c>
      <c r="E5858" t="inlineStr">
        <is>
          <t>ÖRNSKÖLDSVIK</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21744-2022</t>
        </is>
      </c>
      <c r="B5859" s="1" t="n">
        <v>44708</v>
      </c>
      <c r="C5859" s="1" t="n">
        <v>45657</v>
      </c>
      <c r="D5859" t="inlineStr">
        <is>
          <t>VÄSTERNORRLANDS LÄN</t>
        </is>
      </c>
      <c r="E5859" t="inlineStr">
        <is>
          <t>ÅNGE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21807-2022</t>
        </is>
      </c>
      <c r="B5860" s="1" t="n">
        <v>44708</v>
      </c>
      <c r="C5860" s="1" t="n">
        <v>45657</v>
      </c>
      <c r="D5860" t="inlineStr">
        <is>
          <t>VÄSTERNORRLANDS LÄN</t>
        </is>
      </c>
      <c r="E5860" t="inlineStr">
        <is>
          <t>SOLLEFTEÅ</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21870-2022</t>
        </is>
      </c>
      <c r="B5861" s="1" t="n">
        <v>44711</v>
      </c>
      <c r="C5861" s="1" t="n">
        <v>45657</v>
      </c>
      <c r="D5861" t="inlineStr">
        <is>
          <t>VÄSTERNORRLANDS LÄN</t>
        </is>
      </c>
      <c r="E5861" t="inlineStr">
        <is>
          <t>ÖRNSKÖLDSVIK</t>
        </is>
      </c>
      <c r="G5861" t="n">
        <v>9.699999999999999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21896-2022</t>
        </is>
      </c>
      <c r="B5862" s="1" t="n">
        <v>44711</v>
      </c>
      <c r="C5862" s="1" t="n">
        <v>45657</v>
      </c>
      <c r="D5862" t="inlineStr">
        <is>
          <t>VÄSTERNORRLANDS LÄN</t>
        </is>
      </c>
      <c r="E5862" t="inlineStr">
        <is>
          <t>ÖRNSKÖLDSVIK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21988-2022</t>
        </is>
      </c>
      <c r="B5863" s="1" t="n">
        <v>44711</v>
      </c>
      <c r="C5863" s="1" t="n">
        <v>45657</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22077-2022</t>
        </is>
      </c>
      <c r="B5864" s="1" t="n">
        <v>44712</v>
      </c>
      <c r="C5864" s="1" t="n">
        <v>45657</v>
      </c>
      <c r="D5864" t="inlineStr">
        <is>
          <t>VÄSTERNORRLANDS LÄN</t>
        </is>
      </c>
      <c r="E5864" t="inlineStr">
        <is>
          <t>ÖRNSKÖLDSVIK</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22078-2022</t>
        </is>
      </c>
      <c r="B5865" s="1" t="n">
        <v>44712</v>
      </c>
      <c r="C5865" s="1" t="n">
        <v>45657</v>
      </c>
      <c r="D5865" t="inlineStr">
        <is>
          <t>VÄSTERNORRLANDS LÄN</t>
        </is>
      </c>
      <c r="E5865" t="inlineStr">
        <is>
          <t>ÖRNSKÖLDSVIK</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22101-2022</t>
        </is>
      </c>
      <c r="B5866" s="1" t="n">
        <v>44712</v>
      </c>
      <c r="C5866" s="1" t="n">
        <v>45657</v>
      </c>
      <c r="D5866" t="inlineStr">
        <is>
          <t>VÄSTERNORRLANDS LÄN</t>
        </is>
      </c>
      <c r="E5866" t="inlineStr">
        <is>
          <t>SOLLEFTEÅ</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22087-2022</t>
        </is>
      </c>
      <c r="B5867" s="1" t="n">
        <v>44712</v>
      </c>
      <c r="C5867" s="1" t="n">
        <v>45657</v>
      </c>
      <c r="D5867" t="inlineStr">
        <is>
          <t>VÄSTERNORRLANDS LÄN</t>
        </is>
      </c>
      <c r="E5867" t="inlineStr">
        <is>
          <t>SOLLEFTEÅ</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22103-2022</t>
        </is>
      </c>
      <c r="B5868" s="1" t="n">
        <v>44712</v>
      </c>
      <c r="C5868" s="1" t="n">
        <v>45657</v>
      </c>
      <c r="D5868" t="inlineStr">
        <is>
          <t>VÄSTERNORRLANDS LÄN</t>
        </is>
      </c>
      <c r="E5868" t="inlineStr">
        <is>
          <t>SOLLEFTEÅ</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22139-2022</t>
        </is>
      </c>
      <c r="B5869" s="1" t="n">
        <v>44712</v>
      </c>
      <c r="C5869" s="1" t="n">
        <v>45657</v>
      </c>
      <c r="D5869" t="inlineStr">
        <is>
          <t>VÄSTERNORRLANDS LÄN</t>
        </is>
      </c>
      <c r="E5869" t="inlineStr">
        <is>
          <t>ÖRNSKÖLDSVIK</t>
        </is>
      </c>
      <c r="F5869" t="inlineStr">
        <is>
          <t>Holmen skog AB</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22194-2022</t>
        </is>
      </c>
      <c r="B5870" s="1" t="n">
        <v>44712</v>
      </c>
      <c r="C5870" s="1" t="n">
        <v>45657</v>
      </c>
      <c r="D5870" t="inlineStr">
        <is>
          <t>VÄSTERNORRLANDS LÄN</t>
        </is>
      </c>
      <c r="E5870" t="inlineStr">
        <is>
          <t>TIMRÅ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22215-2022</t>
        </is>
      </c>
      <c r="B5871" s="1" t="n">
        <v>44712</v>
      </c>
      <c r="C5871" s="1" t="n">
        <v>45657</v>
      </c>
      <c r="D5871" t="inlineStr">
        <is>
          <t>VÄSTERNORRLANDS LÄN</t>
        </is>
      </c>
      <c r="E5871" t="inlineStr">
        <is>
          <t>KRAMFORS</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22218-2022</t>
        </is>
      </c>
      <c r="B5872" s="1" t="n">
        <v>44712</v>
      </c>
      <c r="C5872" s="1" t="n">
        <v>45657</v>
      </c>
      <c r="D5872" t="inlineStr">
        <is>
          <t>VÄSTERNORRLANDS LÄN</t>
        </is>
      </c>
      <c r="E5872" t="inlineStr">
        <is>
          <t>KRAMFORS</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22249-2022</t>
        </is>
      </c>
      <c r="B5873" s="1" t="n">
        <v>44712</v>
      </c>
      <c r="C5873" s="1" t="n">
        <v>45657</v>
      </c>
      <c r="D5873" t="inlineStr">
        <is>
          <t>VÄSTERNORRLANDS LÄN</t>
        </is>
      </c>
      <c r="E5873" t="inlineStr">
        <is>
          <t>SUNDSVALL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22285-2022</t>
        </is>
      </c>
      <c r="B5874" s="1" t="n">
        <v>44712</v>
      </c>
      <c r="C5874" s="1" t="n">
        <v>45657</v>
      </c>
      <c r="D5874" t="inlineStr">
        <is>
          <t>VÄSTERNORRLANDS LÄN</t>
        </is>
      </c>
      <c r="E5874" t="inlineStr">
        <is>
          <t>ÖRNSKÖLDSVIK</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22330-2022</t>
        </is>
      </c>
      <c r="B5875" s="1" t="n">
        <v>44712</v>
      </c>
      <c r="C5875" s="1" t="n">
        <v>45657</v>
      </c>
      <c r="D5875" t="inlineStr">
        <is>
          <t>VÄSTERNORRLANDS LÄN</t>
        </is>
      </c>
      <c r="E5875" t="inlineStr">
        <is>
          <t>SOLLEFTEÅ</t>
        </is>
      </c>
      <c r="F5875" t="inlineStr">
        <is>
          <t>SCA</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22341-2022</t>
        </is>
      </c>
      <c r="B5876" s="1" t="n">
        <v>44713</v>
      </c>
      <c r="C5876" s="1" t="n">
        <v>45657</v>
      </c>
      <c r="D5876" t="inlineStr">
        <is>
          <t>VÄSTERNORRLANDS LÄN</t>
        </is>
      </c>
      <c r="E5876" t="inlineStr">
        <is>
          <t>SOLLEFTEÅ</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22342-2022</t>
        </is>
      </c>
      <c r="B5877" s="1" t="n">
        <v>44713</v>
      </c>
      <c r="C5877" s="1" t="n">
        <v>45657</v>
      </c>
      <c r="D5877" t="inlineStr">
        <is>
          <t>VÄSTERNORRLANDS LÄN</t>
        </is>
      </c>
      <c r="E5877" t="inlineStr">
        <is>
          <t>SOLLEFTEÅ</t>
        </is>
      </c>
      <c r="F5877" t="inlineStr">
        <is>
          <t>SCA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22343-2022</t>
        </is>
      </c>
      <c r="B5878" s="1" t="n">
        <v>44713</v>
      </c>
      <c r="C5878" s="1" t="n">
        <v>45657</v>
      </c>
      <c r="D5878" t="inlineStr">
        <is>
          <t>VÄSTERNORRLANDS LÄN</t>
        </is>
      </c>
      <c r="E5878" t="inlineStr">
        <is>
          <t>SOLLEFTEÅ</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22492-2022</t>
        </is>
      </c>
      <c r="B5879" s="1" t="n">
        <v>44713</v>
      </c>
      <c r="C5879" s="1" t="n">
        <v>45657</v>
      </c>
      <c r="D5879" t="inlineStr">
        <is>
          <t>VÄSTERNORRLANDS LÄN</t>
        </is>
      </c>
      <c r="E5879" t="inlineStr">
        <is>
          <t>ÖRNSKÖLDSVIK</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22525-2022</t>
        </is>
      </c>
      <c r="B5880" s="1" t="n">
        <v>44713</v>
      </c>
      <c r="C5880" s="1" t="n">
        <v>45657</v>
      </c>
      <c r="D5880" t="inlineStr">
        <is>
          <t>VÄSTERNORRLANDS LÄN</t>
        </is>
      </c>
      <c r="E5880" t="inlineStr">
        <is>
          <t>ÖRNSKÖLDSVIK</t>
        </is>
      </c>
      <c r="F5880" t="inlineStr">
        <is>
          <t>Holmen skog AB</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22378-2022</t>
        </is>
      </c>
      <c r="B5881" s="1" t="n">
        <v>44713</v>
      </c>
      <c r="C5881" s="1" t="n">
        <v>45657</v>
      </c>
      <c r="D5881" t="inlineStr">
        <is>
          <t>VÄSTERNORRLANDS LÄN</t>
        </is>
      </c>
      <c r="E5881" t="inlineStr">
        <is>
          <t>ÖRNSKÖLDSVIK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22398-2022</t>
        </is>
      </c>
      <c r="B5882" s="1" t="n">
        <v>44713</v>
      </c>
      <c r="C5882" s="1" t="n">
        <v>45657</v>
      </c>
      <c r="D5882" t="inlineStr">
        <is>
          <t>VÄSTERNORRLANDS LÄN</t>
        </is>
      </c>
      <c r="E5882" t="inlineStr">
        <is>
          <t>ÖRNSKÖLDSVIK</t>
        </is>
      </c>
      <c r="F5882" t="inlineStr">
        <is>
          <t>Holmen skog AB</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22414-2022</t>
        </is>
      </c>
      <c r="B5883" s="1" t="n">
        <v>44713</v>
      </c>
      <c r="C5883" s="1" t="n">
        <v>45657</v>
      </c>
      <c r="D5883" t="inlineStr">
        <is>
          <t>VÄSTERNORRLANDS LÄN</t>
        </is>
      </c>
      <c r="E5883" t="inlineStr">
        <is>
          <t>ÖRNSKÖLDSVIK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22434-2022</t>
        </is>
      </c>
      <c r="B5884" s="1" t="n">
        <v>44713</v>
      </c>
      <c r="C5884" s="1" t="n">
        <v>45657</v>
      </c>
      <c r="D5884" t="inlineStr">
        <is>
          <t>VÄSTERNORRLANDS LÄN</t>
        </is>
      </c>
      <c r="E5884" t="inlineStr">
        <is>
          <t>ÖRNSKÖLDSVIK</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22486-2022</t>
        </is>
      </c>
      <c r="B5885" s="1" t="n">
        <v>44713</v>
      </c>
      <c r="C5885" s="1" t="n">
        <v>45657</v>
      </c>
      <c r="D5885" t="inlineStr">
        <is>
          <t>VÄSTERNORRLANDS LÄN</t>
        </is>
      </c>
      <c r="E5885" t="inlineStr">
        <is>
          <t>SUNDSVALL</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22452-2022</t>
        </is>
      </c>
      <c r="B5886" s="1" t="n">
        <v>44713</v>
      </c>
      <c r="C5886" s="1" t="n">
        <v>45657</v>
      </c>
      <c r="D5886" t="inlineStr">
        <is>
          <t>VÄSTERNORRLANDS LÄN</t>
        </is>
      </c>
      <c r="E5886" t="inlineStr">
        <is>
          <t>ÖRNSKÖLDSVIK</t>
        </is>
      </c>
      <c r="F5886" t="inlineStr">
        <is>
          <t>Holmen skog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22569-2022</t>
        </is>
      </c>
      <c r="B5887" s="1" t="n">
        <v>44713</v>
      </c>
      <c r="C5887" s="1" t="n">
        <v>45657</v>
      </c>
      <c r="D5887" t="inlineStr">
        <is>
          <t>VÄSTERNORRLANDS LÄN</t>
        </is>
      </c>
      <c r="E5887" t="inlineStr">
        <is>
          <t>ÖRNSKÖLDSVIK</t>
        </is>
      </c>
      <c r="F5887" t="inlineStr">
        <is>
          <t>SCA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22570-2022</t>
        </is>
      </c>
      <c r="B5888" s="1" t="n">
        <v>44714</v>
      </c>
      <c r="C5888" s="1" t="n">
        <v>45657</v>
      </c>
      <c r="D5888" t="inlineStr">
        <is>
          <t>VÄSTERNORRLANDS LÄN</t>
        </is>
      </c>
      <c r="E5888" t="inlineStr">
        <is>
          <t>ÖRNSKÖLDSVIK</t>
        </is>
      </c>
      <c r="F5888" t="inlineStr">
        <is>
          <t>SCA</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22563-2022</t>
        </is>
      </c>
      <c r="B5889" s="1" t="n">
        <v>44714</v>
      </c>
      <c r="C5889" s="1" t="n">
        <v>45657</v>
      </c>
      <c r="D5889" t="inlineStr">
        <is>
          <t>VÄSTERNORRLANDS LÄN</t>
        </is>
      </c>
      <c r="E5889" t="inlineStr">
        <is>
          <t>SUNDSVALL</t>
        </is>
      </c>
      <c r="F5889" t="inlineStr">
        <is>
          <t>SCA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22666-2022</t>
        </is>
      </c>
      <c r="B5890" s="1" t="n">
        <v>44714</v>
      </c>
      <c r="C5890" s="1" t="n">
        <v>45657</v>
      </c>
      <c r="D5890" t="inlineStr">
        <is>
          <t>VÄSTERNORRLANDS LÄN</t>
        </is>
      </c>
      <c r="E5890" t="inlineStr">
        <is>
          <t>ÖRNSKÖLDSVIK</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22664-2022</t>
        </is>
      </c>
      <c r="B5891" s="1" t="n">
        <v>44714</v>
      </c>
      <c r="C5891" s="1" t="n">
        <v>45657</v>
      </c>
      <c r="D5891" t="inlineStr">
        <is>
          <t>VÄSTERNORRLANDS LÄN</t>
        </is>
      </c>
      <c r="E5891" t="inlineStr">
        <is>
          <t>SOLLEFTEÅ</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22671-2022</t>
        </is>
      </c>
      <c r="B5892" s="1" t="n">
        <v>44714</v>
      </c>
      <c r="C5892" s="1" t="n">
        <v>45657</v>
      </c>
      <c r="D5892" t="inlineStr">
        <is>
          <t>VÄSTERNORRLANDS LÄN</t>
        </is>
      </c>
      <c r="E5892" t="inlineStr">
        <is>
          <t>ÖRNSKÖLDSVIK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22729-2022</t>
        </is>
      </c>
      <c r="B5893" s="1" t="n">
        <v>44714</v>
      </c>
      <c r="C5893" s="1" t="n">
        <v>45657</v>
      </c>
      <c r="D5893" t="inlineStr">
        <is>
          <t>VÄSTERNORRLANDS LÄN</t>
        </is>
      </c>
      <c r="E5893" t="inlineStr">
        <is>
          <t>SUNDSVALL</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22762-2022</t>
        </is>
      </c>
      <c r="B5894" s="1" t="n">
        <v>44715</v>
      </c>
      <c r="C5894" s="1" t="n">
        <v>45657</v>
      </c>
      <c r="D5894" t="inlineStr">
        <is>
          <t>VÄSTERNORRLANDS LÄN</t>
        </is>
      </c>
      <c r="E5894" t="inlineStr">
        <is>
          <t>SOLLEFTEÅ</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22749-2022</t>
        </is>
      </c>
      <c r="B5895" s="1" t="n">
        <v>44714</v>
      </c>
      <c r="C5895" s="1" t="n">
        <v>45657</v>
      </c>
      <c r="D5895" t="inlineStr">
        <is>
          <t>VÄSTERNORRLANDS LÄN</t>
        </is>
      </c>
      <c r="E5895" t="inlineStr">
        <is>
          <t>ÖRNSKÖLDSVIK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22767-2022</t>
        </is>
      </c>
      <c r="B5896" s="1" t="n">
        <v>44715</v>
      </c>
      <c r="C5896" s="1" t="n">
        <v>45657</v>
      </c>
      <c r="D5896" t="inlineStr">
        <is>
          <t>VÄSTERNORRLANDS LÄN</t>
        </is>
      </c>
      <c r="E5896" t="inlineStr">
        <is>
          <t>SUNDSVALL</t>
        </is>
      </c>
      <c r="F5896" t="inlineStr">
        <is>
          <t>SCA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22840-2022</t>
        </is>
      </c>
      <c r="B5897" s="1" t="n">
        <v>44715</v>
      </c>
      <c r="C5897" s="1" t="n">
        <v>45657</v>
      </c>
      <c r="D5897" t="inlineStr">
        <is>
          <t>VÄSTERNORRLANDS LÄN</t>
        </is>
      </c>
      <c r="E5897" t="inlineStr">
        <is>
          <t>ÖRNSKÖLDSVIK</t>
        </is>
      </c>
      <c r="F5897" t="inlineStr">
        <is>
          <t>Holmen skog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22956-2022</t>
        </is>
      </c>
      <c r="B5898" s="1" t="n">
        <v>44716</v>
      </c>
      <c r="C5898" s="1" t="n">
        <v>45657</v>
      </c>
      <c r="D5898" t="inlineStr">
        <is>
          <t>VÄSTERNORRLANDS LÄN</t>
        </is>
      </c>
      <c r="E5898" t="inlineStr">
        <is>
          <t>SOLLEFTEÅ</t>
        </is>
      </c>
      <c r="F5898" t="inlineStr">
        <is>
          <t>SCA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22949-2022</t>
        </is>
      </c>
      <c r="B5899" s="1" t="n">
        <v>44715</v>
      </c>
      <c r="C5899" s="1" t="n">
        <v>45657</v>
      </c>
      <c r="D5899" t="inlineStr">
        <is>
          <t>VÄSTERNORRLANDS LÄN</t>
        </is>
      </c>
      <c r="E5899" t="inlineStr">
        <is>
          <t>KRAMFORS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22890-2022</t>
        </is>
      </c>
      <c r="B5900" s="1" t="n">
        <v>44715</v>
      </c>
      <c r="C5900" s="1" t="n">
        <v>45657</v>
      </c>
      <c r="D5900" t="inlineStr">
        <is>
          <t>VÄSTERNORRLANDS LÄN</t>
        </is>
      </c>
      <c r="E5900" t="inlineStr">
        <is>
          <t>SUNDSVALL</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22931-2022</t>
        </is>
      </c>
      <c r="B5901" s="1" t="n">
        <v>44715</v>
      </c>
      <c r="C5901" s="1" t="n">
        <v>45657</v>
      </c>
      <c r="D5901" t="inlineStr">
        <is>
          <t>VÄSTERNORRLANDS LÄN</t>
        </is>
      </c>
      <c r="E5901" t="inlineStr">
        <is>
          <t>ÖRNSKÖLDSVIK</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22952-2022</t>
        </is>
      </c>
      <c r="B5902" s="1" t="n">
        <v>44716</v>
      </c>
      <c r="C5902" s="1" t="n">
        <v>45657</v>
      </c>
      <c r="D5902" t="inlineStr">
        <is>
          <t>VÄSTERNORRLANDS LÄN</t>
        </is>
      </c>
      <c r="E5902" t="inlineStr">
        <is>
          <t>SOLLEFTEÅ</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22962-2022</t>
        </is>
      </c>
      <c r="B5903" s="1" t="n">
        <v>44715</v>
      </c>
      <c r="C5903" s="1" t="n">
        <v>45657</v>
      </c>
      <c r="D5903" t="inlineStr">
        <is>
          <t>VÄSTERNORRLANDS LÄN</t>
        </is>
      </c>
      <c r="E5903" t="inlineStr">
        <is>
          <t>SOLLEFTEÅ</t>
        </is>
      </c>
      <c r="F5903" t="inlineStr">
        <is>
          <t>SCA</t>
        </is>
      </c>
      <c r="G5903" t="n">
        <v>12.1</v>
      </c>
      <c r="H5903" t="n">
        <v>0</v>
      </c>
      <c r="I5903" t="n">
        <v>0</v>
      </c>
      <c r="J5903" t="n">
        <v>0</v>
      </c>
      <c r="K5903" t="n">
        <v>0</v>
      </c>
      <c r="L5903" t="n">
        <v>0</v>
      </c>
      <c r="M5903" t="n">
        <v>0</v>
      </c>
      <c r="N5903" t="n">
        <v>0</v>
      </c>
      <c r="O5903" t="n">
        <v>0</v>
      </c>
      <c r="P5903" t="n">
        <v>0</v>
      </c>
      <c r="Q5903" t="n">
        <v>0</v>
      </c>
      <c r="R5903" s="2" t="inlineStr"/>
    </row>
    <row r="5904" ht="15" customHeight="1">
      <c r="A5904" t="inlineStr">
        <is>
          <t>A 23025-2022</t>
        </is>
      </c>
      <c r="B5904" s="1" t="n">
        <v>44719</v>
      </c>
      <c r="C5904" s="1" t="n">
        <v>45657</v>
      </c>
      <c r="D5904" t="inlineStr">
        <is>
          <t>VÄSTERNORRLANDS LÄN</t>
        </is>
      </c>
      <c r="E5904" t="inlineStr">
        <is>
          <t>SUNDSVALL</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23054-2022</t>
        </is>
      </c>
      <c r="B5905" s="1" t="n">
        <v>44719</v>
      </c>
      <c r="C5905" s="1" t="n">
        <v>45657</v>
      </c>
      <c r="D5905" t="inlineStr">
        <is>
          <t>VÄSTERNORRLANDS LÄN</t>
        </is>
      </c>
      <c r="E5905" t="inlineStr">
        <is>
          <t>SUNDSVALL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23081-2022</t>
        </is>
      </c>
      <c r="B5906" s="1" t="n">
        <v>44719</v>
      </c>
      <c r="C5906" s="1" t="n">
        <v>45657</v>
      </c>
      <c r="D5906" t="inlineStr">
        <is>
          <t>VÄSTERNORRLANDS LÄN</t>
        </is>
      </c>
      <c r="E5906" t="inlineStr">
        <is>
          <t>SUNDSVALL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23130-2022</t>
        </is>
      </c>
      <c r="B5907" s="1" t="n">
        <v>44719</v>
      </c>
      <c r="C5907" s="1" t="n">
        <v>45657</v>
      </c>
      <c r="D5907" t="inlineStr">
        <is>
          <t>VÄSTERNORRLANDS LÄN</t>
        </is>
      </c>
      <c r="E5907" t="inlineStr">
        <is>
          <t>ÖRNSKÖLDSVIK</t>
        </is>
      </c>
      <c r="F5907" t="inlineStr">
        <is>
          <t>Holmen skog AB</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23124-2022</t>
        </is>
      </c>
      <c r="B5908" s="1" t="n">
        <v>44719</v>
      </c>
      <c r="C5908" s="1" t="n">
        <v>45657</v>
      </c>
      <c r="D5908" t="inlineStr">
        <is>
          <t>VÄSTERNORRLANDS LÄN</t>
        </is>
      </c>
      <c r="E5908" t="inlineStr">
        <is>
          <t>ÖRNSKÖLDSVIK</t>
        </is>
      </c>
      <c r="F5908" t="inlineStr">
        <is>
          <t>Holmen skog AB</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23200-2022</t>
        </is>
      </c>
      <c r="B5909" s="1" t="n">
        <v>44720</v>
      </c>
      <c r="C5909" s="1" t="n">
        <v>45657</v>
      </c>
      <c r="D5909" t="inlineStr">
        <is>
          <t>VÄSTERNORRLANDS LÄN</t>
        </is>
      </c>
      <c r="E5909" t="inlineStr">
        <is>
          <t>KRAMFORS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23199-2022</t>
        </is>
      </c>
      <c r="B5910" s="1" t="n">
        <v>44719</v>
      </c>
      <c r="C5910" s="1" t="n">
        <v>45657</v>
      </c>
      <c r="D5910" t="inlineStr">
        <is>
          <t>VÄSTERNORRLANDS LÄN</t>
        </is>
      </c>
      <c r="E5910" t="inlineStr">
        <is>
          <t>KRAMFORS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23111-2022</t>
        </is>
      </c>
      <c r="B5911" s="1" t="n">
        <v>44720</v>
      </c>
      <c r="C5911" s="1" t="n">
        <v>45657</v>
      </c>
      <c r="D5911" t="inlineStr">
        <is>
          <t>VÄSTERNORRLANDS LÄN</t>
        </is>
      </c>
      <c r="E5911" t="inlineStr">
        <is>
          <t>SOLLEFTEÅ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23249-2022</t>
        </is>
      </c>
      <c r="B5912" s="1" t="n">
        <v>44720</v>
      </c>
      <c r="C5912" s="1" t="n">
        <v>45657</v>
      </c>
      <c r="D5912" t="inlineStr">
        <is>
          <t>VÄSTERNORRLANDS LÄN</t>
        </is>
      </c>
      <c r="E5912" t="inlineStr">
        <is>
          <t>ÖRNSKÖLDSVIK</t>
        </is>
      </c>
      <c r="F5912" t="inlineStr">
        <is>
          <t>Holmen skog AB</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23292-2022</t>
        </is>
      </c>
      <c r="B5913" s="1" t="n">
        <v>44720</v>
      </c>
      <c r="C5913" s="1" t="n">
        <v>45657</v>
      </c>
      <c r="D5913" t="inlineStr">
        <is>
          <t>VÄSTERNORRLANDS LÄN</t>
        </is>
      </c>
      <c r="E5913" t="inlineStr">
        <is>
          <t>HÄRNÖSAND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23298-2022</t>
        </is>
      </c>
      <c r="B5914" s="1" t="n">
        <v>44720</v>
      </c>
      <c r="C5914" s="1" t="n">
        <v>45657</v>
      </c>
      <c r="D5914" t="inlineStr">
        <is>
          <t>VÄSTERNORRLANDS LÄN</t>
        </is>
      </c>
      <c r="E5914" t="inlineStr">
        <is>
          <t>SUNDSVALL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23230-2022</t>
        </is>
      </c>
      <c r="B5915" s="1" t="n">
        <v>44720</v>
      </c>
      <c r="C5915" s="1" t="n">
        <v>45657</v>
      </c>
      <c r="D5915" t="inlineStr">
        <is>
          <t>VÄSTERNORRLANDS LÄN</t>
        </is>
      </c>
      <c r="E5915" t="inlineStr">
        <is>
          <t>SOLLEFTEÅ</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23282-2022</t>
        </is>
      </c>
      <c r="B5916" s="1" t="n">
        <v>44720</v>
      </c>
      <c r="C5916" s="1" t="n">
        <v>45657</v>
      </c>
      <c r="D5916" t="inlineStr">
        <is>
          <t>VÄSTERNORRLANDS LÄN</t>
        </is>
      </c>
      <c r="E5916" t="inlineStr">
        <is>
          <t>SOLLEFTEÅ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23300-2022</t>
        </is>
      </c>
      <c r="B5917" s="1" t="n">
        <v>44720</v>
      </c>
      <c r="C5917" s="1" t="n">
        <v>45657</v>
      </c>
      <c r="D5917" t="inlineStr">
        <is>
          <t>VÄSTERNORRLANDS LÄN</t>
        </is>
      </c>
      <c r="E5917" t="inlineStr">
        <is>
          <t>SUNDSVALL</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23436-2022</t>
        </is>
      </c>
      <c r="B5918" s="1" t="n">
        <v>44720</v>
      </c>
      <c r="C5918" s="1" t="n">
        <v>45657</v>
      </c>
      <c r="D5918" t="inlineStr">
        <is>
          <t>VÄSTERNORRLANDS LÄN</t>
        </is>
      </c>
      <c r="E5918" t="inlineStr">
        <is>
          <t>SOLLEFTEÅ</t>
        </is>
      </c>
      <c r="F5918" t="inlineStr">
        <is>
          <t>SCA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23445-2022</t>
        </is>
      </c>
      <c r="B5919" s="1" t="n">
        <v>44721</v>
      </c>
      <c r="C5919" s="1" t="n">
        <v>45657</v>
      </c>
      <c r="D5919" t="inlineStr">
        <is>
          <t>VÄSTERNORRLANDS LÄN</t>
        </is>
      </c>
      <c r="E5919" t="inlineStr">
        <is>
          <t>SOLLEFTEÅ</t>
        </is>
      </c>
      <c r="F5919" t="inlineStr">
        <is>
          <t>SCA</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23381-2022</t>
        </is>
      </c>
      <c r="B5920" s="1" t="n">
        <v>44720</v>
      </c>
      <c r="C5920" s="1" t="n">
        <v>45657</v>
      </c>
      <c r="D5920" t="inlineStr">
        <is>
          <t>VÄSTERNORRLANDS LÄN</t>
        </is>
      </c>
      <c r="E5920" t="inlineStr">
        <is>
          <t>HÄRNÖSAND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23422-2022</t>
        </is>
      </c>
      <c r="B5921" s="1" t="n">
        <v>44720</v>
      </c>
      <c r="C5921" s="1" t="n">
        <v>45657</v>
      </c>
      <c r="D5921" t="inlineStr">
        <is>
          <t>VÄSTERNORRLANDS LÄN</t>
        </is>
      </c>
      <c r="E5921" t="inlineStr">
        <is>
          <t>SUNDSVALL</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23447-2022</t>
        </is>
      </c>
      <c r="B5922" s="1" t="n">
        <v>44721</v>
      </c>
      <c r="C5922" s="1" t="n">
        <v>45657</v>
      </c>
      <c r="D5922" t="inlineStr">
        <is>
          <t>VÄSTERNORRLANDS LÄN</t>
        </is>
      </c>
      <c r="E5922" t="inlineStr">
        <is>
          <t>SOLLEFTEÅ</t>
        </is>
      </c>
      <c r="F5922" t="inlineStr">
        <is>
          <t>SCA</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23432-2022</t>
        </is>
      </c>
      <c r="B5923" s="1" t="n">
        <v>44720</v>
      </c>
      <c r="C5923" s="1" t="n">
        <v>45657</v>
      </c>
      <c r="D5923" t="inlineStr">
        <is>
          <t>VÄSTERNORRLANDS LÄN</t>
        </is>
      </c>
      <c r="E5923" t="inlineStr">
        <is>
          <t>SUNDSVALL</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23423-2022</t>
        </is>
      </c>
      <c r="B5924" s="1" t="n">
        <v>44720</v>
      </c>
      <c r="C5924" s="1" t="n">
        <v>45657</v>
      </c>
      <c r="D5924" t="inlineStr">
        <is>
          <t>VÄSTERNORRLANDS LÄN</t>
        </is>
      </c>
      <c r="E5924" t="inlineStr">
        <is>
          <t>SUNDSVALL</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23450-2022</t>
        </is>
      </c>
      <c r="B5925" s="1" t="n">
        <v>44720</v>
      </c>
      <c r="C5925" s="1" t="n">
        <v>45657</v>
      </c>
      <c r="D5925" t="inlineStr">
        <is>
          <t>VÄSTERNORRLANDS LÄN</t>
        </is>
      </c>
      <c r="E5925" t="inlineStr">
        <is>
          <t>SOLLEFTEÅ</t>
        </is>
      </c>
      <c r="F5925" t="inlineStr">
        <is>
          <t>SCA</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23556-2022</t>
        </is>
      </c>
      <c r="B5926" s="1" t="n">
        <v>44721</v>
      </c>
      <c r="C5926" s="1" t="n">
        <v>45657</v>
      </c>
      <c r="D5926" t="inlineStr">
        <is>
          <t>VÄSTERNORRLANDS LÄN</t>
        </is>
      </c>
      <c r="E5926" t="inlineStr">
        <is>
          <t>SUNDSVALL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23647-2022</t>
        </is>
      </c>
      <c r="B5927" s="1" t="n">
        <v>44721</v>
      </c>
      <c r="C5927" s="1" t="n">
        <v>45657</v>
      </c>
      <c r="D5927" t="inlineStr">
        <is>
          <t>VÄSTERNORRLANDS LÄN</t>
        </is>
      </c>
      <c r="E5927" t="inlineStr">
        <is>
          <t>ÖRNSKÖLDSVIK</t>
        </is>
      </c>
      <c r="F5927" t="inlineStr">
        <is>
          <t>Holmen skog AB</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23669-2022</t>
        </is>
      </c>
      <c r="B5928" s="1" t="n">
        <v>44721</v>
      </c>
      <c r="C5928" s="1" t="n">
        <v>45657</v>
      </c>
      <c r="D5928" t="inlineStr">
        <is>
          <t>VÄSTERNORRLANDS LÄN</t>
        </is>
      </c>
      <c r="E5928" t="inlineStr">
        <is>
          <t>SUNDSVALL</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23674-2022</t>
        </is>
      </c>
      <c r="B5929" s="1" t="n">
        <v>44722</v>
      </c>
      <c r="C5929" s="1" t="n">
        <v>45657</v>
      </c>
      <c r="D5929" t="inlineStr">
        <is>
          <t>VÄSTERNORRLANDS LÄN</t>
        </is>
      </c>
      <c r="E5929" t="inlineStr">
        <is>
          <t>HÄRNÖSAND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23670-2022</t>
        </is>
      </c>
      <c r="B5930" s="1" t="n">
        <v>44722</v>
      </c>
      <c r="C5930" s="1" t="n">
        <v>45657</v>
      </c>
      <c r="D5930" t="inlineStr">
        <is>
          <t>VÄSTERNORRLANDS LÄN</t>
        </is>
      </c>
      <c r="E5930" t="inlineStr">
        <is>
          <t>TIMRÅ</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23677-2022</t>
        </is>
      </c>
      <c r="B5931" s="1" t="n">
        <v>44722</v>
      </c>
      <c r="C5931" s="1" t="n">
        <v>45657</v>
      </c>
      <c r="D5931" t="inlineStr">
        <is>
          <t>VÄSTERNORRLANDS LÄN</t>
        </is>
      </c>
      <c r="E5931" t="inlineStr">
        <is>
          <t>SUNDSVALL</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23693-2022</t>
        </is>
      </c>
      <c r="B5932" s="1" t="n">
        <v>44721</v>
      </c>
      <c r="C5932" s="1" t="n">
        <v>45657</v>
      </c>
      <c r="D5932" t="inlineStr">
        <is>
          <t>VÄSTERNORRLANDS LÄN</t>
        </is>
      </c>
      <c r="E5932" t="inlineStr">
        <is>
          <t>TIMRÅ</t>
        </is>
      </c>
      <c r="F5932" t="inlineStr">
        <is>
          <t>SCA</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23676-2022</t>
        </is>
      </c>
      <c r="B5933" s="1" t="n">
        <v>44721</v>
      </c>
      <c r="C5933" s="1" t="n">
        <v>45657</v>
      </c>
      <c r="D5933" t="inlineStr">
        <is>
          <t>VÄSTERNORRLANDS LÄN</t>
        </is>
      </c>
      <c r="E5933" t="inlineStr">
        <is>
          <t>TIMRÅ</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23841-2022</t>
        </is>
      </c>
      <c r="B5934" s="1" t="n">
        <v>44722</v>
      </c>
      <c r="C5934" s="1" t="n">
        <v>45657</v>
      </c>
      <c r="D5934" t="inlineStr">
        <is>
          <t>VÄSTERNORRLANDS LÄN</t>
        </is>
      </c>
      <c r="E5934" t="inlineStr">
        <is>
          <t>SUNDSVALL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23840-2022</t>
        </is>
      </c>
      <c r="B5935" s="1" t="n">
        <v>44722</v>
      </c>
      <c r="C5935" s="1" t="n">
        <v>45657</v>
      </c>
      <c r="D5935" t="inlineStr">
        <is>
          <t>VÄSTERNORRLANDS LÄN</t>
        </is>
      </c>
      <c r="E5935" t="inlineStr">
        <is>
          <t>SUNDSVALL</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23890-2022</t>
        </is>
      </c>
      <c r="B5936" s="1" t="n">
        <v>44722</v>
      </c>
      <c r="C5936" s="1" t="n">
        <v>45657</v>
      </c>
      <c r="D5936" t="inlineStr">
        <is>
          <t>VÄSTERNORRLANDS LÄN</t>
        </is>
      </c>
      <c r="E5936" t="inlineStr">
        <is>
          <t>SUNDSVALL</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23990-2022</t>
        </is>
      </c>
      <c r="B5937" s="1" t="n">
        <v>44722</v>
      </c>
      <c r="C5937" s="1" t="n">
        <v>45657</v>
      </c>
      <c r="D5937" t="inlineStr">
        <is>
          <t>VÄSTERNORRLANDS LÄN</t>
        </is>
      </c>
      <c r="E5937" t="inlineStr">
        <is>
          <t>SUNDSVALL</t>
        </is>
      </c>
      <c r="F5937" t="inlineStr">
        <is>
          <t>SCA</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24008-2022</t>
        </is>
      </c>
      <c r="B5938" s="1" t="n">
        <v>44723</v>
      </c>
      <c r="C5938" s="1" t="n">
        <v>45657</v>
      </c>
      <c r="D5938" t="inlineStr">
        <is>
          <t>VÄSTERNORRLANDS LÄN</t>
        </is>
      </c>
      <c r="E5938" t="inlineStr">
        <is>
          <t>SOLLEFTEÅ</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23998-2022</t>
        </is>
      </c>
      <c r="B5939" s="1" t="n">
        <v>44722</v>
      </c>
      <c r="C5939" s="1" t="n">
        <v>45657</v>
      </c>
      <c r="D5939" t="inlineStr">
        <is>
          <t>VÄSTERNORRLANDS LÄN</t>
        </is>
      </c>
      <c r="E5939" t="inlineStr">
        <is>
          <t>SUNDSVALL</t>
        </is>
      </c>
      <c r="F5939" t="inlineStr">
        <is>
          <t>SCA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23972-2022</t>
        </is>
      </c>
      <c r="B5940" s="1" t="n">
        <v>44722</v>
      </c>
      <c r="C5940" s="1" t="n">
        <v>45657</v>
      </c>
      <c r="D5940" t="inlineStr">
        <is>
          <t>VÄSTERNORRLANDS LÄN</t>
        </is>
      </c>
      <c r="E5940" t="inlineStr">
        <is>
          <t>KRAMFORS</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23999-2022</t>
        </is>
      </c>
      <c r="B5941" s="1" t="n">
        <v>44723</v>
      </c>
      <c r="C5941" s="1" t="n">
        <v>45657</v>
      </c>
      <c r="D5941" t="inlineStr">
        <is>
          <t>VÄSTERNORRLANDS LÄN</t>
        </is>
      </c>
      <c r="E5941" t="inlineStr">
        <is>
          <t>ÅNGE</t>
        </is>
      </c>
      <c r="F5941" t="inlineStr">
        <is>
          <t>SCA</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24024-2022</t>
        </is>
      </c>
      <c r="B5942" s="1" t="n">
        <v>44723</v>
      </c>
      <c r="C5942" s="1" t="n">
        <v>45657</v>
      </c>
      <c r="D5942" t="inlineStr">
        <is>
          <t>VÄSTERNORRLANDS LÄN</t>
        </is>
      </c>
      <c r="E5942" t="inlineStr">
        <is>
          <t>SOLLEFTEÅ</t>
        </is>
      </c>
      <c r="F5942" t="inlineStr">
        <is>
          <t>SCA</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24089-2022</t>
        </is>
      </c>
      <c r="B5943" s="1" t="n">
        <v>44725</v>
      </c>
      <c r="C5943" s="1" t="n">
        <v>45657</v>
      </c>
      <c r="D5943" t="inlineStr">
        <is>
          <t>VÄSTERNORRLANDS LÄN</t>
        </is>
      </c>
      <c r="E5943" t="inlineStr">
        <is>
          <t>SUNDSVALL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24108-2022</t>
        </is>
      </c>
      <c r="B5944" s="1" t="n">
        <v>44725</v>
      </c>
      <c r="C5944" s="1" t="n">
        <v>45657</v>
      </c>
      <c r="D5944" t="inlineStr">
        <is>
          <t>VÄSTERNORRLANDS LÄN</t>
        </is>
      </c>
      <c r="E5944" t="inlineStr">
        <is>
          <t>ÖRNSKÖLDSVIK</t>
        </is>
      </c>
      <c r="F5944" t="inlineStr">
        <is>
          <t>Holmen skog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24201-2022</t>
        </is>
      </c>
      <c r="B5945" s="1" t="n">
        <v>44725</v>
      </c>
      <c r="C5945" s="1" t="n">
        <v>45657</v>
      </c>
      <c r="D5945" t="inlineStr">
        <is>
          <t>VÄSTERNORRLANDS LÄN</t>
        </is>
      </c>
      <c r="E5945" t="inlineStr">
        <is>
          <t>ÖRNSKÖLDSVIK</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24304-2022</t>
        </is>
      </c>
      <c r="B5946" s="1" t="n">
        <v>44725</v>
      </c>
      <c r="C5946" s="1" t="n">
        <v>45657</v>
      </c>
      <c r="D5946" t="inlineStr">
        <is>
          <t>VÄSTERNORRLANDS LÄN</t>
        </is>
      </c>
      <c r="E5946" t="inlineStr">
        <is>
          <t>TIMRÅ</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24306-2022</t>
        </is>
      </c>
      <c r="B5947" s="1" t="n">
        <v>44726</v>
      </c>
      <c r="C5947" s="1" t="n">
        <v>45657</v>
      </c>
      <c r="D5947" t="inlineStr">
        <is>
          <t>VÄSTERNORRLANDS LÄN</t>
        </is>
      </c>
      <c r="E5947" t="inlineStr">
        <is>
          <t>TIMRÅ</t>
        </is>
      </c>
      <c r="F5947" t="inlineStr">
        <is>
          <t>SCA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24318-2022</t>
        </is>
      </c>
      <c r="B5948" s="1" t="n">
        <v>44726</v>
      </c>
      <c r="C5948" s="1" t="n">
        <v>45657</v>
      </c>
      <c r="D5948" t="inlineStr">
        <is>
          <t>VÄSTERNORRLANDS LÄN</t>
        </is>
      </c>
      <c r="E5948" t="inlineStr">
        <is>
          <t>ÖRNSKÖLDSVIK</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24202-2022</t>
        </is>
      </c>
      <c r="B5949" s="1" t="n">
        <v>44725</v>
      </c>
      <c r="C5949" s="1" t="n">
        <v>45657</v>
      </c>
      <c r="D5949" t="inlineStr">
        <is>
          <t>VÄSTERNORRLANDS LÄN</t>
        </is>
      </c>
      <c r="E5949" t="inlineStr">
        <is>
          <t>ÖRNSKÖLDSVIK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24248-2022</t>
        </is>
      </c>
      <c r="B5950" s="1" t="n">
        <v>44725</v>
      </c>
      <c r="C5950" s="1" t="n">
        <v>45657</v>
      </c>
      <c r="D5950" t="inlineStr">
        <is>
          <t>VÄSTERNORRLANDS LÄN</t>
        </is>
      </c>
      <c r="E5950" t="inlineStr">
        <is>
          <t>ÖRNSKÖLDSVIK</t>
        </is>
      </c>
      <c r="F5950" t="inlineStr">
        <is>
          <t>Holmen skog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24324-2022</t>
        </is>
      </c>
      <c r="B5951" s="1" t="n">
        <v>44726</v>
      </c>
      <c r="C5951" s="1" t="n">
        <v>45657</v>
      </c>
      <c r="D5951" t="inlineStr">
        <is>
          <t>VÄSTERNORRLANDS LÄN</t>
        </is>
      </c>
      <c r="E5951" t="inlineStr">
        <is>
          <t>ÅNGE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24325-2022</t>
        </is>
      </c>
      <c r="B5952" s="1" t="n">
        <v>44726</v>
      </c>
      <c r="C5952" s="1" t="n">
        <v>45657</v>
      </c>
      <c r="D5952" t="inlineStr">
        <is>
          <t>VÄSTERNORRLANDS LÄN</t>
        </is>
      </c>
      <c r="E5952" t="inlineStr">
        <is>
          <t>ÅNGE</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24305-2022</t>
        </is>
      </c>
      <c r="B5953" s="1" t="n">
        <v>44726</v>
      </c>
      <c r="C5953" s="1" t="n">
        <v>45657</v>
      </c>
      <c r="D5953" t="inlineStr">
        <is>
          <t>VÄSTERNORRLANDS LÄN</t>
        </is>
      </c>
      <c r="E5953" t="inlineStr">
        <is>
          <t>TIMRÅ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24313-2022</t>
        </is>
      </c>
      <c r="B5954" s="1" t="n">
        <v>44726</v>
      </c>
      <c r="C5954" s="1" t="n">
        <v>45657</v>
      </c>
      <c r="D5954" t="inlineStr">
        <is>
          <t>VÄSTERNORRLANDS LÄN</t>
        </is>
      </c>
      <c r="E5954" t="inlineStr">
        <is>
          <t>SUNDSVALL</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24322-2022</t>
        </is>
      </c>
      <c r="B5955" s="1" t="n">
        <v>44726</v>
      </c>
      <c r="C5955" s="1" t="n">
        <v>45657</v>
      </c>
      <c r="D5955" t="inlineStr">
        <is>
          <t>VÄSTERNORRLANDS LÄN</t>
        </is>
      </c>
      <c r="E5955" t="inlineStr">
        <is>
          <t>SOLLEFTEÅ</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24355-2022</t>
        </is>
      </c>
      <c r="B5956" s="1" t="n">
        <v>44726</v>
      </c>
      <c r="C5956" s="1" t="n">
        <v>45657</v>
      </c>
      <c r="D5956" t="inlineStr">
        <is>
          <t>VÄSTERNORRLANDS LÄN</t>
        </is>
      </c>
      <c r="E5956" t="inlineStr">
        <is>
          <t>ÅNGE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24353-2022</t>
        </is>
      </c>
      <c r="B5957" s="1" t="n">
        <v>44726</v>
      </c>
      <c r="C5957" s="1" t="n">
        <v>45657</v>
      </c>
      <c r="D5957" t="inlineStr">
        <is>
          <t>VÄSTERNORRLANDS LÄN</t>
        </is>
      </c>
      <c r="E5957" t="inlineStr">
        <is>
          <t>ÅNGE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24403-2022</t>
        </is>
      </c>
      <c r="B5958" s="1" t="n">
        <v>44726</v>
      </c>
      <c r="C5958" s="1" t="n">
        <v>45657</v>
      </c>
      <c r="D5958" t="inlineStr">
        <is>
          <t>VÄSTERNORRLANDS LÄN</t>
        </is>
      </c>
      <c r="E5958" t="inlineStr">
        <is>
          <t>KRAMFORS</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24452-2022</t>
        </is>
      </c>
      <c r="B5959" s="1" t="n">
        <v>44726</v>
      </c>
      <c r="C5959" s="1" t="n">
        <v>45657</v>
      </c>
      <c r="D5959" t="inlineStr">
        <is>
          <t>VÄSTERNORRLANDS LÄN</t>
        </is>
      </c>
      <c r="E5959" t="inlineStr">
        <is>
          <t>HÄRNÖSAND</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24529-2022</t>
        </is>
      </c>
      <c r="B5960" s="1" t="n">
        <v>44726</v>
      </c>
      <c r="C5960" s="1" t="n">
        <v>45657</v>
      </c>
      <c r="D5960" t="inlineStr">
        <is>
          <t>VÄSTERNORRLANDS LÄN</t>
        </is>
      </c>
      <c r="E5960" t="inlineStr">
        <is>
          <t>KRAMFORS</t>
        </is>
      </c>
      <c r="F5960" t="inlineStr">
        <is>
          <t>SCA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24554-2022</t>
        </is>
      </c>
      <c r="B5961" s="1" t="n">
        <v>44726</v>
      </c>
      <c r="C5961" s="1" t="n">
        <v>45657</v>
      </c>
      <c r="D5961" t="inlineStr">
        <is>
          <t>VÄSTERNORRLANDS LÄN</t>
        </is>
      </c>
      <c r="E5961" t="inlineStr">
        <is>
          <t>ÖRNSKÖLDSVIK</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24507-2022</t>
        </is>
      </c>
      <c r="B5962" s="1" t="n">
        <v>44727</v>
      </c>
      <c r="C5962" s="1" t="n">
        <v>45657</v>
      </c>
      <c r="D5962" t="inlineStr">
        <is>
          <t>VÄSTERNORRLANDS LÄN</t>
        </is>
      </c>
      <c r="E5962" t="inlineStr">
        <is>
          <t>HÄRNÖSAND</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24518-2022</t>
        </is>
      </c>
      <c r="B5963" s="1" t="n">
        <v>44726</v>
      </c>
      <c r="C5963" s="1" t="n">
        <v>45657</v>
      </c>
      <c r="D5963" t="inlineStr">
        <is>
          <t>VÄSTERNORRLANDS LÄN</t>
        </is>
      </c>
      <c r="E5963" t="inlineStr">
        <is>
          <t>SUNDSVALL</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24517-2022</t>
        </is>
      </c>
      <c r="B5964" s="1" t="n">
        <v>44727</v>
      </c>
      <c r="C5964" s="1" t="n">
        <v>45657</v>
      </c>
      <c r="D5964" t="inlineStr">
        <is>
          <t>VÄSTERNORRLANDS LÄN</t>
        </is>
      </c>
      <c r="E5964" t="inlineStr">
        <is>
          <t>SUNDSVALL</t>
        </is>
      </c>
      <c r="F5964" t="inlineStr">
        <is>
          <t>SCA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24569-2022</t>
        </is>
      </c>
      <c r="B5965" s="1" t="n">
        <v>44726</v>
      </c>
      <c r="C5965" s="1" t="n">
        <v>45657</v>
      </c>
      <c r="D5965" t="inlineStr">
        <is>
          <t>VÄSTERNORRLANDS LÄN</t>
        </is>
      </c>
      <c r="E5965" t="inlineStr">
        <is>
          <t>ÖRNSKÖLDSVIK</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24527-2022</t>
        </is>
      </c>
      <c r="B5966" s="1" t="n">
        <v>44726</v>
      </c>
      <c r="C5966" s="1" t="n">
        <v>45657</v>
      </c>
      <c r="D5966" t="inlineStr">
        <is>
          <t>VÄSTERNORRLANDS LÄN</t>
        </is>
      </c>
      <c r="E5966" t="inlineStr">
        <is>
          <t>ÅNGE</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24514-2022</t>
        </is>
      </c>
      <c r="B5967" s="1" t="n">
        <v>44726</v>
      </c>
      <c r="C5967" s="1" t="n">
        <v>45657</v>
      </c>
      <c r="D5967" t="inlineStr">
        <is>
          <t>VÄSTERNORRLANDS LÄN</t>
        </is>
      </c>
      <c r="E5967" t="inlineStr">
        <is>
          <t>SUNDSVALL</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24653-2022</t>
        </is>
      </c>
      <c r="B5968" s="1" t="n">
        <v>44727</v>
      </c>
      <c r="C5968" s="1" t="n">
        <v>45657</v>
      </c>
      <c r="D5968" t="inlineStr">
        <is>
          <t>VÄSTERNORRLANDS LÄN</t>
        </is>
      </c>
      <c r="E5968" t="inlineStr">
        <is>
          <t>KRAMFORS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24723-2022</t>
        </is>
      </c>
      <c r="B5969" s="1" t="n">
        <v>44728</v>
      </c>
      <c r="C5969" s="1" t="n">
        <v>45657</v>
      </c>
      <c r="D5969" t="inlineStr">
        <is>
          <t>VÄSTERNORRLANDS LÄN</t>
        </is>
      </c>
      <c r="E5969" t="inlineStr">
        <is>
          <t>SOLLEFTEÅ</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24739-2022</t>
        </is>
      </c>
      <c r="B5970" s="1" t="n">
        <v>44728</v>
      </c>
      <c r="C5970" s="1" t="n">
        <v>45657</v>
      </c>
      <c r="D5970" t="inlineStr">
        <is>
          <t>VÄSTERNORRLANDS LÄN</t>
        </is>
      </c>
      <c r="E5970" t="inlineStr">
        <is>
          <t>SOLLEFTEÅ</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24734-2022</t>
        </is>
      </c>
      <c r="B5971" s="1" t="n">
        <v>44728</v>
      </c>
      <c r="C5971" s="1" t="n">
        <v>45657</v>
      </c>
      <c r="D5971" t="inlineStr">
        <is>
          <t>VÄSTERNORRLANDS LÄN</t>
        </is>
      </c>
      <c r="E5971" t="inlineStr">
        <is>
          <t>SOLLEFTEÅ</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24735-2022</t>
        </is>
      </c>
      <c r="B5972" s="1" t="n">
        <v>44728</v>
      </c>
      <c r="C5972" s="1" t="n">
        <v>45657</v>
      </c>
      <c r="D5972" t="inlineStr">
        <is>
          <t>VÄSTERNORRLANDS LÄN</t>
        </is>
      </c>
      <c r="E5972" t="inlineStr">
        <is>
          <t>SOLLEFTEÅ</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24721-2022</t>
        </is>
      </c>
      <c r="B5973" s="1" t="n">
        <v>44728</v>
      </c>
      <c r="C5973" s="1" t="n">
        <v>45657</v>
      </c>
      <c r="D5973" t="inlineStr">
        <is>
          <t>VÄSTERNORRLANDS LÄN</t>
        </is>
      </c>
      <c r="E5973" t="inlineStr">
        <is>
          <t>SOLLEFTEÅ</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24737-2022</t>
        </is>
      </c>
      <c r="B5974" s="1" t="n">
        <v>44728</v>
      </c>
      <c r="C5974" s="1" t="n">
        <v>45657</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24813-2022</t>
        </is>
      </c>
      <c r="B5975" s="1" t="n">
        <v>44728</v>
      </c>
      <c r="C5975" s="1" t="n">
        <v>45657</v>
      </c>
      <c r="D5975" t="inlineStr">
        <is>
          <t>VÄSTERNORRLANDS LÄN</t>
        </is>
      </c>
      <c r="E5975" t="inlineStr">
        <is>
          <t>HÄRNÖSAND</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24791-2022</t>
        </is>
      </c>
      <c r="B5976" s="1" t="n">
        <v>44728</v>
      </c>
      <c r="C5976" s="1" t="n">
        <v>45657</v>
      </c>
      <c r="D5976" t="inlineStr">
        <is>
          <t>VÄSTERNORRLANDS LÄN</t>
        </is>
      </c>
      <c r="E5976" t="inlineStr">
        <is>
          <t>SUNDSVALL</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24784-2022</t>
        </is>
      </c>
      <c r="B5977" s="1" t="n">
        <v>44728</v>
      </c>
      <c r="C5977" s="1" t="n">
        <v>45657</v>
      </c>
      <c r="D5977" t="inlineStr">
        <is>
          <t>VÄSTERNORRLANDS LÄN</t>
        </is>
      </c>
      <c r="E5977" t="inlineStr">
        <is>
          <t>SUNDSVALL</t>
        </is>
      </c>
      <c r="F5977" t="inlineStr">
        <is>
          <t>Holmen skog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24811-2022</t>
        </is>
      </c>
      <c r="B5978" s="1" t="n">
        <v>44728</v>
      </c>
      <c r="C5978" s="1" t="n">
        <v>45657</v>
      </c>
      <c r="D5978" t="inlineStr">
        <is>
          <t>VÄSTERNORRLANDS LÄN</t>
        </is>
      </c>
      <c r="E5978" t="inlineStr">
        <is>
          <t>HÄRNÖSAND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24863-2022</t>
        </is>
      </c>
      <c r="B5979" s="1" t="n">
        <v>44728</v>
      </c>
      <c r="C5979" s="1" t="n">
        <v>45657</v>
      </c>
      <c r="D5979" t="inlineStr">
        <is>
          <t>VÄSTERNORRLANDS LÄN</t>
        </is>
      </c>
      <c r="E5979" t="inlineStr">
        <is>
          <t>ÖRNSKÖLDSVIK</t>
        </is>
      </c>
      <c r="F5979" t="inlineStr">
        <is>
          <t>Holmen skog AB</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25007-2022</t>
        </is>
      </c>
      <c r="B5980" s="1" t="n">
        <v>44728</v>
      </c>
      <c r="C5980" s="1" t="n">
        <v>45657</v>
      </c>
      <c r="D5980" t="inlineStr">
        <is>
          <t>VÄSTERNORRLANDS LÄN</t>
        </is>
      </c>
      <c r="E5980" t="inlineStr">
        <is>
          <t>HÄRNÖSAND</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25019-2022</t>
        </is>
      </c>
      <c r="B5981" s="1" t="n">
        <v>44728</v>
      </c>
      <c r="C5981" s="1" t="n">
        <v>45657</v>
      </c>
      <c r="D5981" t="inlineStr">
        <is>
          <t>VÄSTERNORRLANDS LÄN</t>
        </is>
      </c>
      <c r="E5981" t="inlineStr">
        <is>
          <t>SOLLEFTEÅ</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25024-2022</t>
        </is>
      </c>
      <c r="B5982" s="1" t="n">
        <v>44729</v>
      </c>
      <c r="C5982" s="1" t="n">
        <v>45657</v>
      </c>
      <c r="D5982" t="inlineStr">
        <is>
          <t>VÄSTERNORRLANDS LÄN</t>
        </is>
      </c>
      <c r="E5982" t="inlineStr">
        <is>
          <t>SOLLEFTEÅ</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24988-2022</t>
        </is>
      </c>
      <c r="B5983" s="1" t="n">
        <v>44728</v>
      </c>
      <c r="C5983" s="1" t="n">
        <v>45657</v>
      </c>
      <c r="D5983" t="inlineStr">
        <is>
          <t>VÄSTERNORRLANDS LÄN</t>
        </is>
      </c>
      <c r="E5983" t="inlineStr">
        <is>
          <t>TIMRÅ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25034-2022</t>
        </is>
      </c>
      <c r="B5984" s="1" t="n">
        <v>44729</v>
      </c>
      <c r="C5984" s="1" t="n">
        <v>45657</v>
      </c>
      <c r="D5984" t="inlineStr">
        <is>
          <t>VÄSTERNORRLANDS LÄN</t>
        </is>
      </c>
      <c r="E5984" t="inlineStr">
        <is>
          <t>SUNDSVALL</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25023-2022</t>
        </is>
      </c>
      <c r="B5985" s="1" t="n">
        <v>44728</v>
      </c>
      <c r="C5985" s="1" t="n">
        <v>45657</v>
      </c>
      <c r="D5985" t="inlineStr">
        <is>
          <t>VÄSTERNORRLANDS LÄN</t>
        </is>
      </c>
      <c r="E5985" t="inlineStr">
        <is>
          <t>ÅNGE</t>
        </is>
      </c>
      <c r="F5985" t="inlineStr">
        <is>
          <t>SCA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25026-2022</t>
        </is>
      </c>
      <c r="B5986" s="1" t="n">
        <v>44729</v>
      </c>
      <c r="C5986" s="1" t="n">
        <v>45657</v>
      </c>
      <c r="D5986" t="inlineStr">
        <is>
          <t>VÄSTERNORRLANDS LÄN</t>
        </is>
      </c>
      <c r="E5986" t="inlineStr">
        <is>
          <t>SOLLEFTEÅ</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25033-2022</t>
        </is>
      </c>
      <c r="B5987" s="1" t="n">
        <v>44729</v>
      </c>
      <c r="C5987" s="1" t="n">
        <v>45657</v>
      </c>
      <c r="D5987" t="inlineStr">
        <is>
          <t>VÄSTERNORRLANDS LÄN</t>
        </is>
      </c>
      <c r="E5987" t="inlineStr">
        <is>
          <t>HÄRNÖSAND</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25017-2022</t>
        </is>
      </c>
      <c r="B5988" s="1" t="n">
        <v>44729</v>
      </c>
      <c r="C5988" s="1" t="n">
        <v>45657</v>
      </c>
      <c r="D5988" t="inlineStr">
        <is>
          <t>VÄSTERNORRLANDS LÄN</t>
        </is>
      </c>
      <c r="E5988" t="inlineStr">
        <is>
          <t>SOLLEFTEÅ</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25011-2022</t>
        </is>
      </c>
      <c r="B5989" s="1" t="n">
        <v>44729</v>
      </c>
      <c r="C5989" s="1" t="n">
        <v>45657</v>
      </c>
      <c r="D5989" t="inlineStr">
        <is>
          <t>VÄSTERNORRLANDS LÄN</t>
        </is>
      </c>
      <c r="E5989" t="inlineStr">
        <is>
          <t>SUNDSVALL</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25208-2022</t>
        </is>
      </c>
      <c r="B5990" s="1" t="n">
        <v>44729</v>
      </c>
      <c r="C5990" s="1" t="n">
        <v>45657</v>
      </c>
      <c r="D5990" t="inlineStr">
        <is>
          <t>VÄSTERNORRLANDS LÄN</t>
        </is>
      </c>
      <c r="E5990" t="inlineStr">
        <is>
          <t>SUNDSVALL</t>
        </is>
      </c>
      <c r="F5990" t="inlineStr">
        <is>
          <t>Holmen skog AB</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25251-2022</t>
        </is>
      </c>
      <c r="B5991" s="1" t="n">
        <v>44729</v>
      </c>
      <c r="C5991" s="1" t="n">
        <v>45657</v>
      </c>
      <c r="D5991" t="inlineStr">
        <is>
          <t>VÄSTERNORRLANDS LÄN</t>
        </is>
      </c>
      <c r="E5991" t="inlineStr">
        <is>
          <t>SUNDSVALL</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25211-2022</t>
        </is>
      </c>
      <c r="B5992" s="1" t="n">
        <v>44729</v>
      </c>
      <c r="C5992" s="1" t="n">
        <v>45657</v>
      </c>
      <c r="D5992" t="inlineStr">
        <is>
          <t>VÄSTERNORRLANDS LÄN</t>
        </is>
      </c>
      <c r="E5992" t="inlineStr">
        <is>
          <t>SUNDSVALL</t>
        </is>
      </c>
      <c r="F5992" t="inlineStr">
        <is>
          <t>Holmen skog AB</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25196-2022</t>
        </is>
      </c>
      <c r="B5993" s="1" t="n">
        <v>44729</v>
      </c>
      <c r="C5993" s="1" t="n">
        <v>45657</v>
      </c>
      <c r="D5993" t="inlineStr">
        <is>
          <t>VÄSTERNORRLANDS LÄN</t>
        </is>
      </c>
      <c r="E5993" t="inlineStr">
        <is>
          <t>SUNDSVALL</t>
        </is>
      </c>
      <c r="F5993" t="inlineStr">
        <is>
          <t>Holmen skog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25295-2022</t>
        </is>
      </c>
      <c r="B5994" s="1" t="n">
        <v>44731</v>
      </c>
      <c r="C5994" s="1" t="n">
        <v>45657</v>
      </c>
      <c r="D5994" t="inlineStr">
        <is>
          <t>VÄSTERNORRLANDS LÄN</t>
        </is>
      </c>
      <c r="E5994" t="inlineStr">
        <is>
          <t>SOLLEFTEÅ</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25339-2022</t>
        </is>
      </c>
      <c r="B5995" s="1" t="n">
        <v>44732</v>
      </c>
      <c r="C5995" s="1" t="n">
        <v>45657</v>
      </c>
      <c r="D5995" t="inlineStr">
        <is>
          <t>VÄSTERNORRLANDS LÄN</t>
        </is>
      </c>
      <c r="E5995" t="inlineStr">
        <is>
          <t>SOLLEFTEÅ</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25338-2022</t>
        </is>
      </c>
      <c r="B5996" s="1" t="n">
        <v>44731</v>
      </c>
      <c r="C5996" s="1" t="n">
        <v>45657</v>
      </c>
      <c r="D5996" t="inlineStr">
        <is>
          <t>VÄSTERNORRLANDS LÄN</t>
        </is>
      </c>
      <c r="E5996" t="inlineStr">
        <is>
          <t>SOLLEFTEÅ</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25341-2022</t>
        </is>
      </c>
      <c r="B5997" s="1" t="n">
        <v>44731</v>
      </c>
      <c r="C5997" s="1" t="n">
        <v>45657</v>
      </c>
      <c r="D5997" t="inlineStr">
        <is>
          <t>VÄSTERNORRLANDS LÄN</t>
        </is>
      </c>
      <c r="E5997" t="inlineStr">
        <is>
          <t>SOLLEFTEÅ</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25414-2022</t>
        </is>
      </c>
      <c r="B5998" s="1" t="n">
        <v>44732</v>
      </c>
      <c r="C5998" s="1" t="n">
        <v>45657</v>
      </c>
      <c r="D5998" t="inlineStr">
        <is>
          <t>VÄSTERNORRLANDS LÄN</t>
        </is>
      </c>
      <c r="E5998" t="inlineStr">
        <is>
          <t>TIMRÅ</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25430-2022</t>
        </is>
      </c>
      <c r="B5999" s="1" t="n">
        <v>44732</v>
      </c>
      <c r="C5999" s="1" t="n">
        <v>45657</v>
      </c>
      <c r="D5999" t="inlineStr">
        <is>
          <t>VÄSTERNORRLANDS LÄN</t>
        </is>
      </c>
      <c r="E5999" t="inlineStr">
        <is>
          <t>HÄRNÖSAND</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25473-2022</t>
        </is>
      </c>
      <c r="B6000" s="1" t="n">
        <v>44732</v>
      </c>
      <c r="C6000" s="1" t="n">
        <v>45657</v>
      </c>
      <c r="D6000" t="inlineStr">
        <is>
          <t>VÄSTERNORRLANDS LÄN</t>
        </is>
      </c>
      <c r="E6000" t="inlineStr">
        <is>
          <t>ÖRNSKÖLDSVIK</t>
        </is>
      </c>
      <c r="F6000" t="inlineStr">
        <is>
          <t>Holmen skog AB</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25545-2022</t>
        </is>
      </c>
      <c r="B6001" s="1" t="n">
        <v>44732</v>
      </c>
      <c r="C6001" s="1" t="n">
        <v>45657</v>
      </c>
      <c r="D6001" t="inlineStr">
        <is>
          <t>VÄSTERNORRLANDS LÄN</t>
        </is>
      </c>
      <c r="E6001" t="inlineStr">
        <is>
          <t>ÖRNSKÖLDSVIK</t>
        </is>
      </c>
      <c r="F6001" t="inlineStr">
        <is>
          <t>Holmen skog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25643-2022</t>
        </is>
      </c>
      <c r="B6002" s="1" t="n">
        <v>44733</v>
      </c>
      <c r="C6002" s="1" t="n">
        <v>45657</v>
      </c>
      <c r="D6002" t="inlineStr">
        <is>
          <t>VÄSTERNORRLANDS LÄN</t>
        </is>
      </c>
      <c r="E6002" t="inlineStr">
        <is>
          <t>SUNDSVALL</t>
        </is>
      </c>
      <c r="F6002" t="inlineStr">
        <is>
          <t>Naturvårdsverket</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25554-2022</t>
        </is>
      </c>
      <c r="B6003" s="1" t="n">
        <v>44732</v>
      </c>
      <c r="C6003" s="1" t="n">
        <v>45657</v>
      </c>
      <c r="D6003" t="inlineStr">
        <is>
          <t>VÄSTERNORRLANDS LÄN</t>
        </is>
      </c>
      <c r="E6003" t="inlineStr">
        <is>
          <t>ÖRNSKÖLDSVIK</t>
        </is>
      </c>
      <c r="F6003" t="inlineStr">
        <is>
          <t>Holmen skog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25644-2022</t>
        </is>
      </c>
      <c r="B6004" s="1" t="n">
        <v>44732</v>
      </c>
      <c r="C6004" s="1" t="n">
        <v>45657</v>
      </c>
      <c r="D6004" t="inlineStr">
        <is>
          <t>VÄSTERNORRLANDS LÄN</t>
        </is>
      </c>
      <c r="E6004" t="inlineStr">
        <is>
          <t>TIMRÅ</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25737-2022</t>
        </is>
      </c>
      <c r="B6005" s="1" t="n">
        <v>44733</v>
      </c>
      <c r="C6005" s="1" t="n">
        <v>45657</v>
      </c>
      <c r="D6005" t="inlineStr">
        <is>
          <t>VÄSTERNORRLANDS LÄN</t>
        </is>
      </c>
      <c r="E6005" t="inlineStr">
        <is>
          <t>ÖRNSKÖLDSVIK</t>
        </is>
      </c>
      <c r="F6005" t="inlineStr">
        <is>
          <t>Holmen skog AB</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25903-2022</t>
        </is>
      </c>
      <c r="B6006" s="1" t="n">
        <v>44733</v>
      </c>
      <c r="C6006" s="1" t="n">
        <v>45657</v>
      </c>
      <c r="D6006" t="inlineStr">
        <is>
          <t>VÄSTERNORRLANDS LÄN</t>
        </is>
      </c>
      <c r="E6006" t="inlineStr">
        <is>
          <t>ÅNGE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25900-2022</t>
        </is>
      </c>
      <c r="B6007" s="1" t="n">
        <v>44734</v>
      </c>
      <c r="C6007" s="1" t="n">
        <v>45657</v>
      </c>
      <c r="D6007" t="inlineStr">
        <is>
          <t>VÄSTERNORRLANDS LÄN</t>
        </is>
      </c>
      <c r="E6007" t="inlineStr">
        <is>
          <t>ÅNGE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25953-2022</t>
        </is>
      </c>
      <c r="B6008" s="1" t="n">
        <v>44734</v>
      </c>
      <c r="C6008" s="1" t="n">
        <v>45657</v>
      </c>
      <c r="D6008" t="inlineStr">
        <is>
          <t>VÄSTERNORRLANDS LÄN</t>
        </is>
      </c>
      <c r="E6008" t="inlineStr">
        <is>
          <t>SUNDSVALL</t>
        </is>
      </c>
      <c r="F6008" t="inlineStr">
        <is>
          <t>Holmen skog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25964-2022</t>
        </is>
      </c>
      <c r="B6009" s="1" t="n">
        <v>44734</v>
      </c>
      <c r="C6009" s="1" t="n">
        <v>45657</v>
      </c>
      <c r="D6009" t="inlineStr">
        <is>
          <t>VÄSTERNORRLANDS LÄN</t>
        </is>
      </c>
      <c r="E6009" t="inlineStr">
        <is>
          <t>SUNDSVALL</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25976-2022</t>
        </is>
      </c>
      <c r="B6010" s="1" t="n">
        <v>44734</v>
      </c>
      <c r="C6010" s="1" t="n">
        <v>45657</v>
      </c>
      <c r="D6010" t="inlineStr">
        <is>
          <t>VÄSTERNORRLANDS LÄN</t>
        </is>
      </c>
      <c r="E6010" t="inlineStr">
        <is>
          <t>ÖRNSKÖLDSVIK</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26015-2022</t>
        </is>
      </c>
      <c r="B6011" s="1" t="n">
        <v>44734</v>
      </c>
      <c r="C6011" s="1" t="n">
        <v>45657</v>
      </c>
      <c r="D6011" t="inlineStr">
        <is>
          <t>VÄSTERNORRLANDS LÄN</t>
        </is>
      </c>
      <c r="E6011" t="inlineStr">
        <is>
          <t>SUNDSVALL</t>
        </is>
      </c>
      <c r="F6011" t="inlineStr">
        <is>
          <t>Holmen skog AB</t>
        </is>
      </c>
      <c r="G6011" t="n">
        <v>12.8</v>
      </c>
      <c r="H6011" t="n">
        <v>0</v>
      </c>
      <c r="I6011" t="n">
        <v>0</v>
      </c>
      <c r="J6011" t="n">
        <v>0</v>
      </c>
      <c r="K6011" t="n">
        <v>0</v>
      </c>
      <c r="L6011" t="n">
        <v>0</v>
      </c>
      <c r="M6011" t="n">
        <v>0</v>
      </c>
      <c r="N6011" t="n">
        <v>0</v>
      </c>
      <c r="O6011" t="n">
        <v>0</v>
      </c>
      <c r="P6011" t="n">
        <v>0</v>
      </c>
      <c r="Q6011" t="n">
        <v>0</v>
      </c>
      <c r="R6011" s="2" t="inlineStr"/>
    </row>
    <row r="6012" ht="15" customHeight="1">
      <c r="A6012" t="inlineStr">
        <is>
          <t>A 25930-2022</t>
        </is>
      </c>
      <c r="B6012" s="1" t="n">
        <v>44734</v>
      </c>
      <c r="C6012" s="1" t="n">
        <v>45657</v>
      </c>
      <c r="D6012" t="inlineStr">
        <is>
          <t>VÄSTERNORRLANDS LÄN</t>
        </is>
      </c>
      <c r="E6012" t="inlineStr">
        <is>
          <t>SUNDSVALL</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25937-2022</t>
        </is>
      </c>
      <c r="B6013" s="1" t="n">
        <v>44734</v>
      </c>
      <c r="C6013" s="1" t="n">
        <v>45657</v>
      </c>
      <c r="D6013" t="inlineStr">
        <is>
          <t>VÄSTERNORRLANDS LÄN</t>
        </is>
      </c>
      <c r="E6013" t="inlineStr">
        <is>
          <t>SUNDSVALL</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25942-2022</t>
        </is>
      </c>
      <c r="B6014" s="1" t="n">
        <v>44734</v>
      </c>
      <c r="C6014" s="1" t="n">
        <v>45657</v>
      </c>
      <c r="D6014" t="inlineStr">
        <is>
          <t>VÄSTERNORRLANDS LÄN</t>
        </is>
      </c>
      <c r="E6014" t="inlineStr">
        <is>
          <t>ÖRNSKÖLDSVIK</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25973-2022</t>
        </is>
      </c>
      <c r="B6015" s="1" t="n">
        <v>44734</v>
      </c>
      <c r="C6015" s="1" t="n">
        <v>45657</v>
      </c>
      <c r="D6015" t="inlineStr">
        <is>
          <t>VÄSTERNORRLANDS LÄN</t>
        </is>
      </c>
      <c r="E6015" t="inlineStr">
        <is>
          <t>ÅNGE</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26023-2022</t>
        </is>
      </c>
      <c r="B6016" s="1" t="n">
        <v>44734</v>
      </c>
      <c r="C6016" s="1" t="n">
        <v>45657</v>
      </c>
      <c r="D6016" t="inlineStr">
        <is>
          <t>VÄSTERNORRLANDS LÄN</t>
        </is>
      </c>
      <c r="E6016" t="inlineStr">
        <is>
          <t>ÖRNSKÖLDSVIK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26072-2022</t>
        </is>
      </c>
      <c r="B6017" s="1" t="n">
        <v>44734</v>
      </c>
      <c r="C6017" s="1" t="n">
        <v>45657</v>
      </c>
      <c r="D6017" t="inlineStr">
        <is>
          <t>VÄSTERNORRLANDS LÄN</t>
        </is>
      </c>
      <c r="E6017" t="inlineStr">
        <is>
          <t>HÄRNÖSAND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26118-2022</t>
        </is>
      </c>
      <c r="B6018" s="1" t="n">
        <v>44735</v>
      </c>
      <c r="C6018" s="1" t="n">
        <v>45657</v>
      </c>
      <c r="D6018" t="inlineStr">
        <is>
          <t>VÄSTERNORRLANDS LÄN</t>
        </is>
      </c>
      <c r="E6018" t="inlineStr">
        <is>
          <t>HÄRNÖSAND</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26287-2022</t>
        </is>
      </c>
      <c r="B6019" s="1" t="n">
        <v>44735</v>
      </c>
      <c r="C6019" s="1" t="n">
        <v>45657</v>
      </c>
      <c r="D6019" t="inlineStr">
        <is>
          <t>VÄSTERNORRLANDS LÄN</t>
        </is>
      </c>
      <c r="E6019" t="inlineStr">
        <is>
          <t>SUNDSVALL</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26337-2022</t>
        </is>
      </c>
      <c r="B6020" s="1" t="n">
        <v>44735</v>
      </c>
      <c r="C6020" s="1" t="n">
        <v>45657</v>
      </c>
      <c r="D6020" t="inlineStr">
        <is>
          <t>VÄSTERNORRLANDS LÄN</t>
        </is>
      </c>
      <c r="E6020" t="inlineStr">
        <is>
          <t>SUNDSVALL</t>
        </is>
      </c>
      <c r="F6020" t="inlineStr">
        <is>
          <t>Holmen skog AB</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26398-2022</t>
        </is>
      </c>
      <c r="B6021" s="1" t="n">
        <v>44735</v>
      </c>
      <c r="C6021" s="1" t="n">
        <v>45657</v>
      </c>
      <c r="D6021" t="inlineStr">
        <is>
          <t>VÄSTERNORRLANDS LÄN</t>
        </is>
      </c>
      <c r="E6021" t="inlineStr">
        <is>
          <t>HÄRNÖSAND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26407-2022</t>
        </is>
      </c>
      <c r="B6022" s="1" t="n">
        <v>44735</v>
      </c>
      <c r="C6022" s="1" t="n">
        <v>45657</v>
      </c>
      <c r="D6022" t="inlineStr">
        <is>
          <t>VÄSTERNORRLANDS LÄN</t>
        </is>
      </c>
      <c r="E6022" t="inlineStr">
        <is>
          <t>SOLLEFTEÅ</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26416-2022</t>
        </is>
      </c>
      <c r="B6023" s="1" t="n">
        <v>44736</v>
      </c>
      <c r="C6023" s="1" t="n">
        <v>45657</v>
      </c>
      <c r="D6023" t="inlineStr">
        <is>
          <t>VÄSTERNORRLANDS LÄN</t>
        </is>
      </c>
      <c r="E6023" t="inlineStr">
        <is>
          <t>SOLLEFTEÅ</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26415-2022</t>
        </is>
      </c>
      <c r="B6024" s="1" t="n">
        <v>44735</v>
      </c>
      <c r="C6024" s="1" t="n">
        <v>45657</v>
      </c>
      <c r="D6024" t="inlineStr">
        <is>
          <t>VÄSTERNORRLANDS LÄN</t>
        </is>
      </c>
      <c r="E6024" t="inlineStr">
        <is>
          <t>SOLLEFTEÅ</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26435-2022</t>
        </is>
      </c>
      <c r="B6025" s="1" t="n">
        <v>44737</v>
      </c>
      <c r="C6025" s="1" t="n">
        <v>45657</v>
      </c>
      <c r="D6025" t="inlineStr">
        <is>
          <t>VÄSTERNORRLANDS LÄN</t>
        </is>
      </c>
      <c r="E6025" t="inlineStr">
        <is>
          <t>SOLLEFTEÅ</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26436-2022</t>
        </is>
      </c>
      <c r="B6026" s="1" t="n">
        <v>44737</v>
      </c>
      <c r="C6026" s="1" t="n">
        <v>45657</v>
      </c>
      <c r="D6026" t="inlineStr">
        <is>
          <t>VÄSTERNORRLANDS LÄN</t>
        </is>
      </c>
      <c r="E6026" t="inlineStr">
        <is>
          <t>SUNDSVALL</t>
        </is>
      </c>
      <c r="F6026" t="inlineStr">
        <is>
          <t>Naturvårdsverket</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26453-2022</t>
        </is>
      </c>
      <c r="B6027" s="1" t="n">
        <v>44739</v>
      </c>
      <c r="C6027" s="1" t="n">
        <v>45657</v>
      </c>
      <c r="D6027" t="inlineStr">
        <is>
          <t>VÄSTERNORRLANDS LÄN</t>
        </is>
      </c>
      <c r="E6027" t="inlineStr">
        <is>
          <t>SUNDSVALL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26472-2022</t>
        </is>
      </c>
      <c r="B6028" s="1" t="n">
        <v>44739</v>
      </c>
      <c r="C6028" s="1" t="n">
        <v>45657</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26489-2022</t>
        </is>
      </c>
      <c r="B6029" s="1" t="n">
        <v>44739</v>
      </c>
      <c r="C6029" s="1" t="n">
        <v>45657</v>
      </c>
      <c r="D6029" t="inlineStr">
        <is>
          <t>VÄSTERNORRLANDS LÄN</t>
        </is>
      </c>
      <c r="E6029" t="inlineStr">
        <is>
          <t>ÅNGE</t>
        </is>
      </c>
      <c r="F6029" t="inlineStr">
        <is>
          <t>Sveaskog</t>
        </is>
      </c>
      <c r="G6029" t="n">
        <v>18.5</v>
      </c>
      <c r="H6029" t="n">
        <v>0</v>
      </c>
      <c r="I6029" t="n">
        <v>0</v>
      </c>
      <c r="J6029" t="n">
        <v>0</v>
      </c>
      <c r="K6029" t="n">
        <v>0</v>
      </c>
      <c r="L6029" t="n">
        <v>0</v>
      </c>
      <c r="M6029" t="n">
        <v>0</v>
      </c>
      <c r="N6029" t="n">
        <v>0</v>
      </c>
      <c r="O6029" t="n">
        <v>0</v>
      </c>
      <c r="P6029" t="n">
        <v>0</v>
      </c>
      <c r="Q6029" t="n">
        <v>0</v>
      </c>
      <c r="R6029" s="2" t="inlineStr"/>
    </row>
    <row r="6030" ht="15" customHeight="1">
      <c r="A6030" t="inlineStr">
        <is>
          <t>A 26521-2022</t>
        </is>
      </c>
      <c r="B6030" s="1" t="n">
        <v>44739</v>
      </c>
      <c r="C6030" s="1" t="n">
        <v>45657</v>
      </c>
      <c r="D6030" t="inlineStr">
        <is>
          <t>VÄSTERNORRLANDS LÄN</t>
        </is>
      </c>
      <c r="E6030" t="inlineStr">
        <is>
          <t>ÖRNSKÖLDSVIK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26647-2022</t>
        </is>
      </c>
      <c r="B6031" s="1" t="n">
        <v>44739</v>
      </c>
      <c r="C6031" s="1" t="n">
        <v>45657</v>
      </c>
      <c r="D6031" t="inlineStr">
        <is>
          <t>VÄSTERNORRLANDS LÄN</t>
        </is>
      </c>
      <c r="E6031" t="inlineStr">
        <is>
          <t>ÖRNSKÖLDSVIK</t>
        </is>
      </c>
      <c r="F6031" t="inlineStr">
        <is>
          <t>Holmen skog AB</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26676-2022</t>
        </is>
      </c>
      <c r="B6032" s="1" t="n">
        <v>44739</v>
      </c>
      <c r="C6032" s="1" t="n">
        <v>45657</v>
      </c>
      <c r="D6032" t="inlineStr">
        <is>
          <t>VÄSTERNORRLANDS LÄN</t>
        </is>
      </c>
      <c r="E6032" t="inlineStr">
        <is>
          <t>ÅNGE</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26723-2022</t>
        </is>
      </c>
      <c r="B6033" s="1" t="n">
        <v>44739</v>
      </c>
      <c r="C6033" s="1" t="n">
        <v>45657</v>
      </c>
      <c r="D6033" t="inlineStr">
        <is>
          <t>VÄSTERNORRLANDS LÄN</t>
        </is>
      </c>
      <c r="E6033" t="inlineStr">
        <is>
          <t>KRAMFORS</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26635-2022</t>
        </is>
      </c>
      <c r="B6034" s="1" t="n">
        <v>44739</v>
      </c>
      <c r="C6034" s="1" t="n">
        <v>45657</v>
      </c>
      <c r="D6034" t="inlineStr">
        <is>
          <t>VÄSTERNORRLANDS LÄN</t>
        </is>
      </c>
      <c r="E6034" t="inlineStr">
        <is>
          <t>ÖRNSKÖLDSVIK</t>
        </is>
      </c>
      <c r="F6034" t="inlineStr">
        <is>
          <t>Holmen skog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26674-2022</t>
        </is>
      </c>
      <c r="B6035" s="1" t="n">
        <v>44739</v>
      </c>
      <c r="C6035" s="1" t="n">
        <v>45657</v>
      </c>
      <c r="D6035" t="inlineStr">
        <is>
          <t>VÄSTERNORRLANDS LÄN</t>
        </is>
      </c>
      <c r="E6035" t="inlineStr">
        <is>
          <t>SUNDSVALL</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26685-2022</t>
        </is>
      </c>
      <c r="B6036" s="1" t="n">
        <v>44739</v>
      </c>
      <c r="C6036" s="1" t="n">
        <v>45657</v>
      </c>
      <c r="D6036" t="inlineStr">
        <is>
          <t>VÄSTERNORRLANDS LÄN</t>
        </is>
      </c>
      <c r="E6036" t="inlineStr">
        <is>
          <t>ÖRNSKÖLDSVIK</t>
        </is>
      </c>
      <c r="F6036" t="inlineStr">
        <is>
          <t>Holmen skog AB</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26722-2022</t>
        </is>
      </c>
      <c r="B6037" s="1" t="n">
        <v>44739</v>
      </c>
      <c r="C6037" s="1" t="n">
        <v>45657</v>
      </c>
      <c r="D6037" t="inlineStr">
        <is>
          <t>VÄSTERNORRLANDS LÄN</t>
        </is>
      </c>
      <c r="E6037" t="inlineStr">
        <is>
          <t>KRAMFORS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26732-2022</t>
        </is>
      </c>
      <c r="B6038" s="1" t="n">
        <v>44740</v>
      </c>
      <c r="C6038" s="1" t="n">
        <v>45657</v>
      </c>
      <c r="D6038" t="inlineStr">
        <is>
          <t>VÄSTERNORRLANDS LÄN</t>
        </is>
      </c>
      <c r="E6038" t="inlineStr">
        <is>
          <t>SOLLEFTEÅ</t>
        </is>
      </c>
      <c r="F6038" t="inlineStr">
        <is>
          <t>SCA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26498-2022</t>
        </is>
      </c>
      <c r="B6039" s="1" t="n">
        <v>44739</v>
      </c>
      <c r="C6039" s="1" t="n">
        <v>45657</v>
      </c>
      <c r="D6039" t="inlineStr">
        <is>
          <t>VÄSTERNORRLANDS LÄN</t>
        </is>
      </c>
      <c r="E6039" t="inlineStr">
        <is>
          <t>ÅNGE</t>
        </is>
      </c>
      <c r="F6039" t="inlineStr">
        <is>
          <t>Sveaskog</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26744-2022</t>
        </is>
      </c>
      <c r="B6040" s="1" t="n">
        <v>44739</v>
      </c>
      <c r="C6040" s="1" t="n">
        <v>45657</v>
      </c>
      <c r="D6040" t="inlineStr">
        <is>
          <t>VÄSTERNORRLANDS LÄN</t>
        </is>
      </c>
      <c r="E6040" t="inlineStr">
        <is>
          <t>SOLLEFTEÅ</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26736-2022</t>
        </is>
      </c>
      <c r="B6041" s="1" t="n">
        <v>44740</v>
      </c>
      <c r="C6041" s="1" t="n">
        <v>45657</v>
      </c>
      <c r="D6041" t="inlineStr">
        <is>
          <t>VÄSTERNORRLANDS LÄN</t>
        </is>
      </c>
      <c r="E6041" t="inlineStr">
        <is>
          <t>SOLLEFTEÅ</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26847-2022</t>
        </is>
      </c>
      <c r="B6042" s="1" t="n">
        <v>44740</v>
      </c>
      <c r="C6042" s="1" t="n">
        <v>45657</v>
      </c>
      <c r="D6042" t="inlineStr">
        <is>
          <t>VÄSTERNORRLANDS LÄN</t>
        </is>
      </c>
      <c r="E6042" t="inlineStr">
        <is>
          <t>ÖRNSKÖLDSVIK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26194-2022</t>
        </is>
      </c>
      <c r="B6043" s="1" t="n">
        <v>44740</v>
      </c>
      <c r="C6043" s="1" t="n">
        <v>45657</v>
      </c>
      <c r="D6043" t="inlineStr">
        <is>
          <t>VÄSTERNORRLANDS LÄN</t>
        </is>
      </c>
      <c r="E6043" t="inlineStr">
        <is>
          <t>ÖRNSKÖLDSVIK</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26775-2022</t>
        </is>
      </c>
      <c r="B6044" s="1" t="n">
        <v>44740</v>
      </c>
      <c r="C6044" s="1" t="n">
        <v>45657</v>
      </c>
      <c r="D6044" t="inlineStr">
        <is>
          <t>VÄSTERNORRLANDS LÄN</t>
        </is>
      </c>
      <c r="E6044" t="inlineStr">
        <is>
          <t>ÖRNSKÖLDSVIK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26844-2022</t>
        </is>
      </c>
      <c r="B6045" s="1" t="n">
        <v>44740</v>
      </c>
      <c r="C6045" s="1" t="n">
        <v>45657</v>
      </c>
      <c r="D6045" t="inlineStr">
        <is>
          <t>VÄSTERNORRLANDS LÄN</t>
        </is>
      </c>
      <c r="E6045" t="inlineStr">
        <is>
          <t>ÖRNSKÖLDSVIK</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27005-2022</t>
        </is>
      </c>
      <c r="B6046" s="1" t="n">
        <v>44740</v>
      </c>
      <c r="C6046" s="1" t="n">
        <v>45657</v>
      </c>
      <c r="D6046" t="inlineStr">
        <is>
          <t>VÄSTERNORRLANDS LÄN</t>
        </is>
      </c>
      <c r="E6046" t="inlineStr">
        <is>
          <t>SUNDSVALL</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27016-2022</t>
        </is>
      </c>
      <c r="B6047" s="1" t="n">
        <v>44741</v>
      </c>
      <c r="C6047" s="1" t="n">
        <v>45657</v>
      </c>
      <c r="D6047" t="inlineStr">
        <is>
          <t>VÄSTERNORRLANDS LÄN</t>
        </is>
      </c>
      <c r="E6047" t="inlineStr">
        <is>
          <t>SOLLEFTEÅ</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27009-2022</t>
        </is>
      </c>
      <c r="B6048" s="1" t="n">
        <v>44741</v>
      </c>
      <c r="C6048" s="1" t="n">
        <v>45657</v>
      </c>
      <c r="D6048" t="inlineStr">
        <is>
          <t>VÄSTERNORRLANDS LÄN</t>
        </is>
      </c>
      <c r="E6048" t="inlineStr">
        <is>
          <t>SUNDSVALL</t>
        </is>
      </c>
      <c r="F6048" t="inlineStr">
        <is>
          <t>SCA</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27019-2022</t>
        </is>
      </c>
      <c r="B6049" s="1" t="n">
        <v>44741</v>
      </c>
      <c r="C6049" s="1" t="n">
        <v>45657</v>
      </c>
      <c r="D6049" t="inlineStr">
        <is>
          <t>VÄSTERNORRLANDS LÄN</t>
        </is>
      </c>
      <c r="E6049" t="inlineStr">
        <is>
          <t>SOLLEFTEÅ</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27004-2022</t>
        </is>
      </c>
      <c r="B6050" s="1" t="n">
        <v>44740</v>
      </c>
      <c r="C6050" s="1" t="n">
        <v>45657</v>
      </c>
      <c r="D6050" t="inlineStr">
        <is>
          <t>VÄSTERNORRLANDS LÄN</t>
        </is>
      </c>
      <c r="E6050" t="inlineStr">
        <is>
          <t>SUNDSVALL</t>
        </is>
      </c>
      <c r="G6050" t="n">
        <v>26.1</v>
      </c>
      <c r="H6050" t="n">
        <v>0</v>
      </c>
      <c r="I6050" t="n">
        <v>0</v>
      </c>
      <c r="J6050" t="n">
        <v>0</v>
      </c>
      <c r="K6050" t="n">
        <v>0</v>
      </c>
      <c r="L6050" t="n">
        <v>0</v>
      </c>
      <c r="M6050" t="n">
        <v>0</v>
      </c>
      <c r="N6050" t="n">
        <v>0</v>
      </c>
      <c r="O6050" t="n">
        <v>0</v>
      </c>
      <c r="P6050" t="n">
        <v>0</v>
      </c>
      <c r="Q6050" t="n">
        <v>0</v>
      </c>
      <c r="R6050" s="2" t="inlineStr"/>
    </row>
    <row r="6051" ht="15" customHeight="1">
      <c r="A6051" t="inlineStr">
        <is>
          <t>A 27012-2022</t>
        </is>
      </c>
      <c r="B6051" s="1" t="n">
        <v>44740</v>
      </c>
      <c r="C6051" s="1" t="n">
        <v>45657</v>
      </c>
      <c r="D6051" t="inlineStr">
        <is>
          <t>VÄSTERNORRLANDS LÄN</t>
        </is>
      </c>
      <c r="E6051" t="inlineStr">
        <is>
          <t>SOLLEFTEÅ</t>
        </is>
      </c>
      <c r="F6051" t="inlineStr">
        <is>
          <t>SCA</t>
        </is>
      </c>
      <c r="G6051" t="n">
        <v>19.8</v>
      </c>
      <c r="H6051" t="n">
        <v>0</v>
      </c>
      <c r="I6051" t="n">
        <v>0</v>
      </c>
      <c r="J6051" t="n">
        <v>0</v>
      </c>
      <c r="K6051" t="n">
        <v>0</v>
      </c>
      <c r="L6051" t="n">
        <v>0</v>
      </c>
      <c r="M6051" t="n">
        <v>0</v>
      </c>
      <c r="N6051" t="n">
        <v>0</v>
      </c>
      <c r="O6051" t="n">
        <v>0</v>
      </c>
      <c r="P6051" t="n">
        <v>0</v>
      </c>
      <c r="Q6051" t="n">
        <v>0</v>
      </c>
      <c r="R6051" s="2" t="inlineStr"/>
    </row>
    <row r="6052" ht="15" customHeight="1">
      <c r="A6052" t="inlineStr">
        <is>
          <t>A 27020-2022</t>
        </is>
      </c>
      <c r="B6052" s="1" t="n">
        <v>44741</v>
      </c>
      <c r="C6052" s="1" t="n">
        <v>45657</v>
      </c>
      <c r="D6052" t="inlineStr">
        <is>
          <t>VÄSTERNORRLANDS LÄN</t>
        </is>
      </c>
      <c r="E6052" t="inlineStr">
        <is>
          <t>SOLLEFTEÅ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27024-2022</t>
        </is>
      </c>
      <c r="B6053" s="1" t="n">
        <v>44741</v>
      </c>
      <c r="C6053" s="1" t="n">
        <v>45657</v>
      </c>
      <c r="D6053" t="inlineStr">
        <is>
          <t>VÄSTERNORRLANDS LÄN</t>
        </is>
      </c>
      <c r="E6053" t="inlineStr">
        <is>
          <t>SOLLEFTEÅ</t>
        </is>
      </c>
      <c r="F6053" t="inlineStr">
        <is>
          <t>SCA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27023-2022</t>
        </is>
      </c>
      <c r="B6054" s="1" t="n">
        <v>44741</v>
      </c>
      <c r="C6054" s="1" t="n">
        <v>45657</v>
      </c>
      <c r="D6054" t="inlineStr">
        <is>
          <t>VÄSTERNORRLANDS LÄN</t>
        </is>
      </c>
      <c r="E6054" t="inlineStr">
        <is>
          <t>SOLLEFTEÅ</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27027-2022</t>
        </is>
      </c>
      <c r="B6055" s="1" t="n">
        <v>44741</v>
      </c>
      <c r="C6055" s="1" t="n">
        <v>45657</v>
      </c>
      <c r="D6055" t="inlineStr">
        <is>
          <t>VÄSTERNORRLANDS LÄN</t>
        </is>
      </c>
      <c r="E6055" t="inlineStr">
        <is>
          <t>SUNDSVALL</t>
        </is>
      </c>
      <c r="F6055" t="inlineStr">
        <is>
          <t>SCA</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27018-2022</t>
        </is>
      </c>
      <c r="B6056" s="1" t="n">
        <v>44740</v>
      </c>
      <c r="C6056" s="1" t="n">
        <v>45657</v>
      </c>
      <c r="D6056" t="inlineStr">
        <is>
          <t>VÄSTERNORRLANDS LÄN</t>
        </is>
      </c>
      <c r="E6056" t="inlineStr">
        <is>
          <t>SOLLEFTEÅ</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27022-2022</t>
        </is>
      </c>
      <c r="B6057" s="1" t="n">
        <v>44741</v>
      </c>
      <c r="C6057" s="1" t="n">
        <v>45657</v>
      </c>
      <c r="D6057" t="inlineStr">
        <is>
          <t>VÄSTERNORRLANDS LÄN</t>
        </is>
      </c>
      <c r="E6057" t="inlineStr">
        <is>
          <t>SOLLEFTEÅ</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27026-2022</t>
        </is>
      </c>
      <c r="B6058" s="1" t="n">
        <v>44740</v>
      </c>
      <c r="C6058" s="1" t="n">
        <v>45657</v>
      </c>
      <c r="D6058" t="inlineStr">
        <is>
          <t>VÄSTERNORRLANDS LÄN</t>
        </is>
      </c>
      <c r="E6058" t="inlineStr">
        <is>
          <t>SUNDSVALL</t>
        </is>
      </c>
      <c r="F6058" t="inlineStr">
        <is>
          <t>SCA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27082-2022</t>
        </is>
      </c>
      <c r="B6059" s="1" t="n">
        <v>44741</v>
      </c>
      <c r="C6059" s="1" t="n">
        <v>45657</v>
      </c>
      <c r="D6059" t="inlineStr">
        <is>
          <t>VÄSTERNORRLANDS LÄN</t>
        </is>
      </c>
      <c r="E6059" t="inlineStr">
        <is>
          <t>SOLLEFTEÅ</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27173-2022</t>
        </is>
      </c>
      <c r="B6060" s="1" t="n">
        <v>44741</v>
      </c>
      <c r="C6060" s="1" t="n">
        <v>45657</v>
      </c>
      <c r="D6060" t="inlineStr">
        <is>
          <t>VÄSTERNORRLANDS LÄN</t>
        </is>
      </c>
      <c r="E6060" t="inlineStr">
        <is>
          <t>KRAMFORS</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27163-2022</t>
        </is>
      </c>
      <c r="B6061" s="1" t="n">
        <v>44741</v>
      </c>
      <c r="C6061" s="1" t="n">
        <v>45657</v>
      </c>
      <c r="D6061" t="inlineStr">
        <is>
          <t>VÄSTERNORRLANDS LÄN</t>
        </is>
      </c>
      <c r="E6061" t="inlineStr">
        <is>
          <t>ÖRNSKÖLDSVIK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27153-2022</t>
        </is>
      </c>
      <c r="B6062" s="1" t="n">
        <v>44741</v>
      </c>
      <c r="C6062" s="1" t="n">
        <v>45657</v>
      </c>
      <c r="D6062" t="inlineStr">
        <is>
          <t>VÄSTERNORRLANDS LÄN</t>
        </is>
      </c>
      <c r="E6062" t="inlineStr">
        <is>
          <t>ÖRNSKÖLDSVIK</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27283-2022</t>
        </is>
      </c>
      <c r="B6063" s="1" t="n">
        <v>44742</v>
      </c>
      <c r="C6063" s="1" t="n">
        <v>45657</v>
      </c>
      <c r="D6063" t="inlineStr">
        <is>
          <t>VÄSTERNORRLANDS LÄN</t>
        </is>
      </c>
      <c r="E6063" t="inlineStr">
        <is>
          <t>SOLLEFTEÅ</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27271-2022</t>
        </is>
      </c>
      <c r="B6064" s="1" t="n">
        <v>44742</v>
      </c>
      <c r="C6064" s="1" t="n">
        <v>45657</v>
      </c>
      <c r="D6064" t="inlineStr">
        <is>
          <t>VÄSTERNORRLANDS LÄN</t>
        </is>
      </c>
      <c r="E6064" t="inlineStr">
        <is>
          <t>SUNDSVALL</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27282-2022</t>
        </is>
      </c>
      <c r="B6065" s="1" t="n">
        <v>44741</v>
      </c>
      <c r="C6065" s="1" t="n">
        <v>45657</v>
      </c>
      <c r="D6065" t="inlineStr">
        <is>
          <t>VÄSTERNORRLANDS LÄN</t>
        </is>
      </c>
      <c r="E6065" t="inlineStr">
        <is>
          <t>SOLLEFTEÅ</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27362-2022</t>
        </is>
      </c>
      <c r="B6066" s="1" t="n">
        <v>44742</v>
      </c>
      <c r="C6066" s="1" t="n">
        <v>45657</v>
      </c>
      <c r="D6066" t="inlineStr">
        <is>
          <t>VÄSTERNORRLANDS LÄN</t>
        </is>
      </c>
      <c r="E6066" t="inlineStr">
        <is>
          <t>ÖRNSKÖLDSVIK</t>
        </is>
      </c>
      <c r="F6066" t="inlineStr">
        <is>
          <t>Kyrkan</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27357-2022</t>
        </is>
      </c>
      <c r="B6067" s="1" t="n">
        <v>44742</v>
      </c>
      <c r="C6067" s="1" t="n">
        <v>45657</v>
      </c>
      <c r="D6067" t="inlineStr">
        <is>
          <t>VÄSTERNORRLANDS LÄN</t>
        </is>
      </c>
      <c r="E6067" t="inlineStr">
        <is>
          <t>ÅNGE</t>
        </is>
      </c>
      <c r="F6067" t="inlineStr">
        <is>
          <t>Holmen skog AB</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27467-2022</t>
        </is>
      </c>
      <c r="B6068" s="1" t="n">
        <v>44742</v>
      </c>
      <c r="C6068" s="1" t="n">
        <v>45657</v>
      </c>
      <c r="D6068" t="inlineStr">
        <is>
          <t>VÄSTERNORRLANDS LÄN</t>
        </is>
      </c>
      <c r="E6068" t="inlineStr">
        <is>
          <t>ÖRNSKÖLDSVIK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27368-2022</t>
        </is>
      </c>
      <c r="B6069" s="1" t="n">
        <v>44742</v>
      </c>
      <c r="C6069" s="1" t="n">
        <v>45657</v>
      </c>
      <c r="D6069" t="inlineStr">
        <is>
          <t>VÄSTERNORRLANDS LÄN</t>
        </is>
      </c>
      <c r="E6069" t="inlineStr">
        <is>
          <t>ÖRNSKÖLDSVIK</t>
        </is>
      </c>
      <c r="F6069" t="inlineStr">
        <is>
          <t>Holmen skog AB</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27522-2022</t>
        </is>
      </c>
      <c r="B6070" s="1" t="n">
        <v>44742</v>
      </c>
      <c r="C6070" s="1" t="n">
        <v>45657</v>
      </c>
      <c r="D6070" t="inlineStr">
        <is>
          <t>VÄSTERNORRLANDS LÄN</t>
        </is>
      </c>
      <c r="E6070" t="inlineStr">
        <is>
          <t>ÖRNSKÖLDSVIK</t>
        </is>
      </c>
      <c r="F6070" t="inlineStr">
        <is>
          <t>Holmen skog AB</t>
        </is>
      </c>
      <c r="G6070" t="n">
        <v>11.3</v>
      </c>
      <c r="H6070" t="n">
        <v>0</v>
      </c>
      <c r="I6070" t="n">
        <v>0</v>
      </c>
      <c r="J6070" t="n">
        <v>0</v>
      </c>
      <c r="K6070" t="n">
        <v>0</v>
      </c>
      <c r="L6070" t="n">
        <v>0</v>
      </c>
      <c r="M6070" t="n">
        <v>0</v>
      </c>
      <c r="N6070" t="n">
        <v>0</v>
      </c>
      <c r="O6070" t="n">
        <v>0</v>
      </c>
      <c r="P6070" t="n">
        <v>0</v>
      </c>
      <c r="Q6070" t="n">
        <v>0</v>
      </c>
      <c r="R6070" s="2" t="inlineStr"/>
    </row>
    <row r="6071" ht="15" customHeight="1">
      <c r="A6071" t="inlineStr">
        <is>
          <t>A 27536-2022</t>
        </is>
      </c>
      <c r="B6071" s="1" t="n">
        <v>44742</v>
      </c>
      <c r="C6071" s="1" t="n">
        <v>45657</v>
      </c>
      <c r="D6071" t="inlineStr">
        <is>
          <t>VÄSTERNORRLANDS LÄN</t>
        </is>
      </c>
      <c r="E6071" t="inlineStr">
        <is>
          <t>ÖRNSKÖLDSVIK</t>
        </is>
      </c>
      <c r="F6071" t="inlineStr">
        <is>
          <t>Holmen skog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27509-2022</t>
        </is>
      </c>
      <c r="B6072" s="1" t="n">
        <v>44742</v>
      </c>
      <c r="C6072" s="1" t="n">
        <v>45657</v>
      </c>
      <c r="D6072" t="inlineStr">
        <is>
          <t>VÄSTERNORRLANDS LÄN</t>
        </is>
      </c>
      <c r="E6072" t="inlineStr">
        <is>
          <t>ÖRNSKÖLDSVIK</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27524-2022</t>
        </is>
      </c>
      <c r="B6073" s="1" t="n">
        <v>44742</v>
      </c>
      <c r="C6073" s="1" t="n">
        <v>45657</v>
      </c>
      <c r="D6073" t="inlineStr">
        <is>
          <t>VÄSTERNORRLANDS LÄN</t>
        </is>
      </c>
      <c r="E6073" t="inlineStr">
        <is>
          <t>ÖRNSKÖLDSVIK</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27573-2022</t>
        </is>
      </c>
      <c r="B6074" s="1" t="n">
        <v>44743</v>
      </c>
      <c r="C6074" s="1" t="n">
        <v>45657</v>
      </c>
      <c r="D6074" t="inlineStr">
        <is>
          <t>VÄSTERNORRLANDS LÄN</t>
        </is>
      </c>
      <c r="E6074" t="inlineStr">
        <is>
          <t>SOLLEFTEÅ</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27572-2022</t>
        </is>
      </c>
      <c r="B6075" s="1" t="n">
        <v>44743</v>
      </c>
      <c r="C6075" s="1" t="n">
        <v>45657</v>
      </c>
      <c r="D6075" t="inlineStr">
        <is>
          <t>VÄSTERNORRLANDS LÄN</t>
        </is>
      </c>
      <c r="E6075" t="inlineStr">
        <is>
          <t>SOLLEFTEÅ</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27603-2022</t>
        </is>
      </c>
      <c r="B6076" s="1" t="n">
        <v>44743</v>
      </c>
      <c r="C6076" s="1" t="n">
        <v>45657</v>
      </c>
      <c r="D6076" t="inlineStr">
        <is>
          <t>VÄSTERNORRLANDS LÄN</t>
        </is>
      </c>
      <c r="E6076" t="inlineStr">
        <is>
          <t>SOLLEFTEÅ</t>
        </is>
      </c>
      <c r="F6076" t="inlineStr">
        <is>
          <t>SCA</t>
        </is>
      </c>
      <c r="G6076" t="n">
        <v>9.6</v>
      </c>
      <c r="H6076" t="n">
        <v>0</v>
      </c>
      <c r="I6076" t="n">
        <v>0</v>
      </c>
      <c r="J6076" t="n">
        <v>0</v>
      </c>
      <c r="K6076" t="n">
        <v>0</v>
      </c>
      <c r="L6076" t="n">
        <v>0</v>
      </c>
      <c r="M6076" t="n">
        <v>0</v>
      </c>
      <c r="N6076" t="n">
        <v>0</v>
      </c>
      <c r="O6076" t="n">
        <v>0</v>
      </c>
      <c r="P6076" t="n">
        <v>0</v>
      </c>
      <c r="Q6076" t="n">
        <v>0</v>
      </c>
      <c r="R6076" s="2" t="inlineStr"/>
    </row>
    <row r="6077" ht="15" customHeight="1">
      <c r="A6077" t="inlineStr">
        <is>
          <t>A 27624-2022</t>
        </is>
      </c>
      <c r="B6077" s="1" t="n">
        <v>44742</v>
      </c>
      <c r="C6077" s="1" t="n">
        <v>45657</v>
      </c>
      <c r="D6077" t="inlineStr">
        <is>
          <t>VÄSTERNORRLANDS LÄN</t>
        </is>
      </c>
      <c r="E6077" t="inlineStr">
        <is>
          <t>KRAMFORS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27593-2022</t>
        </is>
      </c>
      <c r="B6078" s="1" t="n">
        <v>44742</v>
      </c>
      <c r="C6078" s="1" t="n">
        <v>45657</v>
      </c>
      <c r="D6078" t="inlineStr">
        <is>
          <t>VÄSTERNORRLANDS LÄN</t>
        </is>
      </c>
      <c r="E6078" t="inlineStr">
        <is>
          <t>SOLLEFTEÅ</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27588-2022</t>
        </is>
      </c>
      <c r="B6079" s="1" t="n">
        <v>44743</v>
      </c>
      <c r="C6079" s="1" t="n">
        <v>45657</v>
      </c>
      <c r="D6079" t="inlineStr">
        <is>
          <t>VÄSTERNORRLANDS LÄN</t>
        </is>
      </c>
      <c r="E6079" t="inlineStr">
        <is>
          <t>ÅNGE</t>
        </is>
      </c>
      <c r="F6079" t="inlineStr">
        <is>
          <t>SCA</t>
        </is>
      </c>
      <c r="G6079" t="n">
        <v>17.2</v>
      </c>
      <c r="H6079" t="n">
        <v>0</v>
      </c>
      <c r="I6079" t="n">
        <v>0</v>
      </c>
      <c r="J6079" t="n">
        <v>0</v>
      </c>
      <c r="K6079" t="n">
        <v>0</v>
      </c>
      <c r="L6079" t="n">
        <v>0</v>
      </c>
      <c r="M6079" t="n">
        <v>0</v>
      </c>
      <c r="N6079" t="n">
        <v>0</v>
      </c>
      <c r="O6079" t="n">
        <v>0</v>
      </c>
      <c r="P6079" t="n">
        <v>0</v>
      </c>
      <c r="Q6079" t="n">
        <v>0</v>
      </c>
      <c r="R6079" s="2" t="inlineStr"/>
    </row>
    <row r="6080" ht="15" customHeight="1">
      <c r="A6080" t="inlineStr">
        <is>
          <t>A 27634-2022</t>
        </is>
      </c>
      <c r="B6080" s="1" t="n">
        <v>44742</v>
      </c>
      <c r="C6080" s="1" t="n">
        <v>45657</v>
      </c>
      <c r="D6080" t="inlineStr">
        <is>
          <t>VÄSTERNORRLANDS LÄN</t>
        </is>
      </c>
      <c r="E6080" t="inlineStr">
        <is>
          <t>ÖRNSKÖLDSVIK</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27711-2022</t>
        </is>
      </c>
      <c r="B6081" s="1" t="n">
        <v>44743</v>
      </c>
      <c r="C6081" s="1" t="n">
        <v>45657</v>
      </c>
      <c r="D6081" t="inlineStr">
        <is>
          <t>VÄSTERNORRLANDS LÄN</t>
        </is>
      </c>
      <c r="E6081" t="inlineStr">
        <is>
          <t>ÖRNSKÖLDSVIK</t>
        </is>
      </c>
      <c r="F6081" t="inlineStr">
        <is>
          <t>Holmen skog AB</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27728-2022</t>
        </is>
      </c>
      <c r="B6082" s="1" t="n">
        <v>44743</v>
      </c>
      <c r="C6082" s="1" t="n">
        <v>45657</v>
      </c>
      <c r="D6082" t="inlineStr">
        <is>
          <t>VÄSTERNORRLANDS LÄN</t>
        </is>
      </c>
      <c r="E6082" t="inlineStr">
        <is>
          <t>ÖRNSKÖLDSVIK</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27689-2022</t>
        </is>
      </c>
      <c r="B6083" s="1" t="n">
        <v>44743</v>
      </c>
      <c r="C6083" s="1" t="n">
        <v>45657</v>
      </c>
      <c r="D6083" t="inlineStr">
        <is>
          <t>VÄSTERNORRLANDS LÄN</t>
        </is>
      </c>
      <c r="E6083" t="inlineStr">
        <is>
          <t>ÖRNSKÖLDSVIK</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27869-2022</t>
        </is>
      </c>
      <c r="B6084" s="1" t="n">
        <v>44743</v>
      </c>
      <c r="C6084" s="1" t="n">
        <v>45657</v>
      </c>
      <c r="D6084" t="inlineStr">
        <is>
          <t>VÄSTERNORRLANDS LÄN</t>
        </is>
      </c>
      <c r="E6084" t="inlineStr">
        <is>
          <t>ÖRNSKÖLDSVIK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27720-2022</t>
        </is>
      </c>
      <c r="B6085" s="1" t="n">
        <v>44743</v>
      </c>
      <c r="C6085" s="1" t="n">
        <v>45657</v>
      </c>
      <c r="D6085" t="inlineStr">
        <is>
          <t>VÄSTERNORRLANDS LÄN</t>
        </is>
      </c>
      <c r="E6085" t="inlineStr">
        <is>
          <t>ÖRNSKÖLDSVIK</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27801-2022</t>
        </is>
      </c>
      <c r="B6086" s="1" t="n">
        <v>44743</v>
      </c>
      <c r="C6086" s="1" t="n">
        <v>45657</v>
      </c>
      <c r="D6086" t="inlineStr">
        <is>
          <t>VÄSTERNORRLANDS LÄN</t>
        </is>
      </c>
      <c r="E6086" t="inlineStr">
        <is>
          <t>ÖRNSKÖLDSVIK</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27829-2022</t>
        </is>
      </c>
      <c r="B6087" s="1" t="n">
        <v>44743</v>
      </c>
      <c r="C6087" s="1" t="n">
        <v>45657</v>
      </c>
      <c r="D6087" t="inlineStr">
        <is>
          <t>VÄSTERNORRLANDS LÄN</t>
        </is>
      </c>
      <c r="E6087" t="inlineStr">
        <is>
          <t>ÖRNSKÖLDSVIK</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27862-2022</t>
        </is>
      </c>
      <c r="B6088" s="1" t="n">
        <v>44743</v>
      </c>
      <c r="C6088" s="1" t="n">
        <v>45657</v>
      </c>
      <c r="D6088" t="inlineStr">
        <is>
          <t>VÄSTERNORRLANDS LÄN</t>
        </is>
      </c>
      <c r="E6088" t="inlineStr">
        <is>
          <t>ÖRNSKÖLDSVIK</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27913-2022</t>
        </is>
      </c>
      <c r="B6089" s="1" t="n">
        <v>44744</v>
      </c>
      <c r="C6089" s="1" t="n">
        <v>45657</v>
      </c>
      <c r="D6089" t="inlineStr">
        <is>
          <t>VÄSTERNORRLANDS LÄN</t>
        </is>
      </c>
      <c r="E6089" t="inlineStr">
        <is>
          <t>KRAMFORS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27932-2022</t>
        </is>
      </c>
      <c r="B6090" s="1" t="n">
        <v>44743</v>
      </c>
      <c r="C6090" s="1" t="n">
        <v>45657</v>
      </c>
      <c r="D6090" t="inlineStr">
        <is>
          <t>VÄSTERNORRLANDS LÄN</t>
        </is>
      </c>
      <c r="E6090" t="inlineStr">
        <is>
          <t>SUNDSVALL</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27912-2022</t>
        </is>
      </c>
      <c r="B6091" s="1" t="n">
        <v>44744</v>
      </c>
      <c r="C6091" s="1" t="n">
        <v>45657</v>
      </c>
      <c r="D6091" t="inlineStr">
        <is>
          <t>VÄSTERNORRLANDS LÄN</t>
        </is>
      </c>
      <c r="E6091" t="inlineStr">
        <is>
          <t>HÄRNÖSAND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27926-2022</t>
        </is>
      </c>
      <c r="B6092" s="1" t="n">
        <v>44743</v>
      </c>
      <c r="C6092" s="1" t="n">
        <v>45657</v>
      </c>
      <c r="D6092" t="inlineStr">
        <is>
          <t>VÄSTERNORRLANDS LÄN</t>
        </is>
      </c>
      <c r="E6092" t="inlineStr">
        <is>
          <t>SOLLEFTEÅ</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27934-2022</t>
        </is>
      </c>
      <c r="B6093" s="1" t="n">
        <v>44743</v>
      </c>
      <c r="C6093" s="1" t="n">
        <v>45657</v>
      </c>
      <c r="D6093" t="inlineStr">
        <is>
          <t>VÄSTERNORRLANDS LÄN</t>
        </is>
      </c>
      <c r="E6093" t="inlineStr">
        <is>
          <t>SUNDSVALL</t>
        </is>
      </c>
      <c r="F6093" t="inlineStr">
        <is>
          <t>SCA</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27943-2022</t>
        </is>
      </c>
      <c r="B6094" s="1" t="n">
        <v>44743</v>
      </c>
      <c r="C6094" s="1" t="n">
        <v>45657</v>
      </c>
      <c r="D6094" t="inlineStr">
        <is>
          <t>VÄSTERNORRLANDS LÄN</t>
        </is>
      </c>
      <c r="E6094" t="inlineStr">
        <is>
          <t>SOLLEFTEÅ</t>
        </is>
      </c>
      <c r="F6094" t="inlineStr">
        <is>
          <t>SCA</t>
        </is>
      </c>
      <c r="G6094" t="n">
        <v>10</v>
      </c>
      <c r="H6094" t="n">
        <v>0</v>
      </c>
      <c r="I6094" t="n">
        <v>0</v>
      </c>
      <c r="J6094" t="n">
        <v>0</v>
      </c>
      <c r="K6094" t="n">
        <v>0</v>
      </c>
      <c r="L6094" t="n">
        <v>0</v>
      </c>
      <c r="M6094" t="n">
        <v>0</v>
      </c>
      <c r="N6094" t="n">
        <v>0</v>
      </c>
      <c r="O6094" t="n">
        <v>0</v>
      </c>
      <c r="P6094" t="n">
        <v>0</v>
      </c>
      <c r="Q6094" t="n">
        <v>0</v>
      </c>
      <c r="R6094" s="2" t="inlineStr"/>
    </row>
    <row r="6095" ht="15" customHeight="1">
      <c r="A6095" t="inlineStr">
        <is>
          <t>A 27950-2022</t>
        </is>
      </c>
      <c r="B6095" s="1" t="n">
        <v>44744</v>
      </c>
      <c r="C6095" s="1" t="n">
        <v>45657</v>
      </c>
      <c r="D6095" t="inlineStr">
        <is>
          <t>VÄSTERNORRLANDS LÄN</t>
        </is>
      </c>
      <c r="E6095" t="inlineStr">
        <is>
          <t>SUNDSVALL</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27948-2022</t>
        </is>
      </c>
      <c r="B6096" s="1" t="n">
        <v>44743</v>
      </c>
      <c r="C6096" s="1" t="n">
        <v>45657</v>
      </c>
      <c r="D6096" t="inlineStr">
        <is>
          <t>VÄSTERNORRLANDS LÄN</t>
        </is>
      </c>
      <c r="E6096" t="inlineStr">
        <is>
          <t>SUNDSVALL</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28095-2022</t>
        </is>
      </c>
      <c r="B6097" s="1" t="n">
        <v>44746</v>
      </c>
      <c r="C6097" s="1" t="n">
        <v>45657</v>
      </c>
      <c r="D6097" t="inlineStr">
        <is>
          <t>VÄSTERNORRLANDS LÄN</t>
        </is>
      </c>
      <c r="E6097" t="inlineStr">
        <is>
          <t>ÖRNSKÖLDSVIK</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28238-2022</t>
        </is>
      </c>
      <c r="B6098" s="1" t="n">
        <v>44746</v>
      </c>
      <c r="C6098" s="1" t="n">
        <v>45657</v>
      </c>
      <c r="D6098" t="inlineStr">
        <is>
          <t>VÄSTERNORRLANDS LÄN</t>
        </is>
      </c>
      <c r="E6098" t="inlineStr">
        <is>
          <t>ÖRNSKÖLDSVIK</t>
        </is>
      </c>
      <c r="F6098" t="inlineStr">
        <is>
          <t>Holmen skog AB</t>
        </is>
      </c>
      <c r="G6098" t="n">
        <v>8.300000000000001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28293-2022</t>
        </is>
      </c>
      <c r="B6099" s="1" t="n">
        <v>44747</v>
      </c>
      <c r="C6099" s="1" t="n">
        <v>45657</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28295-2022</t>
        </is>
      </c>
      <c r="B6100" s="1" t="n">
        <v>44747</v>
      </c>
      <c r="C6100" s="1" t="n">
        <v>45657</v>
      </c>
      <c r="D6100" t="inlineStr">
        <is>
          <t>VÄSTERNORRLANDS LÄN</t>
        </is>
      </c>
      <c r="E6100" t="inlineStr">
        <is>
          <t>SUNDSVALL</t>
        </is>
      </c>
      <c r="F6100" t="inlineStr">
        <is>
          <t>SCA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28232-2022</t>
        </is>
      </c>
      <c r="B6101" s="1" t="n">
        <v>44746</v>
      </c>
      <c r="C6101" s="1" t="n">
        <v>45657</v>
      </c>
      <c r="D6101" t="inlineStr">
        <is>
          <t>VÄSTERNORRLANDS LÄN</t>
        </is>
      </c>
      <c r="E6101" t="inlineStr">
        <is>
          <t>SUNDSVALL</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28239-2022</t>
        </is>
      </c>
      <c r="B6102" s="1" t="n">
        <v>44746</v>
      </c>
      <c r="C6102" s="1" t="n">
        <v>45657</v>
      </c>
      <c r="D6102" t="inlineStr">
        <is>
          <t>VÄSTERNORRLANDS LÄN</t>
        </is>
      </c>
      <c r="E6102" t="inlineStr">
        <is>
          <t>ÖRNSKÖLDSVIK</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28234-2022</t>
        </is>
      </c>
      <c r="B6103" s="1" t="n">
        <v>44746</v>
      </c>
      <c r="C6103" s="1" t="n">
        <v>45657</v>
      </c>
      <c r="D6103" t="inlineStr">
        <is>
          <t>VÄSTERNORRLANDS LÄN</t>
        </is>
      </c>
      <c r="E6103" t="inlineStr">
        <is>
          <t>ÖRNSKÖLDSVIK</t>
        </is>
      </c>
      <c r="F6103" t="inlineStr">
        <is>
          <t>Holmen skog AB</t>
        </is>
      </c>
      <c r="G6103" t="n">
        <v>10.1</v>
      </c>
      <c r="H6103" t="n">
        <v>0</v>
      </c>
      <c r="I6103" t="n">
        <v>0</v>
      </c>
      <c r="J6103" t="n">
        <v>0</v>
      </c>
      <c r="K6103" t="n">
        <v>0</v>
      </c>
      <c r="L6103" t="n">
        <v>0</v>
      </c>
      <c r="M6103" t="n">
        <v>0</v>
      </c>
      <c r="N6103" t="n">
        <v>0</v>
      </c>
      <c r="O6103" t="n">
        <v>0</v>
      </c>
      <c r="P6103" t="n">
        <v>0</v>
      </c>
      <c r="Q6103" t="n">
        <v>0</v>
      </c>
      <c r="R6103" s="2" t="inlineStr"/>
    </row>
    <row r="6104" ht="15" customHeight="1">
      <c r="A6104" t="inlineStr">
        <is>
          <t>A 28415-2022</t>
        </is>
      </c>
      <c r="B6104" s="1" t="n">
        <v>44747</v>
      </c>
      <c r="C6104" s="1" t="n">
        <v>45657</v>
      </c>
      <c r="D6104" t="inlineStr">
        <is>
          <t>VÄSTERNORRLANDS LÄN</t>
        </is>
      </c>
      <c r="E6104" t="inlineStr">
        <is>
          <t>ÖRNSKÖLDSVIK</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28447-2022</t>
        </is>
      </c>
      <c r="B6105" s="1" t="n">
        <v>44747</v>
      </c>
      <c r="C6105" s="1" t="n">
        <v>45657</v>
      </c>
      <c r="D6105" t="inlineStr">
        <is>
          <t>VÄSTERNORRLANDS LÄN</t>
        </is>
      </c>
      <c r="E6105" t="inlineStr">
        <is>
          <t>SUNDSVALL</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28325-2022</t>
        </is>
      </c>
      <c r="B6106" s="1" t="n">
        <v>44747</v>
      </c>
      <c r="C6106" s="1" t="n">
        <v>45657</v>
      </c>
      <c r="D6106" t="inlineStr">
        <is>
          <t>VÄSTERNORRLANDS LÄN</t>
        </is>
      </c>
      <c r="E6106" t="inlineStr">
        <is>
          <t>HÄRNÖSAND</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28318-2022</t>
        </is>
      </c>
      <c r="B6107" s="1" t="n">
        <v>44747</v>
      </c>
      <c r="C6107" s="1" t="n">
        <v>45657</v>
      </c>
      <c r="D6107" t="inlineStr">
        <is>
          <t>VÄSTERNORRLANDS LÄN</t>
        </is>
      </c>
      <c r="E6107" t="inlineStr">
        <is>
          <t>KRAMFORS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28387-2022</t>
        </is>
      </c>
      <c r="B6108" s="1" t="n">
        <v>44747</v>
      </c>
      <c r="C6108" s="1" t="n">
        <v>45657</v>
      </c>
      <c r="D6108" t="inlineStr">
        <is>
          <t>VÄSTERNORRLANDS LÄN</t>
        </is>
      </c>
      <c r="E6108" t="inlineStr">
        <is>
          <t>ÖRNSKÖLDSVIK</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28319-2022</t>
        </is>
      </c>
      <c r="B6109" s="1" t="n">
        <v>44747</v>
      </c>
      <c r="C6109" s="1" t="n">
        <v>45657</v>
      </c>
      <c r="D6109" t="inlineStr">
        <is>
          <t>VÄSTERNORRLANDS LÄN</t>
        </is>
      </c>
      <c r="E6109" t="inlineStr">
        <is>
          <t>HÄRNÖSAND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28373-2022</t>
        </is>
      </c>
      <c r="B6110" s="1" t="n">
        <v>44747</v>
      </c>
      <c r="C6110" s="1" t="n">
        <v>45657</v>
      </c>
      <c r="D6110" t="inlineStr">
        <is>
          <t>VÄSTERNORRLANDS LÄN</t>
        </is>
      </c>
      <c r="E6110" t="inlineStr">
        <is>
          <t>ÖRNSKÖLDSVIK</t>
        </is>
      </c>
      <c r="F6110" t="inlineStr">
        <is>
          <t>Holmen skog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28412-2022</t>
        </is>
      </c>
      <c r="B6111" s="1" t="n">
        <v>44747</v>
      </c>
      <c r="C6111" s="1" t="n">
        <v>45657</v>
      </c>
      <c r="D6111" t="inlineStr">
        <is>
          <t>VÄSTERNORRLANDS LÄN</t>
        </is>
      </c>
      <c r="E6111" t="inlineStr">
        <is>
          <t>ÖRNSKÖLDSVIK</t>
        </is>
      </c>
      <c r="F6111" t="inlineStr">
        <is>
          <t>Holmen skog AB</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28441-2022</t>
        </is>
      </c>
      <c r="B6112" s="1" t="n">
        <v>44747</v>
      </c>
      <c r="C6112" s="1" t="n">
        <v>45657</v>
      </c>
      <c r="D6112" t="inlineStr">
        <is>
          <t>VÄSTERNORRLANDS LÄN</t>
        </is>
      </c>
      <c r="E6112" t="inlineStr">
        <is>
          <t>ÖRNSKÖLDSVIK</t>
        </is>
      </c>
      <c r="F6112" t="inlineStr">
        <is>
          <t>Holmen skog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28449-2022</t>
        </is>
      </c>
      <c r="B6113" s="1" t="n">
        <v>44747</v>
      </c>
      <c r="C6113" s="1" t="n">
        <v>45657</v>
      </c>
      <c r="D6113" t="inlineStr">
        <is>
          <t>VÄSTERNORRLANDS LÄN</t>
        </is>
      </c>
      <c r="E6113" t="inlineStr">
        <is>
          <t>SUNDSVALL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28451-2022</t>
        </is>
      </c>
      <c r="B6114" s="1" t="n">
        <v>44747</v>
      </c>
      <c r="C6114" s="1" t="n">
        <v>45657</v>
      </c>
      <c r="D6114" t="inlineStr">
        <is>
          <t>VÄSTERNORRLANDS LÄN</t>
        </is>
      </c>
      <c r="E6114" t="inlineStr">
        <is>
          <t>ÖRNSKÖLDSVIK</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28442-2022</t>
        </is>
      </c>
      <c r="B6115" s="1" t="n">
        <v>44747</v>
      </c>
      <c r="C6115" s="1" t="n">
        <v>45657</v>
      </c>
      <c r="D6115" t="inlineStr">
        <is>
          <t>VÄSTERNORRLANDS LÄN</t>
        </is>
      </c>
      <c r="E6115" t="inlineStr">
        <is>
          <t>SUNDSVALL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28450-2022</t>
        </is>
      </c>
      <c r="B6116" s="1" t="n">
        <v>44747</v>
      </c>
      <c r="C6116" s="1" t="n">
        <v>45657</v>
      </c>
      <c r="D6116" t="inlineStr">
        <is>
          <t>VÄSTERNORRLANDS LÄN</t>
        </is>
      </c>
      <c r="E6116" t="inlineStr">
        <is>
          <t>SUNDSVALL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28497-2022</t>
        </is>
      </c>
      <c r="B6117" s="1" t="n">
        <v>44748</v>
      </c>
      <c r="C6117" s="1" t="n">
        <v>45657</v>
      </c>
      <c r="D6117" t="inlineStr">
        <is>
          <t>VÄSTERNORRLANDS LÄN</t>
        </is>
      </c>
      <c r="E6117" t="inlineStr">
        <is>
          <t>HÄRNÖSAND</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28480-2022</t>
        </is>
      </c>
      <c r="B6118" s="1" t="n">
        <v>44747</v>
      </c>
      <c r="C6118" s="1" t="n">
        <v>45657</v>
      </c>
      <c r="D6118" t="inlineStr">
        <is>
          <t>VÄSTERNORRLANDS LÄN</t>
        </is>
      </c>
      <c r="E6118" t="inlineStr">
        <is>
          <t>SUNDSVALL</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28536-2022</t>
        </is>
      </c>
      <c r="B6119" s="1" t="n">
        <v>44748</v>
      </c>
      <c r="C6119" s="1" t="n">
        <v>45657</v>
      </c>
      <c r="D6119" t="inlineStr">
        <is>
          <t>VÄSTERNORRLANDS LÄN</t>
        </is>
      </c>
      <c r="E6119" t="inlineStr">
        <is>
          <t>SUNDSVALL</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28571-2022</t>
        </is>
      </c>
      <c r="B6120" s="1" t="n">
        <v>44748</v>
      </c>
      <c r="C6120" s="1" t="n">
        <v>45657</v>
      </c>
      <c r="D6120" t="inlineStr">
        <is>
          <t>VÄSTERNORRLANDS LÄN</t>
        </is>
      </c>
      <c r="E6120" t="inlineStr">
        <is>
          <t>ÖRNSKÖLDSVIK</t>
        </is>
      </c>
      <c r="F6120" t="inlineStr">
        <is>
          <t>Holmen skog AB</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28562-2022</t>
        </is>
      </c>
      <c r="B6121" s="1" t="n">
        <v>44748</v>
      </c>
      <c r="C6121" s="1" t="n">
        <v>45657</v>
      </c>
      <c r="D6121" t="inlineStr">
        <is>
          <t>VÄSTERNORRLANDS LÄN</t>
        </is>
      </c>
      <c r="E6121" t="inlineStr">
        <is>
          <t>ÖRNSKÖLDSVIK</t>
        </is>
      </c>
      <c r="F6121" t="inlineStr">
        <is>
          <t>Holmen skog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28642-2022</t>
        </is>
      </c>
      <c r="B6122" s="1" t="n">
        <v>44748</v>
      </c>
      <c r="C6122" s="1" t="n">
        <v>45657</v>
      </c>
      <c r="D6122" t="inlineStr">
        <is>
          <t>VÄSTERNORRLANDS LÄN</t>
        </is>
      </c>
      <c r="E6122" t="inlineStr">
        <is>
          <t>ÖRNSKÖLDSVIK</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28650-2022</t>
        </is>
      </c>
      <c r="B6123" s="1" t="n">
        <v>44748</v>
      </c>
      <c r="C6123" s="1" t="n">
        <v>45657</v>
      </c>
      <c r="D6123" t="inlineStr">
        <is>
          <t>VÄSTERNORRLANDS LÄN</t>
        </is>
      </c>
      <c r="E6123" t="inlineStr">
        <is>
          <t>ÖRNSKÖLDSVIK</t>
        </is>
      </c>
      <c r="F6123" t="inlineStr">
        <is>
          <t>Holmen skog AB</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28640-2022</t>
        </is>
      </c>
      <c r="B6124" s="1" t="n">
        <v>44748</v>
      </c>
      <c r="C6124" s="1" t="n">
        <v>45657</v>
      </c>
      <c r="D6124" t="inlineStr">
        <is>
          <t>VÄSTERNORRLANDS LÄN</t>
        </is>
      </c>
      <c r="E6124" t="inlineStr">
        <is>
          <t>ÖRNSKÖLDSVIK</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28700-2022</t>
        </is>
      </c>
      <c r="B6125" s="1" t="n">
        <v>44748</v>
      </c>
      <c r="C6125" s="1" t="n">
        <v>45657</v>
      </c>
      <c r="D6125" t="inlineStr">
        <is>
          <t>VÄSTERNORRLANDS LÄN</t>
        </is>
      </c>
      <c r="E6125" t="inlineStr">
        <is>
          <t>SOLLEFTEÅ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28708-2022</t>
        </is>
      </c>
      <c r="B6126" s="1" t="n">
        <v>44748</v>
      </c>
      <c r="C6126" s="1" t="n">
        <v>45657</v>
      </c>
      <c r="D6126" t="inlineStr">
        <is>
          <t>VÄSTERNORRLANDS LÄN</t>
        </is>
      </c>
      <c r="E6126" t="inlineStr">
        <is>
          <t>SUNDSVALL</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28714-2022</t>
        </is>
      </c>
      <c r="B6127" s="1" t="n">
        <v>44749</v>
      </c>
      <c r="C6127" s="1" t="n">
        <v>45657</v>
      </c>
      <c r="D6127" t="inlineStr">
        <is>
          <t>VÄSTERNORRLANDS LÄN</t>
        </is>
      </c>
      <c r="E6127" t="inlineStr">
        <is>
          <t>KRAMFORS</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28726-2022</t>
        </is>
      </c>
      <c r="B6128" s="1" t="n">
        <v>44748</v>
      </c>
      <c r="C6128" s="1" t="n">
        <v>45657</v>
      </c>
      <c r="D6128" t="inlineStr">
        <is>
          <t>VÄSTERNORRLANDS LÄN</t>
        </is>
      </c>
      <c r="E6128" t="inlineStr">
        <is>
          <t>SUNDSVALL</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28729-2022</t>
        </is>
      </c>
      <c r="B6129" s="1" t="n">
        <v>44748</v>
      </c>
      <c r="C6129" s="1" t="n">
        <v>45657</v>
      </c>
      <c r="D6129" t="inlineStr">
        <is>
          <t>VÄSTERNORRLANDS LÄN</t>
        </is>
      </c>
      <c r="E6129" t="inlineStr">
        <is>
          <t>SOLLEFTEÅ</t>
        </is>
      </c>
      <c r="F6129" t="inlineStr">
        <is>
          <t>SCA</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28730-2022</t>
        </is>
      </c>
      <c r="B6130" s="1" t="n">
        <v>44748</v>
      </c>
      <c r="C6130" s="1" t="n">
        <v>45657</v>
      </c>
      <c r="D6130" t="inlineStr">
        <is>
          <t>VÄSTERNORRLANDS LÄN</t>
        </is>
      </c>
      <c r="E6130" t="inlineStr">
        <is>
          <t>SOLLEFTEÅ</t>
        </is>
      </c>
      <c r="F6130" t="inlineStr">
        <is>
          <t>SCA</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28828-2022</t>
        </is>
      </c>
      <c r="B6131" s="1" t="n">
        <v>44749</v>
      </c>
      <c r="C6131" s="1" t="n">
        <v>45657</v>
      </c>
      <c r="D6131" t="inlineStr">
        <is>
          <t>VÄSTERNORRLANDS LÄN</t>
        </is>
      </c>
      <c r="E6131" t="inlineStr">
        <is>
          <t>SOLLEFTEÅ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28893-2022</t>
        </is>
      </c>
      <c r="B6132" s="1" t="n">
        <v>44749</v>
      </c>
      <c r="C6132" s="1" t="n">
        <v>45657</v>
      </c>
      <c r="D6132" t="inlineStr">
        <is>
          <t>VÄSTERNORRLANDS LÄN</t>
        </is>
      </c>
      <c r="E6132" t="inlineStr">
        <is>
          <t>SOLLEFTEÅ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28909-2022</t>
        </is>
      </c>
      <c r="B6133" s="1" t="n">
        <v>44749</v>
      </c>
      <c r="C6133" s="1" t="n">
        <v>45657</v>
      </c>
      <c r="D6133" t="inlineStr">
        <is>
          <t>VÄSTERNORRLANDS LÄN</t>
        </is>
      </c>
      <c r="E6133" t="inlineStr">
        <is>
          <t>SOLLEFTEÅ</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29038-2022</t>
        </is>
      </c>
      <c r="B6134" s="1" t="n">
        <v>44750</v>
      </c>
      <c r="C6134" s="1" t="n">
        <v>45657</v>
      </c>
      <c r="D6134" t="inlineStr">
        <is>
          <t>VÄSTERNORRLANDS LÄN</t>
        </is>
      </c>
      <c r="E6134" t="inlineStr">
        <is>
          <t>ÖRNSKÖLDSVIK</t>
        </is>
      </c>
      <c r="F6134" t="inlineStr">
        <is>
          <t>SCA</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28896-2022</t>
        </is>
      </c>
      <c r="B6135" s="1" t="n">
        <v>44749</v>
      </c>
      <c r="C6135" s="1" t="n">
        <v>45657</v>
      </c>
      <c r="D6135" t="inlineStr">
        <is>
          <t>VÄSTERNORRLANDS LÄN</t>
        </is>
      </c>
      <c r="E6135" t="inlineStr">
        <is>
          <t>SOLLEFTEÅ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28961-2022</t>
        </is>
      </c>
      <c r="B6136" s="1" t="n">
        <v>44749</v>
      </c>
      <c r="C6136" s="1" t="n">
        <v>45657</v>
      </c>
      <c r="D6136" t="inlineStr">
        <is>
          <t>VÄSTERNORRLANDS LÄN</t>
        </is>
      </c>
      <c r="E6136" t="inlineStr">
        <is>
          <t>SUNDSVALL</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28848-2022</t>
        </is>
      </c>
      <c r="B6137" s="1" t="n">
        <v>44749</v>
      </c>
      <c r="C6137" s="1" t="n">
        <v>45657</v>
      </c>
      <c r="D6137" t="inlineStr">
        <is>
          <t>VÄSTERNORRLANDS LÄN</t>
        </is>
      </c>
      <c r="E6137" t="inlineStr">
        <is>
          <t>ÖRNSKÖLDSVIK</t>
        </is>
      </c>
      <c r="F6137" t="inlineStr">
        <is>
          <t>Holmen skog AB</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28903-2022</t>
        </is>
      </c>
      <c r="B6138" s="1" t="n">
        <v>44749</v>
      </c>
      <c r="C6138" s="1" t="n">
        <v>45657</v>
      </c>
      <c r="D6138" t="inlineStr">
        <is>
          <t>VÄSTERNORRLANDS LÄN</t>
        </is>
      </c>
      <c r="E6138" t="inlineStr">
        <is>
          <t>SOLLEFTEÅ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28943-2022</t>
        </is>
      </c>
      <c r="B6139" s="1" t="n">
        <v>44749</v>
      </c>
      <c r="C6139" s="1" t="n">
        <v>45657</v>
      </c>
      <c r="D6139" t="inlineStr">
        <is>
          <t>VÄSTERNORRLANDS LÄN</t>
        </is>
      </c>
      <c r="E6139" t="inlineStr">
        <is>
          <t>KRAMFORS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28973-2022</t>
        </is>
      </c>
      <c r="B6140" s="1" t="n">
        <v>44749</v>
      </c>
      <c r="C6140" s="1" t="n">
        <v>45657</v>
      </c>
      <c r="D6140" t="inlineStr">
        <is>
          <t>VÄSTERNORRLANDS LÄN</t>
        </is>
      </c>
      <c r="E6140" t="inlineStr">
        <is>
          <t>SOLLEFTEÅ</t>
        </is>
      </c>
      <c r="F6140" t="inlineStr">
        <is>
          <t>Holmen skog AB</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29151-2022</t>
        </is>
      </c>
      <c r="B6141" s="1" t="n">
        <v>44750</v>
      </c>
      <c r="C6141" s="1" t="n">
        <v>45657</v>
      </c>
      <c r="D6141" t="inlineStr">
        <is>
          <t>VÄSTERNORRLANDS LÄN</t>
        </is>
      </c>
      <c r="E6141" t="inlineStr">
        <is>
          <t>ÖRNSKÖLDSVIK</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29126-2022</t>
        </is>
      </c>
      <c r="B6142" s="1" t="n">
        <v>44750</v>
      </c>
      <c r="C6142" s="1" t="n">
        <v>45657</v>
      </c>
      <c r="D6142" t="inlineStr">
        <is>
          <t>VÄSTERNORRLANDS LÄN</t>
        </is>
      </c>
      <c r="E6142" t="inlineStr">
        <is>
          <t>ÖRNSKÖLDSVIK</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29255-2022</t>
        </is>
      </c>
      <c r="B6143" s="1" t="n">
        <v>44750</v>
      </c>
      <c r="C6143" s="1" t="n">
        <v>45657</v>
      </c>
      <c r="D6143" t="inlineStr">
        <is>
          <t>VÄSTERNORRLANDS LÄN</t>
        </is>
      </c>
      <c r="E6143" t="inlineStr">
        <is>
          <t>KRAMFORS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29221-2022</t>
        </is>
      </c>
      <c r="B6144" s="1" t="n">
        <v>44750</v>
      </c>
      <c r="C6144" s="1" t="n">
        <v>45657</v>
      </c>
      <c r="D6144" t="inlineStr">
        <is>
          <t>VÄSTERNORRLANDS LÄN</t>
        </is>
      </c>
      <c r="E6144" t="inlineStr">
        <is>
          <t>ÅNGE</t>
        </is>
      </c>
      <c r="F6144" t="inlineStr">
        <is>
          <t>Holmen skog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29127-2022</t>
        </is>
      </c>
      <c r="B6145" s="1" t="n">
        <v>44750</v>
      </c>
      <c r="C6145" s="1" t="n">
        <v>45657</v>
      </c>
      <c r="D6145" t="inlineStr">
        <is>
          <t>VÄSTERNORRLANDS LÄN</t>
        </is>
      </c>
      <c r="E6145" t="inlineStr">
        <is>
          <t>SUNDSVALL</t>
        </is>
      </c>
      <c r="G6145" t="n">
        <v>7.4</v>
      </c>
      <c r="H6145" t="n">
        <v>0</v>
      </c>
      <c r="I6145" t="n">
        <v>0</v>
      </c>
      <c r="J6145" t="n">
        <v>0</v>
      </c>
      <c r="K6145" t="n">
        <v>0</v>
      </c>
      <c r="L6145" t="n">
        <v>0</v>
      </c>
      <c r="M6145" t="n">
        <v>0</v>
      </c>
      <c r="N6145" t="n">
        <v>0</v>
      </c>
      <c r="O6145" t="n">
        <v>0</v>
      </c>
      <c r="P6145" t="n">
        <v>0</v>
      </c>
      <c r="Q6145" t="n">
        <v>0</v>
      </c>
      <c r="R6145" s="2" t="inlineStr"/>
      <c r="U6145">
        <f>HYPERLINK("https://klasma.github.io/Logging_2281/knärot/A 29127-2022 karta knärot.png", "A 29127-2022")</f>
        <v/>
      </c>
      <c r="V6145">
        <f>HYPERLINK("https://klasma.github.io/Logging_2281/klagomål/A 29127-2022 FSC-klagomål.docx", "A 29127-2022")</f>
        <v/>
      </c>
      <c r="W6145">
        <f>HYPERLINK("https://klasma.github.io/Logging_2281/klagomålsmail/A 29127-2022 FSC-klagomål mail.docx", "A 29127-2022")</f>
        <v/>
      </c>
      <c r="X6145">
        <f>HYPERLINK("https://klasma.github.io/Logging_2281/tillsyn/A 29127-2022 tillsynsbegäran.docx", "A 29127-2022")</f>
        <v/>
      </c>
      <c r="Y6145">
        <f>HYPERLINK("https://klasma.github.io/Logging_2281/tillsynsmail/A 29127-2022 tillsynsbegäran mail.docx", "A 29127-2022")</f>
        <v/>
      </c>
    </row>
    <row r="6146" ht="15" customHeight="1">
      <c r="A6146" t="inlineStr">
        <is>
          <t>A 29290-2022</t>
        </is>
      </c>
      <c r="B6146" s="1" t="n">
        <v>44750</v>
      </c>
      <c r="C6146" s="1" t="n">
        <v>45657</v>
      </c>
      <c r="D6146" t="inlineStr">
        <is>
          <t>VÄSTERNORRLANDS LÄN</t>
        </is>
      </c>
      <c r="E6146" t="inlineStr">
        <is>
          <t>SOLLEFTEÅ</t>
        </is>
      </c>
      <c r="F6146" t="inlineStr">
        <is>
          <t>SCA</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29294-2022</t>
        </is>
      </c>
      <c r="B6147" s="1" t="n">
        <v>44751</v>
      </c>
      <c r="C6147" s="1" t="n">
        <v>45657</v>
      </c>
      <c r="D6147" t="inlineStr">
        <is>
          <t>VÄSTERNORRLANDS LÄN</t>
        </is>
      </c>
      <c r="E6147" t="inlineStr">
        <is>
          <t>SOLLEFTEÅ</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29298-2022</t>
        </is>
      </c>
      <c r="B6148" s="1" t="n">
        <v>44751</v>
      </c>
      <c r="C6148" s="1" t="n">
        <v>45657</v>
      </c>
      <c r="D6148" t="inlineStr">
        <is>
          <t>VÄSTERNORRLANDS LÄN</t>
        </is>
      </c>
      <c r="E6148" t="inlineStr">
        <is>
          <t>SUNDSVALL</t>
        </is>
      </c>
      <c r="F6148" t="inlineStr">
        <is>
          <t>Naturvårdsverket</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29308-2022</t>
        </is>
      </c>
      <c r="B6149" s="1" t="n">
        <v>44750</v>
      </c>
      <c r="C6149" s="1" t="n">
        <v>45657</v>
      </c>
      <c r="D6149" t="inlineStr">
        <is>
          <t>VÄSTERNORRLANDS LÄN</t>
        </is>
      </c>
      <c r="E6149" t="inlineStr">
        <is>
          <t>TIMRÅ</t>
        </is>
      </c>
      <c r="F6149" t="inlineStr">
        <is>
          <t>SCA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29216-2022</t>
        </is>
      </c>
      <c r="B6150" s="1" t="n">
        <v>44750</v>
      </c>
      <c r="C6150" s="1" t="n">
        <v>45657</v>
      </c>
      <c r="D6150" t="inlineStr">
        <is>
          <t>VÄSTERNORRLANDS LÄN</t>
        </is>
      </c>
      <c r="E6150" t="inlineStr">
        <is>
          <t>ÅNGE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29300-2022</t>
        </is>
      </c>
      <c r="B6151" s="1" t="n">
        <v>44750</v>
      </c>
      <c r="C6151" s="1" t="n">
        <v>45657</v>
      </c>
      <c r="D6151" t="inlineStr">
        <is>
          <t>VÄSTERNORRLANDS LÄN</t>
        </is>
      </c>
      <c r="E6151" t="inlineStr">
        <is>
          <t>SOLLEFTEÅ</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29306-2022</t>
        </is>
      </c>
      <c r="B6152" s="1" t="n">
        <v>44751</v>
      </c>
      <c r="C6152" s="1" t="n">
        <v>45657</v>
      </c>
      <c r="D6152" t="inlineStr">
        <is>
          <t>VÄSTERNORRLANDS LÄN</t>
        </is>
      </c>
      <c r="E6152" t="inlineStr">
        <is>
          <t>TIMRÅ</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29297-2022</t>
        </is>
      </c>
      <c r="B6153" s="1" t="n">
        <v>44751</v>
      </c>
      <c r="C6153" s="1" t="n">
        <v>45657</v>
      </c>
      <c r="D6153" t="inlineStr">
        <is>
          <t>VÄSTERNORRLANDS LÄN</t>
        </is>
      </c>
      <c r="E6153" t="inlineStr">
        <is>
          <t>SUNDSVALL</t>
        </is>
      </c>
      <c r="F6153" t="inlineStr">
        <is>
          <t>Naturvårdsverket</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29292-2022</t>
        </is>
      </c>
      <c r="B6154" s="1" t="n">
        <v>44750</v>
      </c>
      <c r="C6154" s="1" t="n">
        <v>45657</v>
      </c>
      <c r="D6154" t="inlineStr">
        <is>
          <t>VÄSTERNORRLANDS LÄN</t>
        </is>
      </c>
      <c r="E6154" t="inlineStr">
        <is>
          <t>SOLLEFTEÅ</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29146-2022</t>
        </is>
      </c>
      <c r="B6155" s="1" t="n">
        <v>44750</v>
      </c>
      <c r="C6155" s="1" t="n">
        <v>45657</v>
      </c>
      <c r="D6155" t="inlineStr">
        <is>
          <t>VÄSTERNORRLANDS LÄN</t>
        </is>
      </c>
      <c r="E6155" t="inlineStr">
        <is>
          <t>HÄRNÖSAND</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29439-2022</t>
        </is>
      </c>
      <c r="B6156" s="1" t="n">
        <v>44753</v>
      </c>
      <c r="C6156" s="1" t="n">
        <v>45657</v>
      </c>
      <c r="D6156" t="inlineStr">
        <is>
          <t>VÄSTERNORRLANDS LÄN</t>
        </is>
      </c>
      <c r="E6156" t="inlineStr">
        <is>
          <t>ÖRNSKÖLDSVIK</t>
        </is>
      </c>
      <c r="F6156" t="inlineStr">
        <is>
          <t>Holmen skog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29538-2022</t>
        </is>
      </c>
      <c r="B6157" s="1" t="n">
        <v>44754</v>
      </c>
      <c r="C6157" s="1" t="n">
        <v>45657</v>
      </c>
      <c r="D6157" t="inlineStr">
        <is>
          <t>VÄSTERNORRLANDS LÄN</t>
        </is>
      </c>
      <c r="E6157" t="inlineStr">
        <is>
          <t>SOLLEFTEÅ</t>
        </is>
      </c>
      <c r="F6157" t="inlineStr">
        <is>
          <t>SCA</t>
        </is>
      </c>
      <c r="G6157" t="n">
        <v>20.2</v>
      </c>
      <c r="H6157" t="n">
        <v>0</v>
      </c>
      <c r="I6157" t="n">
        <v>0</v>
      </c>
      <c r="J6157" t="n">
        <v>0</v>
      </c>
      <c r="K6157" t="n">
        <v>0</v>
      </c>
      <c r="L6157" t="n">
        <v>0</v>
      </c>
      <c r="M6157" t="n">
        <v>0</v>
      </c>
      <c r="N6157" t="n">
        <v>0</v>
      </c>
      <c r="O6157" t="n">
        <v>0</v>
      </c>
      <c r="P6157" t="n">
        <v>0</v>
      </c>
      <c r="Q6157" t="n">
        <v>0</v>
      </c>
      <c r="R6157" s="2" t="inlineStr"/>
    </row>
    <row r="6158" ht="15" customHeight="1">
      <c r="A6158" t="inlineStr">
        <is>
          <t>A 29500-2022</t>
        </is>
      </c>
      <c r="B6158" s="1" t="n">
        <v>44753</v>
      </c>
      <c r="C6158" s="1" t="n">
        <v>45657</v>
      </c>
      <c r="D6158" t="inlineStr">
        <is>
          <t>VÄSTERNORRLANDS LÄN</t>
        </is>
      </c>
      <c r="E6158" t="inlineStr">
        <is>
          <t>ÅNGE</t>
        </is>
      </c>
      <c r="F6158" t="inlineStr">
        <is>
          <t>Sveaskog</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29534-2022</t>
        </is>
      </c>
      <c r="B6159" s="1" t="n">
        <v>44753</v>
      </c>
      <c r="C6159" s="1" t="n">
        <v>45657</v>
      </c>
      <c r="D6159" t="inlineStr">
        <is>
          <t>VÄSTERNORRLANDS LÄN</t>
        </is>
      </c>
      <c r="E6159" t="inlineStr">
        <is>
          <t>ÖRNSKÖLDSVIK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29795-2022</t>
        </is>
      </c>
      <c r="B6160" s="1" t="n">
        <v>44755</v>
      </c>
      <c r="C6160" s="1" t="n">
        <v>45657</v>
      </c>
      <c r="D6160" t="inlineStr">
        <is>
          <t>VÄSTERNORRLANDS LÄN</t>
        </is>
      </c>
      <c r="E6160" t="inlineStr">
        <is>
          <t>ÖRNSKÖLDSVIK</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29814-2022</t>
        </is>
      </c>
      <c r="B6161" s="1" t="n">
        <v>44755</v>
      </c>
      <c r="C6161" s="1" t="n">
        <v>45657</v>
      </c>
      <c r="D6161" t="inlineStr">
        <is>
          <t>VÄSTERNORRLANDS LÄN</t>
        </is>
      </c>
      <c r="E6161" t="inlineStr">
        <is>
          <t>HÄRNÖSAND</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29813-2022</t>
        </is>
      </c>
      <c r="B6162" s="1" t="n">
        <v>44755</v>
      </c>
      <c r="C6162" s="1" t="n">
        <v>45657</v>
      </c>
      <c r="D6162" t="inlineStr">
        <is>
          <t>VÄSTERNORRLANDS LÄN</t>
        </is>
      </c>
      <c r="E6162" t="inlineStr">
        <is>
          <t>HÄRNÖSAND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29805-2022</t>
        </is>
      </c>
      <c r="B6163" s="1" t="n">
        <v>44755</v>
      </c>
      <c r="C6163" s="1" t="n">
        <v>45657</v>
      </c>
      <c r="D6163" t="inlineStr">
        <is>
          <t>VÄSTERNORRLANDS LÄN</t>
        </is>
      </c>
      <c r="E6163" t="inlineStr">
        <is>
          <t>SUNDSVALL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29824-2022</t>
        </is>
      </c>
      <c r="B6164" s="1" t="n">
        <v>44756</v>
      </c>
      <c r="C6164" s="1" t="n">
        <v>45657</v>
      </c>
      <c r="D6164" t="inlineStr">
        <is>
          <t>VÄSTERNORRLANDS LÄN</t>
        </is>
      </c>
      <c r="E6164" t="inlineStr">
        <is>
          <t>ÅNGE</t>
        </is>
      </c>
      <c r="F6164" t="inlineStr">
        <is>
          <t>SCA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29831-2022</t>
        </is>
      </c>
      <c r="B6165" s="1" t="n">
        <v>44756</v>
      </c>
      <c r="C6165" s="1" t="n">
        <v>45657</v>
      </c>
      <c r="D6165" t="inlineStr">
        <is>
          <t>VÄSTERNORRLANDS LÄN</t>
        </is>
      </c>
      <c r="E6165" t="inlineStr">
        <is>
          <t>ÅNGE</t>
        </is>
      </c>
      <c r="F6165" t="inlineStr">
        <is>
          <t>SCA</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29796-2022</t>
        </is>
      </c>
      <c r="B6166" s="1" t="n">
        <v>44755</v>
      </c>
      <c r="C6166" s="1" t="n">
        <v>45657</v>
      </c>
      <c r="D6166" t="inlineStr">
        <is>
          <t>VÄSTERNORRLANDS LÄN</t>
        </is>
      </c>
      <c r="E6166" t="inlineStr">
        <is>
          <t>ÖRNSKÖLDSVIK</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29812-2022</t>
        </is>
      </c>
      <c r="B6167" s="1" t="n">
        <v>44755</v>
      </c>
      <c r="C6167" s="1" t="n">
        <v>45657</v>
      </c>
      <c r="D6167" t="inlineStr">
        <is>
          <t>VÄSTERNORRLANDS LÄN</t>
        </is>
      </c>
      <c r="E6167" t="inlineStr">
        <is>
          <t>HÄRNÖSAND</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29832-2022</t>
        </is>
      </c>
      <c r="B6168" s="1" t="n">
        <v>44756</v>
      </c>
      <c r="C6168" s="1" t="n">
        <v>45657</v>
      </c>
      <c r="D6168" t="inlineStr">
        <is>
          <t>VÄSTERNORRLANDS LÄN</t>
        </is>
      </c>
      <c r="E6168" t="inlineStr">
        <is>
          <t>ÅNGE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29842-2022</t>
        </is>
      </c>
      <c r="B6169" s="1" t="n">
        <v>44756</v>
      </c>
      <c r="C6169" s="1" t="n">
        <v>45657</v>
      </c>
      <c r="D6169" t="inlineStr">
        <is>
          <t>VÄSTERNORRLANDS LÄN</t>
        </is>
      </c>
      <c r="E6169" t="inlineStr">
        <is>
          <t>SOLLEFTEÅ</t>
        </is>
      </c>
      <c r="F6169" t="inlineStr">
        <is>
          <t>Holmen skog AB</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29904-2022</t>
        </is>
      </c>
      <c r="B6170" s="1" t="n">
        <v>44756</v>
      </c>
      <c r="C6170" s="1" t="n">
        <v>45657</v>
      </c>
      <c r="D6170" t="inlineStr">
        <is>
          <t>VÄSTERNORRLANDS LÄN</t>
        </is>
      </c>
      <c r="E6170" t="inlineStr">
        <is>
          <t>ÖRNSKÖLDSVIK</t>
        </is>
      </c>
      <c r="F6170" t="inlineStr">
        <is>
          <t>Holmen skog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30032-2022</t>
        </is>
      </c>
      <c r="B6171" s="1" t="n">
        <v>44756</v>
      </c>
      <c r="C6171" s="1" t="n">
        <v>45657</v>
      </c>
      <c r="D6171" t="inlineStr">
        <is>
          <t>VÄSTERNORRLANDS LÄN</t>
        </is>
      </c>
      <c r="E6171" t="inlineStr">
        <is>
          <t>SOLLEFTEÅ</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30041-2022</t>
        </is>
      </c>
      <c r="B6172" s="1" t="n">
        <v>44756</v>
      </c>
      <c r="C6172" s="1" t="n">
        <v>45657</v>
      </c>
      <c r="D6172" t="inlineStr">
        <is>
          <t>VÄSTERNORRLANDS LÄN</t>
        </is>
      </c>
      <c r="E6172" t="inlineStr">
        <is>
          <t>SOLLEFTEÅ</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30045-2022</t>
        </is>
      </c>
      <c r="B6173" s="1" t="n">
        <v>44756</v>
      </c>
      <c r="C6173" s="1" t="n">
        <v>45657</v>
      </c>
      <c r="D6173" t="inlineStr">
        <is>
          <t>VÄSTERNORRLANDS LÄN</t>
        </is>
      </c>
      <c r="E6173" t="inlineStr">
        <is>
          <t>SOLLEFTEÅ</t>
        </is>
      </c>
      <c r="F6173" t="inlineStr">
        <is>
          <t>SCA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30013-2022</t>
        </is>
      </c>
      <c r="B6174" s="1" t="n">
        <v>44756</v>
      </c>
      <c r="C6174" s="1" t="n">
        <v>45657</v>
      </c>
      <c r="D6174" t="inlineStr">
        <is>
          <t>VÄSTERNORRLANDS LÄN</t>
        </is>
      </c>
      <c r="E6174" t="inlineStr">
        <is>
          <t>SOLLEFTEÅ</t>
        </is>
      </c>
      <c r="F6174" t="inlineStr">
        <is>
          <t>SCA</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30033-2022</t>
        </is>
      </c>
      <c r="B6175" s="1" t="n">
        <v>44756</v>
      </c>
      <c r="C6175" s="1" t="n">
        <v>45657</v>
      </c>
      <c r="D6175" t="inlineStr">
        <is>
          <t>VÄSTERNORRLANDS LÄN</t>
        </is>
      </c>
      <c r="E6175" t="inlineStr">
        <is>
          <t>SOLLEFTEÅ</t>
        </is>
      </c>
      <c r="F6175" t="inlineStr">
        <is>
          <t>SCA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30040-2022</t>
        </is>
      </c>
      <c r="B6176" s="1" t="n">
        <v>44757</v>
      </c>
      <c r="C6176" s="1" t="n">
        <v>45657</v>
      </c>
      <c r="D6176" t="inlineStr">
        <is>
          <t>VÄSTERNORRLANDS LÄN</t>
        </is>
      </c>
      <c r="E6176" t="inlineStr">
        <is>
          <t>SOLLEFTEÅ</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30034-2022</t>
        </is>
      </c>
      <c r="B6177" s="1" t="n">
        <v>44757</v>
      </c>
      <c r="C6177" s="1" t="n">
        <v>45657</v>
      </c>
      <c r="D6177" t="inlineStr">
        <is>
          <t>VÄSTERNORRLANDS LÄN</t>
        </is>
      </c>
      <c r="E6177" t="inlineStr">
        <is>
          <t>SOLLEFTEÅ</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30039-2022</t>
        </is>
      </c>
      <c r="B6178" s="1" t="n">
        <v>44757</v>
      </c>
      <c r="C6178" s="1" t="n">
        <v>45657</v>
      </c>
      <c r="D6178" t="inlineStr">
        <is>
          <t>VÄSTERNORRLANDS LÄN</t>
        </is>
      </c>
      <c r="E6178" t="inlineStr">
        <is>
          <t>SOLLEFTEÅ</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30043-2022</t>
        </is>
      </c>
      <c r="B6179" s="1" t="n">
        <v>44756</v>
      </c>
      <c r="C6179" s="1" t="n">
        <v>45657</v>
      </c>
      <c r="D6179" t="inlineStr">
        <is>
          <t>VÄSTERNORRLANDS LÄN</t>
        </is>
      </c>
      <c r="E6179" t="inlineStr">
        <is>
          <t>SOLLEFTEÅ</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30084-2022</t>
        </is>
      </c>
      <c r="B6180" s="1" t="n">
        <v>44757</v>
      </c>
      <c r="C6180" s="1" t="n">
        <v>45657</v>
      </c>
      <c r="D6180" t="inlineStr">
        <is>
          <t>VÄSTERNORRLANDS LÄN</t>
        </is>
      </c>
      <c r="E6180" t="inlineStr">
        <is>
          <t>SUNDSVALL</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30238-2022</t>
        </is>
      </c>
      <c r="B6181" s="1" t="n">
        <v>44757</v>
      </c>
      <c r="C6181" s="1" t="n">
        <v>45657</v>
      </c>
      <c r="D6181" t="inlineStr">
        <is>
          <t>VÄSTERNORRLANDS LÄN</t>
        </is>
      </c>
      <c r="E6181" t="inlineStr">
        <is>
          <t>SOLLEFTEÅ</t>
        </is>
      </c>
      <c r="F6181" t="inlineStr">
        <is>
          <t>SCA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30239-2022</t>
        </is>
      </c>
      <c r="B6182" s="1" t="n">
        <v>44758</v>
      </c>
      <c r="C6182" s="1" t="n">
        <v>45657</v>
      </c>
      <c r="D6182" t="inlineStr">
        <is>
          <t>VÄSTERNORRLANDS LÄN</t>
        </is>
      </c>
      <c r="E6182" t="inlineStr">
        <is>
          <t>SOLLEFTEÅ</t>
        </is>
      </c>
      <c r="F6182" t="inlineStr">
        <is>
          <t>SCA</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30221-2022</t>
        </is>
      </c>
      <c r="B6183" s="1" t="n">
        <v>44757</v>
      </c>
      <c r="C6183" s="1" t="n">
        <v>45657</v>
      </c>
      <c r="D6183" t="inlineStr">
        <is>
          <t>VÄSTERNORRLANDS LÄN</t>
        </is>
      </c>
      <c r="E6183" t="inlineStr">
        <is>
          <t>ÅNGE</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30237-2022</t>
        </is>
      </c>
      <c r="B6184" s="1" t="n">
        <v>44758</v>
      </c>
      <c r="C6184" s="1" t="n">
        <v>45657</v>
      </c>
      <c r="D6184" t="inlineStr">
        <is>
          <t>VÄSTERNORRLANDS LÄN</t>
        </is>
      </c>
      <c r="E6184" t="inlineStr">
        <is>
          <t>SOLLEFTEÅ</t>
        </is>
      </c>
      <c r="F6184" t="inlineStr">
        <is>
          <t>SCA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30236-2022</t>
        </is>
      </c>
      <c r="B6185" s="1" t="n">
        <v>44757</v>
      </c>
      <c r="C6185" s="1" t="n">
        <v>45657</v>
      </c>
      <c r="D6185" t="inlineStr">
        <is>
          <t>VÄSTERNORRLANDS LÄN</t>
        </is>
      </c>
      <c r="E6185" t="inlineStr">
        <is>
          <t>SOLLEFTEÅ</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30240-2022</t>
        </is>
      </c>
      <c r="B6186" s="1" t="n">
        <v>44757</v>
      </c>
      <c r="C6186" s="1" t="n">
        <v>45657</v>
      </c>
      <c r="D6186" t="inlineStr">
        <is>
          <t>VÄSTERNORRLANDS LÄN</t>
        </is>
      </c>
      <c r="E6186" t="inlineStr">
        <is>
          <t>SOLLEFTEÅ</t>
        </is>
      </c>
      <c r="F6186" t="inlineStr">
        <is>
          <t>SCA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30247-2022</t>
        </is>
      </c>
      <c r="B6187" s="1" t="n">
        <v>44758</v>
      </c>
      <c r="C6187" s="1" t="n">
        <v>45657</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30358-2022</t>
        </is>
      </c>
      <c r="B6188" s="1" t="n">
        <v>44760</v>
      </c>
      <c r="C6188" s="1" t="n">
        <v>45657</v>
      </c>
      <c r="D6188" t="inlineStr">
        <is>
          <t>VÄSTERNORRLANDS LÄN</t>
        </is>
      </c>
      <c r="E6188" t="inlineStr">
        <is>
          <t>ÅNGE</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30397-2022</t>
        </is>
      </c>
      <c r="B6189" s="1" t="n">
        <v>44761</v>
      </c>
      <c r="C6189" s="1" t="n">
        <v>45657</v>
      </c>
      <c r="D6189" t="inlineStr">
        <is>
          <t>VÄSTERNORRLANDS LÄN</t>
        </is>
      </c>
      <c r="E6189" t="inlineStr">
        <is>
          <t>KRAMFORS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30495-2022</t>
        </is>
      </c>
      <c r="B6190" s="1" t="n">
        <v>44762</v>
      </c>
      <c r="C6190" s="1" t="n">
        <v>45657</v>
      </c>
      <c r="D6190" t="inlineStr">
        <is>
          <t>VÄSTERNORRLANDS LÄN</t>
        </is>
      </c>
      <c r="E6190" t="inlineStr">
        <is>
          <t>ÅNGE</t>
        </is>
      </c>
      <c r="F6190" t="inlineStr">
        <is>
          <t>SCA</t>
        </is>
      </c>
      <c r="G6190" t="n">
        <v>9.300000000000001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30408-2022</t>
        </is>
      </c>
      <c r="B6191" s="1" t="n">
        <v>44761</v>
      </c>
      <c r="C6191" s="1" t="n">
        <v>45657</v>
      </c>
      <c r="D6191" t="inlineStr">
        <is>
          <t>VÄSTERNORRLANDS LÄN</t>
        </is>
      </c>
      <c r="E6191" t="inlineStr">
        <is>
          <t>ÖRNSKÖLDSVIK</t>
        </is>
      </c>
      <c r="F6191" t="inlineStr">
        <is>
          <t>Holmen skog AB</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30518-2022</t>
        </is>
      </c>
      <c r="B6192" s="1" t="n">
        <v>44762</v>
      </c>
      <c r="C6192" s="1" t="n">
        <v>45657</v>
      </c>
      <c r="D6192" t="inlineStr">
        <is>
          <t>VÄSTERNORRLANDS LÄN</t>
        </is>
      </c>
      <c r="E6192" t="inlineStr">
        <is>
          <t>SUNDSVALL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30606-2022</t>
        </is>
      </c>
      <c r="B6193" s="1" t="n">
        <v>44763</v>
      </c>
      <c r="C6193" s="1" t="n">
        <v>45657</v>
      </c>
      <c r="D6193" t="inlineStr">
        <is>
          <t>VÄSTERNORRLANDS LÄN</t>
        </is>
      </c>
      <c r="E6193" t="inlineStr">
        <is>
          <t>SOLLEFTEÅ</t>
        </is>
      </c>
      <c r="F6193" t="inlineStr">
        <is>
          <t>SCA</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30519-2022</t>
        </is>
      </c>
      <c r="B6194" s="1" t="n">
        <v>44762</v>
      </c>
      <c r="C6194" s="1" t="n">
        <v>45657</v>
      </c>
      <c r="D6194" t="inlineStr">
        <is>
          <t>VÄSTERNORRLANDS LÄN</t>
        </is>
      </c>
      <c r="E6194" t="inlineStr">
        <is>
          <t>KRAMFORS</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30716-2022</t>
        </is>
      </c>
      <c r="B6195" s="1" t="n">
        <v>44764</v>
      </c>
      <c r="C6195" s="1" t="n">
        <v>45657</v>
      </c>
      <c r="D6195" t="inlineStr">
        <is>
          <t>VÄSTERNORRLANDS LÄN</t>
        </is>
      </c>
      <c r="E6195" t="inlineStr">
        <is>
          <t>ÖRNSKÖLDSVIK</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30768-2022</t>
        </is>
      </c>
      <c r="B6196" s="1" t="n">
        <v>44764</v>
      </c>
      <c r="C6196" s="1" t="n">
        <v>45657</v>
      </c>
      <c r="D6196" t="inlineStr">
        <is>
          <t>VÄSTERNORRLANDS LÄN</t>
        </is>
      </c>
      <c r="E6196" t="inlineStr">
        <is>
          <t>ÅNGE</t>
        </is>
      </c>
      <c r="F6196" t="inlineStr">
        <is>
          <t>Sveaskog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30776-2022</t>
        </is>
      </c>
      <c r="B6197" s="1" t="n">
        <v>44764</v>
      </c>
      <c r="C6197" s="1" t="n">
        <v>45657</v>
      </c>
      <c r="D6197" t="inlineStr">
        <is>
          <t>VÄSTERNORRLANDS LÄN</t>
        </is>
      </c>
      <c r="E6197" t="inlineStr">
        <is>
          <t>ÖRNSKÖLDSVIK</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30778-2022</t>
        </is>
      </c>
      <c r="B6198" s="1" t="n">
        <v>44764</v>
      </c>
      <c r="C6198" s="1" t="n">
        <v>45657</v>
      </c>
      <c r="D6198" t="inlineStr">
        <is>
          <t>VÄSTERNORRLANDS LÄN</t>
        </is>
      </c>
      <c r="E6198" t="inlineStr">
        <is>
          <t>SUNDSVALL</t>
        </is>
      </c>
      <c r="F6198" t="inlineStr">
        <is>
          <t>Holmen skog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30805-2022</t>
        </is>
      </c>
      <c r="B6199" s="1" t="n">
        <v>44765</v>
      </c>
      <c r="C6199" s="1" t="n">
        <v>45657</v>
      </c>
      <c r="D6199" t="inlineStr">
        <is>
          <t>VÄSTERNORRLANDS LÄN</t>
        </is>
      </c>
      <c r="E6199" t="inlineStr">
        <is>
          <t>SOLLEFTEÅ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30803-2022</t>
        </is>
      </c>
      <c r="B6200" s="1" t="n">
        <v>44764</v>
      </c>
      <c r="C6200" s="1" t="n">
        <v>45657</v>
      </c>
      <c r="D6200" t="inlineStr">
        <is>
          <t>VÄSTERNORRLANDS LÄN</t>
        </is>
      </c>
      <c r="E6200" t="inlineStr">
        <is>
          <t>ÅNGE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30804-2022</t>
        </is>
      </c>
      <c r="B6201" s="1" t="n">
        <v>44765</v>
      </c>
      <c r="C6201" s="1" t="n">
        <v>45657</v>
      </c>
      <c r="D6201" t="inlineStr">
        <is>
          <t>VÄSTERNORRLANDS LÄN</t>
        </is>
      </c>
      <c r="E6201" t="inlineStr">
        <is>
          <t>ÅNGE</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30936-2022</t>
        </is>
      </c>
      <c r="B6202" s="1" t="n">
        <v>44768</v>
      </c>
      <c r="C6202" s="1" t="n">
        <v>45657</v>
      </c>
      <c r="D6202" t="inlineStr">
        <is>
          <t>VÄSTERNORRLANDS LÄN</t>
        </is>
      </c>
      <c r="E6202" t="inlineStr">
        <is>
          <t>SOLLEFTEÅ</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30937-2022</t>
        </is>
      </c>
      <c r="B6203" s="1" t="n">
        <v>44768</v>
      </c>
      <c r="C6203" s="1" t="n">
        <v>45657</v>
      </c>
      <c r="D6203" t="inlineStr">
        <is>
          <t>VÄSTERNORRLANDS LÄN</t>
        </is>
      </c>
      <c r="E6203" t="inlineStr">
        <is>
          <t>SOLLEFTEÅ</t>
        </is>
      </c>
      <c r="F6203" t="inlineStr">
        <is>
          <t>SCA</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31007-2022</t>
        </is>
      </c>
      <c r="B6204" s="1" t="n">
        <v>44768</v>
      </c>
      <c r="C6204" s="1" t="n">
        <v>45657</v>
      </c>
      <c r="D6204" t="inlineStr">
        <is>
          <t>VÄSTERNORRLANDS LÄN</t>
        </is>
      </c>
      <c r="E6204" t="inlineStr">
        <is>
          <t>ÖRNSKÖLDSVIK</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31008-2022</t>
        </is>
      </c>
      <c r="B6205" s="1" t="n">
        <v>44768</v>
      </c>
      <c r="C6205" s="1" t="n">
        <v>45657</v>
      </c>
      <c r="D6205" t="inlineStr">
        <is>
          <t>VÄSTERNORRLANDS LÄN</t>
        </is>
      </c>
      <c r="E6205" t="inlineStr">
        <is>
          <t>ÖRNSKÖLDSVIK</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30982-2022</t>
        </is>
      </c>
      <c r="B6206" s="1" t="n">
        <v>44768</v>
      </c>
      <c r="C6206" s="1" t="n">
        <v>45657</v>
      </c>
      <c r="D6206" t="inlineStr">
        <is>
          <t>VÄSTERNORRLANDS LÄN</t>
        </is>
      </c>
      <c r="E6206" t="inlineStr">
        <is>
          <t>ÖRNSKÖLDSVIK</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31005-2022</t>
        </is>
      </c>
      <c r="B6207" s="1" t="n">
        <v>44768</v>
      </c>
      <c r="C6207" s="1" t="n">
        <v>45657</v>
      </c>
      <c r="D6207" t="inlineStr">
        <is>
          <t>VÄSTERNORRLANDS LÄN</t>
        </is>
      </c>
      <c r="E6207" t="inlineStr">
        <is>
          <t>SOLLEFTEÅ</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31071-2022</t>
        </is>
      </c>
      <c r="B6208" s="1" t="n">
        <v>44769</v>
      </c>
      <c r="C6208" s="1" t="n">
        <v>45657</v>
      </c>
      <c r="D6208" t="inlineStr">
        <is>
          <t>VÄSTERNORRLANDS LÄN</t>
        </is>
      </c>
      <c r="E6208" t="inlineStr">
        <is>
          <t>KRAMFORS</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31084-2022</t>
        </is>
      </c>
      <c r="B6209" s="1" t="n">
        <v>44769</v>
      </c>
      <c r="C6209" s="1" t="n">
        <v>45657</v>
      </c>
      <c r="D6209" t="inlineStr">
        <is>
          <t>VÄSTERNORRLANDS LÄN</t>
        </is>
      </c>
      <c r="E6209" t="inlineStr">
        <is>
          <t>ÖRNSKÖLDSVIK</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31144-2022</t>
        </is>
      </c>
      <c r="B6210" s="1" t="n">
        <v>44770</v>
      </c>
      <c r="C6210" s="1" t="n">
        <v>45657</v>
      </c>
      <c r="D6210" t="inlineStr">
        <is>
          <t>VÄSTERNORRLANDS LÄN</t>
        </is>
      </c>
      <c r="E6210" t="inlineStr">
        <is>
          <t>ÖRNSKÖLDSVIK</t>
        </is>
      </c>
      <c r="F6210" t="inlineStr">
        <is>
          <t>Holmen skog AB</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31136-2022</t>
        </is>
      </c>
      <c r="B6211" s="1" t="n">
        <v>44770</v>
      </c>
      <c r="C6211" s="1" t="n">
        <v>45657</v>
      </c>
      <c r="D6211" t="inlineStr">
        <is>
          <t>VÄSTERNORRLANDS LÄN</t>
        </is>
      </c>
      <c r="E6211" t="inlineStr">
        <is>
          <t>ÅNGE</t>
        </is>
      </c>
      <c r="F6211" t="inlineStr">
        <is>
          <t>Övriga Aktiebolag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31325-2022</t>
        </is>
      </c>
      <c r="B6212" s="1" t="n">
        <v>44774</v>
      </c>
      <c r="C6212" s="1" t="n">
        <v>45657</v>
      </c>
      <c r="D6212" t="inlineStr">
        <is>
          <t>VÄSTERNORRLANDS LÄN</t>
        </is>
      </c>
      <c r="E6212" t="inlineStr">
        <is>
          <t>ÅNGE</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31333-2022</t>
        </is>
      </c>
      <c r="B6213" s="1" t="n">
        <v>44774</v>
      </c>
      <c r="C6213" s="1" t="n">
        <v>45657</v>
      </c>
      <c r="D6213" t="inlineStr">
        <is>
          <t>VÄSTERNORRLANDS LÄN</t>
        </is>
      </c>
      <c r="E6213" t="inlineStr">
        <is>
          <t>KRAMFORS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31339-2022</t>
        </is>
      </c>
      <c r="B6214" s="1" t="n">
        <v>44774</v>
      </c>
      <c r="C6214" s="1" t="n">
        <v>45657</v>
      </c>
      <c r="D6214" t="inlineStr">
        <is>
          <t>VÄSTERNORRLANDS LÄN</t>
        </is>
      </c>
      <c r="E6214" t="inlineStr">
        <is>
          <t>KRAMFORS</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31366-2022</t>
        </is>
      </c>
      <c r="B6215" s="1" t="n">
        <v>44774</v>
      </c>
      <c r="C6215" s="1" t="n">
        <v>45657</v>
      </c>
      <c r="D6215" t="inlineStr">
        <is>
          <t>VÄSTERNORRLANDS LÄN</t>
        </is>
      </c>
      <c r="E6215" t="inlineStr">
        <is>
          <t>ÅNGE</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31368-2022</t>
        </is>
      </c>
      <c r="B6216" s="1" t="n">
        <v>44774</v>
      </c>
      <c r="C6216" s="1" t="n">
        <v>45657</v>
      </c>
      <c r="D6216" t="inlineStr">
        <is>
          <t>VÄSTERNORRLANDS LÄN</t>
        </is>
      </c>
      <c r="E6216" t="inlineStr">
        <is>
          <t>ÅNGE</t>
        </is>
      </c>
      <c r="F6216" t="inlineStr">
        <is>
          <t>Sveaskog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31409-2022</t>
        </is>
      </c>
      <c r="B6217" s="1" t="n">
        <v>44774</v>
      </c>
      <c r="C6217" s="1" t="n">
        <v>45657</v>
      </c>
      <c r="D6217" t="inlineStr">
        <is>
          <t>VÄSTERNORRLANDS LÄN</t>
        </is>
      </c>
      <c r="E6217" t="inlineStr">
        <is>
          <t>ÖRNSKÖLDSVIK</t>
        </is>
      </c>
      <c r="F6217" t="inlineStr">
        <is>
          <t>Holmen skog AB</t>
        </is>
      </c>
      <c r="G6217" t="n">
        <v>10.7</v>
      </c>
      <c r="H6217" t="n">
        <v>0</v>
      </c>
      <c r="I6217" t="n">
        <v>0</v>
      </c>
      <c r="J6217" t="n">
        <v>0</v>
      </c>
      <c r="K6217" t="n">
        <v>0</v>
      </c>
      <c r="L6217" t="n">
        <v>0</v>
      </c>
      <c r="M6217" t="n">
        <v>0</v>
      </c>
      <c r="N6217" t="n">
        <v>0</v>
      </c>
      <c r="O6217" t="n">
        <v>0</v>
      </c>
      <c r="P6217" t="n">
        <v>0</v>
      </c>
      <c r="Q6217" t="n">
        <v>0</v>
      </c>
      <c r="R6217" s="2" t="inlineStr"/>
    </row>
    <row r="6218" ht="15" customHeight="1">
      <c r="A6218" t="inlineStr">
        <is>
          <t>A 31439-2022</t>
        </is>
      </c>
      <c r="B6218" s="1" t="n">
        <v>44774</v>
      </c>
      <c r="C6218" s="1" t="n">
        <v>45657</v>
      </c>
      <c r="D6218" t="inlineStr">
        <is>
          <t>VÄSTERNORRLANDS LÄN</t>
        </is>
      </c>
      <c r="E6218" t="inlineStr">
        <is>
          <t>SUNDSVALL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31444-2022</t>
        </is>
      </c>
      <c r="B6219" s="1" t="n">
        <v>44774</v>
      </c>
      <c r="C6219" s="1" t="n">
        <v>45657</v>
      </c>
      <c r="D6219" t="inlineStr">
        <is>
          <t>VÄSTERNORRLANDS LÄN</t>
        </is>
      </c>
      <c r="E6219" t="inlineStr">
        <is>
          <t>SOLLEFTEÅ</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31453-2022</t>
        </is>
      </c>
      <c r="B6220" s="1" t="n">
        <v>44775</v>
      </c>
      <c r="C6220" s="1" t="n">
        <v>45657</v>
      </c>
      <c r="D6220" t="inlineStr">
        <is>
          <t>VÄSTERNORRLANDS LÄN</t>
        </is>
      </c>
      <c r="E6220" t="inlineStr">
        <is>
          <t>SOLLEFTEÅ</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31474-2022</t>
        </is>
      </c>
      <c r="B6221" s="1" t="n">
        <v>44775</v>
      </c>
      <c r="C6221" s="1" t="n">
        <v>45657</v>
      </c>
      <c r="D6221" t="inlineStr">
        <is>
          <t>VÄSTERNORRLANDS LÄN</t>
        </is>
      </c>
      <c r="E6221" t="inlineStr">
        <is>
          <t>SOLLEFTEÅ</t>
        </is>
      </c>
      <c r="F6221" t="inlineStr">
        <is>
          <t>SCA</t>
        </is>
      </c>
      <c r="G6221" t="n">
        <v>28.3</v>
      </c>
      <c r="H6221" t="n">
        <v>0</v>
      </c>
      <c r="I6221" t="n">
        <v>0</v>
      </c>
      <c r="J6221" t="n">
        <v>0</v>
      </c>
      <c r="K6221" t="n">
        <v>0</v>
      </c>
      <c r="L6221" t="n">
        <v>0</v>
      </c>
      <c r="M6221" t="n">
        <v>0</v>
      </c>
      <c r="N6221" t="n">
        <v>0</v>
      </c>
      <c r="O6221" t="n">
        <v>0</v>
      </c>
      <c r="P6221" t="n">
        <v>0</v>
      </c>
      <c r="Q6221" t="n">
        <v>0</v>
      </c>
      <c r="R6221" s="2" t="inlineStr"/>
    </row>
    <row r="6222" ht="15" customHeight="1">
      <c r="A6222" t="inlineStr">
        <is>
          <t>A 31440-2022</t>
        </is>
      </c>
      <c r="B6222" s="1" t="n">
        <v>44775</v>
      </c>
      <c r="C6222" s="1" t="n">
        <v>45657</v>
      </c>
      <c r="D6222" t="inlineStr">
        <is>
          <t>VÄSTERNORRLANDS LÄN</t>
        </is>
      </c>
      <c r="E6222" t="inlineStr">
        <is>
          <t>SOLLEFTEÅ</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31454-2022</t>
        </is>
      </c>
      <c r="B6223" s="1" t="n">
        <v>44775</v>
      </c>
      <c r="C6223" s="1" t="n">
        <v>45657</v>
      </c>
      <c r="D6223" t="inlineStr">
        <is>
          <t>VÄSTERNORRLANDS LÄN</t>
        </is>
      </c>
      <c r="E6223" t="inlineStr">
        <is>
          <t>SUNDSVALL</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31464-2022</t>
        </is>
      </c>
      <c r="B6224" s="1" t="n">
        <v>44774</v>
      </c>
      <c r="C6224" s="1" t="n">
        <v>45657</v>
      </c>
      <c r="D6224" t="inlineStr">
        <is>
          <t>VÄSTERNORRLANDS LÄN</t>
        </is>
      </c>
      <c r="E6224" t="inlineStr">
        <is>
          <t>SOLLEFTEÅ</t>
        </is>
      </c>
      <c r="F6224" t="inlineStr">
        <is>
          <t>SCA</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31497-2022</t>
        </is>
      </c>
      <c r="B6225" s="1" t="n">
        <v>44774</v>
      </c>
      <c r="C6225" s="1" t="n">
        <v>45657</v>
      </c>
      <c r="D6225" t="inlineStr">
        <is>
          <t>VÄSTERNORRLANDS LÄN</t>
        </is>
      </c>
      <c r="E6225" t="inlineStr">
        <is>
          <t>SUNDSVALL</t>
        </is>
      </c>
      <c r="F6225" t="inlineStr">
        <is>
          <t>SCA</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31452-2022</t>
        </is>
      </c>
      <c r="B6226" s="1" t="n">
        <v>44775</v>
      </c>
      <c r="C6226" s="1" t="n">
        <v>45657</v>
      </c>
      <c r="D6226" t="inlineStr">
        <is>
          <t>VÄSTERNORRLANDS LÄN</t>
        </is>
      </c>
      <c r="E6226" t="inlineStr">
        <is>
          <t>SOLLEFTEÅ</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31490-2022</t>
        </is>
      </c>
      <c r="B6227" s="1" t="n">
        <v>44775</v>
      </c>
      <c r="C6227" s="1" t="n">
        <v>45657</v>
      </c>
      <c r="D6227" t="inlineStr">
        <is>
          <t>VÄSTERNORRLANDS LÄN</t>
        </is>
      </c>
      <c r="E6227" t="inlineStr">
        <is>
          <t>SOLLEFTEÅ</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31491-2022</t>
        </is>
      </c>
      <c r="B6228" s="1" t="n">
        <v>44775</v>
      </c>
      <c r="C6228" s="1" t="n">
        <v>45657</v>
      </c>
      <c r="D6228" t="inlineStr">
        <is>
          <t>VÄSTERNORRLANDS LÄN</t>
        </is>
      </c>
      <c r="E6228" t="inlineStr">
        <is>
          <t>KRAMFORS</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31451-2022</t>
        </is>
      </c>
      <c r="B6229" s="1" t="n">
        <v>44775</v>
      </c>
      <c r="C6229" s="1" t="n">
        <v>45657</v>
      </c>
      <c r="D6229" t="inlineStr">
        <is>
          <t>VÄSTERNORRLANDS LÄN</t>
        </is>
      </c>
      <c r="E6229" t="inlineStr">
        <is>
          <t>SOLLEFTEÅ</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31482-2022</t>
        </is>
      </c>
      <c r="B6230" s="1" t="n">
        <v>44775</v>
      </c>
      <c r="C6230" s="1" t="n">
        <v>45657</v>
      </c>
      <c r="D6230" t="inlineStr">
        <is>
          <t>VÄSTERNORRLANDS LÄN</t>
        </is>
      </c>
      <c r="E6230" t="inlineStr">
        <is>
          <t>SOLLEFTEÅ</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31489-2022</t>
        </is>
      </c>
      <c r="B6231" s="1" t="n">
        <v>44774</v>
      </c>
      <c r="C6231" s="1" t="n">
        <v>45657</v>
      </c>
      <c r="D6231" t="inlineStr">
        <is>
          <t>VÄSTERNORRLANDS LÄN</t>
        </is>
      </c>
      <c r="E6231" t="inlineStr">
        <is>
          <t>TIMRÅ</t>
        </is>
      </c>
      <c r="F6231" t="inlineStr">
        <is>
          <t>SCA</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31498-2022</t>
        </is>
      </c>
      <c r="B6232" s="1" t="n">
        <v>44775</v>
      </c>
      <c r="C6232" s="1" t="n">
        <v>45657</v>
      </c>
      <c r="D6232" t="inlineStr">
        <is>
          <t>VÄSTERNORRLANDS LÄN</t>
        </is>
      </c>
      <c r="E6232" t="inlineStr">
        <is>
          <t>SUNDSVALL</t>
        </is>
      </c>
      <c r="F6232" t="inlineStr">
        <is>
          <t>Naturvårdsverket</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31527-2022</t>
        </is>
      </c>
      <c r="B6233" s="1" t="n">
        <v>44775</v>
      </c>
      <c r="C6233" s="1" t="n">
        <v>45657</v>
      </c>
      <c r="D6233" t="inlineStr">
        <is>
          <t>VÄSTERNORRLANDS LÄN</t>
        </is>
      </c>
      <c r="E6233" t="inlineStr">
        <is>
          <t>SUNDSVALL</t>
        </is>
      </c>
      <c r="F6233" t="inlineStr">
        <is>
          <t>Holmen skog AB</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31525-2022</t>
        </is>
      </c>
      <c r="B6234" s="1" t="n">
        <v>44775</v>
      </c>
      <c r="C6234" s="1" t="n">
        <v>45657</v>
      </c>
      <c r="D6234" t="inlineStr">
        <is>
          <t>VÄSTERNORRLANDS LÄN</t>
        </is>
      </c>
      <c r="E6234" t="inlineStr">
        <is>
          <t>SUNDSVALL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31588-2022</t>
        </is>
      </c>
      <c r="B6235" s="1" t="n">
        <v>44775</v>
      </c>
      <c r="C6235" s="1" t="n">
        <v>45657</v>
      </c>
      <c r="D6235" t="inlineStr">
        <is>
          <t>VÄSTERNORRLANDS LÄN</t>
        </is>
      </c>
      <c r="E6235" t="inlineStr">
        <is>
          <t>SOLLEFTEÅ</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31606-2022</t>
        </is>
      </c>
      <c r="B6236" s="1" t="n">
        <v>44775</v>
      </c>
      <c r="C6236" s="1" t="n">
        <v>45657</v>
      </c>
      <c r="D6236" t="inlineStr">
        <is>
          <t>VÄSTERNORRLANDS LÄN</t>
        </is>
      </c>
      <c r="E6236" t="inlineStr">
        <is>
          <t>KRAMFORS</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31647-2022</t>
        </is>
      </c>
      <c r="B6237" s="1" t="n">
        <v>44776</v>
      </c>
      <c r="C6237" s="1" t="n">
        <v>45657</v>
      </c>
      <c r="D6237" t="inlineStr">
        <is>
          <t>VÄSTERNORRLANDS LÄN</t>
        </is>
      </c>
      <c r="E6237" t="inlineStr">
        <is>
          <t>ÅNGE</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31526-2022</t>
        </is>
      </c>
      <c r="B6238" s="1" t="n">
        <v>44775</v>
      </c>
      <c r="C6238" s="1" t="n">
        <v>45657</v>
      </c>
      <c r="D6238" t="inlineStr">
        <is>
          <t>VÄSTERNORRLANDS LÄN</t>
        </is>
      </c>
      <c r="E6238" t="inlineStr">
        <is>
          <t>SUNDSVALL</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31649-2022</t>
        </is>
      </c>
      <c r="B6239" s="1" t="n">
        <v>44776</v>
      </c>
      <c r="C6239" s="1" t="n">
        <v>45657</v>
      </c>
      <c r="D6239" t="inlineStr">
        <is>
          <t>VÄSTERNORRLANDS LÄN</t>
        </is>
      </c>
      <c r="E6239" t="inlineStr">
        <is>
          <t>ÅNGE</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31579-2022</t>
        </is>
      </c>
      <c r="B6240" s="1" t="n">
        <v>44775</v>
      </c>
      <c r="C6240" s="1" t="n">
        <v>45657</v>
      </c>
      <c r="D6240" t="inlineStr">
        <is>
          <t>VÄSTERNORRLANDS LÄN</t>
        </is>
      </c>
      <c r="E6240" t="inlineStr">
        <is>
          <t>ÖRNSKÖLDSVIK</t>
        </is>
      </c>
      <c r="F6240" t="inlineStr">
        <is>
          <t>Holmen skog AB</t>
        </is>
      </c>
      <c r="G6240" t="n">
        <v>18.4</v>
      </c>
      <c r="H6240" t="n">
        <v>0</v>
      </c>
      <c r="I6240" t="n">
        <v>0</v>
      </c>
      <c r="J6240" t="n">
        <v>0</v>
      </c>
      <c r="K6240" t="n">
        <v>0</v>
      </c>
      <c r="L6240" t="n">
        <v>0</v>
      </c>
      <c r="M6240" t="n">
        <v>0</v>
      </c>
      <c r="N6240" t="n">
        <v>0</v>
      </c>
      <c r="O6240" t="n">
        <v>0</v>
      </c>
      <c r="P6240" t="n">
        <v>0</v>
      </c>
      <c r="Q6240" t="n">
        <v>0</v>
      </c>
      <c r="R6240" s="2" t="inlineStr"/>
    </row>
    <row r="6241" ht="15" customHeight="1">
      <c r="A6241" t="inlineStr">
        <is>
          <t>A 31646-2022</t>
        </is>
      </c>
      <c r="B6241" s="1" t="n">
        <v>44776</v>
      </c>
      <c r="C6241" s="1" t="n">
        <v>45657</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31672-2022</t>
        </is>
      </c>
      <c r="B6242" s="1" t="n">
        <v>44776</v>
      </c>
      <c r="C6242" s="1" t="n">
        <v>45657</v>
      </c>
      <c r="D6242" t="inlineStr">
        <is>
          <t>VÄSTERNORRLANDS LÄN</t>
        </is>
      </c>
      <c r="E6242" t="inlineStr">
        <is>
          <t>SOLLEFTEÅ</t>
        </is>
      </c>
      <c r="G6242" t="n">
        <v>16.3</v>
      </c>
      <c r="H6242" t="n">
        <v>0</v>
      </c>
      <c r="I6242" t="n">
        <v>0</v>
      </c>
      <c r="J6242" t="n">
        <v>0</v>
      </c>
      <c r="K6242" t="n">
        <v>0</v>
      </c>
      <c r="L6242" t="n">
        <v>0</v>
      </c>
      <c r="M6242" t="n">
        <v>0</v>
      </c>
      <c r="N6242" t="n">
        <v>0</v>
      </c>
      <c r="O6242" t="n">
        <v>0</v>
      </c>
      <c r="P6242" t="n">
        <v>0</v>
      </c>
      <c r="Q6242" t="n">
        <v>0</v>
      </c>
      <c r="R6242" s="2" t="inlineStr"/>
    </row>
    <row r="6243" ht="15" customHeight="1">
      <c r="A6243" t="inlineStr">
        <is>
          <t>A 31770-2022</t>
        </is>
      </c>
      <c r="B6243" s="1" t="n">
        <v>44776</v>
      </c>
      <c r="C6243" s="1" t="n">
        <v>45657</v>
      </c>
      <c r="D6243" t="inlineStr">
        <is>
          <t>VÄSTERNORRLANDS LÄN</t>
        </is>
      </c>
      <c r="E6243" t="inlineStr">
        <is>
          <t>ÖRNSKÖLDSVIK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31696-2022</t>
        </is>
      </c>
      <c r="B6244" s="1" t="n">
        <v>44776</v>
      </c>
      <c r="C6244" s="1" t="n">
        <v>45657</v>
      </c>
      <c r="D6244" t="inlineStr">
        <is>
          <t>VÄSTERNORRLANDS LÄN</t>
        </is>
      </c>
      <c r="E6244" t="inlineStr">
        <is>
          <t>ÅNGE</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31845-2022</t>
        </is>
      </c>
      <c r="B6245" s="1" t="n">
        <v>44777</v>
      </c>
      <c r="C6245" s="1" t="n">
        <v>45657</v>
      </c>
      <c r="D6245" t="inlineStr">
        <is>
          <t>VÄSTERNORRLANDS LÄN</t>
        </is>
      </c>
      <c r="E6245" t="inlineStr">
        <is>
          <t>ÅNGE</t>
        </is>
      </c>
      <c r="F6245" t="inlineStr">
        <is>
          <t>SCA</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31856-2022</t>
        </is>
      </c>
      <c r="B6246" s="1" t="n">
        <v>44776</v>
      </c>
      <c r="C6246" s="1" t="n">
        <v>45657</v>
      </c>
      <c r="D6246" t="inlineStr">
        <is>
          <t>VÄSTERNORRLANDS LÄN</t>
        </is>
      </c>
      <c r="E6246" t="inlineStr">
        <is>
          <t>SOLLEFTEÅ</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31864-2022</t>
        </is>
      </c>
      <c r="B6247" s="1" t="n">
        <v>44776</v>
      </c>
      <c r="C6247" s="1" t="n">
        <v>45657</v>
      </c>
      <c r="D6247" t="inlineStr">
        <is>
          <t>VÄSTERNORRLANDS LÄN</t>
        </is>
      </c>
      <c r="E6247" t="inlineStr">
        <is>
          <t>HÄRNÖSAND</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31847-2022</t>
        </is>
      </c>
      <c r="B6248" s="1" t="n">
        <v>44776</v>
      </c>
      <c r="C6248" s="1" t="n">
        <v>45657</v>
      </c>
      <c r="D6248" t="inlineStr">
        <is>
          <t>VÄSTERNORRLANDS LÄN</t>
        </is>
      </c>
      <c r="E6248" t="inlineStr">
        <is>
          <t>ÖRNSKÖLDSVIK</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31968-2022</t>
        </is>
      </c>
      <c r="B6249" s="1" t="n">
        <v>44778</v>
      </c>
      <c r="C6249" s="1" t="n">
        <v>45657</v>
      </c>
      <c r="D6249" t="inlineStr">
        <is>
          <t>VÄSTERNORRLANDS LÄN</t>
        </is>
      </c>
      <c r="E6249" t="inlineStr">
        <is>
          <t>SOLLEFTEÅ</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31959-2022</t>
        </is>
      </c>
      <c r="B6250" s="1" t="n">
        <v>44778</v>
      </c>
      <c r="C6250" s="1" t="n">
        <v>45657</v>
      </c>
      <c r="D6250" t="inlineStr">
        <is>
          <t>VÄSTERNORRLANDS LÄN</t>
        </is>
      </c>
      <c r="E6250" t="inlineStr">
        <is>
          <t>SUNDSVALL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31967-2022</t>
        </is>
      </c>
      <c r="B6251" s="1" t="n">
        <v>44778</v>
      </c>
      <c r="C6251" s="1" t="n">
        <v>45657</v>
      </c>
      <c r="D6251" t="inlineStr">
        <is>
          <t>VÄSTERNORRLANDS LÄN</t>
        </is>
      </c>
      <c r="E6251" t="inlineStr">
        <is>
          <t>SOLLEFTEÅ</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31866-2022</t>
        </is>
      </c>
      <c r="B6252" s="1" t="n">
        <v>44777</v>
      </c>
      <c r="C6252" s="1" t="n">
        <v>45657</v>
      </c>
      <c r="D6252" t="inlineStr">
        <is>
          <t>VÄSTERNORRLANDS LÄN</t>
        </is>
      </c>
      <c r="E6252" t="inlineStr">
        <is>
          <t>ÖRNSKÖLDSVIK</t>
        </is>
      </c>
      <c r="F6252" t="inlineStr">
        <is>
          <t>Holmen skog AB</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31956-2022</t>
        </is>
      </c>
      <c r="B6253" s="1" t="n">
        <v>44778</v>
      </c>
      <c r="C6253" s="1" t="n">
        <v>45657</v>
      </c>
      <c r="D6253" t="inlineStr">
        <is>
          <t>VÄSTERNORRLANDS LÄN</t>
        </is>
      </c>
      <c r="E6253" t="inlineStr">
        <is>
          <t>SUNDSVALL</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31965-2022</t>
        </is>
      </c>
      <c r="B6254" s="1" t="n">
        <v>44778</v>
      </c>
      <c r="C6254" s="1" t="n">
        <v>45657</v>
      </c>
      <c r="D6254" t="inlineStr">
        <is>
          <t>VÄSTERNORRLANDS LÄN</t>
        </is>
      </c>
      <c r="E6254" t="inlineStr">
        <is>
          <t>SOLLEFTEÅ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31918-2022</t>
        </is>
      </c>
      <c r="B6255" s="1" t="n">
        <v>44777</v>
      </c>
      <c r="C6255" s="1" t="n">
        <v>45657</v>
      </c>
      <c r="D6255" t="inlineStr">
        <is>
          <t>VÄSTERNORRLANDS LÄN</t>
        </is>
      </c>
      <c r="E6255" t="inlineStr">
        <is>
          <t>ÖRNSKÖLDSVIK</t>
        </is>
      </c>
      <c r="F6255" t="inlineStr">
        <is>
          <t>Holmen skog AB</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31957-2022</t>
        </is>
      </c>
      <c r="B6256" s="1" t="n">
        <v>44777</v>
      </c>
      <c r="C6256" s="1" t="n">
        <v>45657</v>
      </c>
      <c r="D6256" t="inlineStr">
        <is>
          <t>VÄSTERNORRLANDS LÄN</t>
        </is>
      </c>
      <c r="E6256" t="inlineStr">
        <is>
          <t>SUNDSVALL</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31966-2022</t>
        </is>
      </c>
      <c r="B6257" s="1" t="n">
        <v>44778</v>
      </c>
      <c r="C6257" s="1" t="n">
        <v>45657</v>
      </c>
      <c r="D6257" t="inlineStr">
        <is>
          <t>VÄSTERNORRLANDS LÄN</t>
        </is>
      </c>
      <c r="E6257" t="inlineStr">
        <is>
          <t>SOLLEFTEÅ</t>
        </is>
      </c>
      <c r="F6257" t="inlineStr">
        <is>
          <t>SCA</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31981-2022</t>
        </is>
      </c>
      <c r="B6258" s="1" t="n">
        <v>44778</v>
      </c>
      <c r="C6258" s="1" t="n">
        <v>45657</v>
      </c>
      <c r="D6258" t="inlineStr">
        <is>
          <t>VÄSTERNORRLANDS LÄN</t>
        </is>
      </c>
      <c r="E6258" t="inlineStr">
        <is>
          <t>TIMRÅ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32031-2022</t>
        </is>
      </c>
      <c r="B6259" s="1" t="n">
        <v>44778</v>
      </c>
      <c r="C6259" s="1" t="n">
        <v>45657</v>
      </c>
      <c r="D6259" t="inlineStr">
        <is>
          <t>VÄSTERNORRLANDS LÄN</t>
        </is>
      </c>
      <c r="E6259" t="inlineStr">
        <is>
          <t>ÖRNSKÖLDSVIK</t>
        </is>
      </c>
      <c r="F6259" t="inlineStr">
        <is>
          <t>Holmen skog AB</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32079-2022</t>
        </is>
      </c>
      <c r="B6260" s="1" t="n">
        <v>44778</v>
      </c>
      <c r="C6260" s="1" t="n">
        <v>45657</v>
      </c>
      <c r="D6260" t="inlineStr">
        <is>
          <t>VÄSTERNORRLANDS LÄN</t>
        </is>
      </c>
      <c r="E6260" t="inlineStr">
        <is>
          <t>ÖRNSKÖLDSVIK</t>
        </is>
      </c>
      <c r="F6260" t="inlineStr">
        <is>
          <t>Holmen skog AB</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32078-2022</t>
        </is>
      </c>
      <c r="B6261" s="1" t="n">
        <v>44778</v>
      </c>
      <c r="C6261" s="1" t="n">
        <v>45657</v>
      </c>
      <c r="D6261" t="inlineStr">
        <is>
          <t>VÄSTERNORRLANDS LÄN</t>
        </is>
      </c>
      <c r="E6261" t="inlineStr">
        <is>
          <t>ÖRNSKÖLDSVIK</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32127-2022</t>
        </is>
      </c>
      <c r="B6262" s="1" t="n">
        <v>44779</v>
      </c>
      <c r="C6262" s="1" t="n">
        <v>45657</v>
      </c>
      <c r="D6262" t="inlineStr">
        <is>
          <t>VÄSTERNORRLANDS LÄN</t>
        </is>
      </c>
      <c r="E6262" t="inlineStr">
        <is>
          <t>SOLLEFTEÅ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32119-2022</t>
        </is>
      </c>
      <c r="B6263" s="1" t="n">
        <v>44779</v>
      </c>
      <c r="C6263" s="1" t="n">
        <v>45657</v>
      </c>
      <c r="D6263" t="inlineStr">
        <is>
          <t>VÄSTERNORRLANDS LÄN</t>
        </is>
      </c>
      <c r="E6263" t="inlineStr">
        <is>
          <t>SUNDSVALL</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32129-2022</t>
        </is>
      </c>
      <c r="B6264" s="1" t="n">
        <v>44779</v>
      </c>
      <c r="C6264" s="1" t="n">
        <v>45657</v>
      </c>
      <c r="D6264" t="inlineStr">
        <is>
          <t>VÄSTERNORRLANDS LÄN</t>
        </is>
      </c>
      <c r="E6264" t="inlineStr">
        <is>
          <t>SOLLEFTEÅ</t>
        </is>
      </c>
      <c r="F6264" t="inlineStr">
        <is>
          <t>SCA</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32126-2022</t>
        </is>
      </c>
      <c r="B6265" s="1" t="n">
        <v>44778</v>
      </c>
      <c r="C6265" s="1" t="n">
        <v>45657</v>
      </c>
      <c r="D6265" t="inlineStr">
        <is>
          <t>VÄSTERNORRLANDS LÄN</t>
        </is>
      </c>
      <c r="E6265" t="inlineStr">
        <is>
          <t>SOLLEFTEÅ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32130-2022</t>
        </is>
      </c>
      <c r="B6266" s="1" t="n">
        <v>44779</v>
      </c>
      <c r="C6266" s="1" t="n">
        <v>45657</v>
      </c>
      <c r="D6266" t="inlineStr">
        <is>
          <t>VÄSTERNORRLANDS LÄN</t>
        </is>
      </c>
      <c r="E6266" t="inlineStr">
        <is>
          <t>SOLLEFTEÅ</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32411-2022</t>
        </is>
      </c>
      <c r="B6267" s="1" t="n">
        <v>44782</v>
      </c>
      <c r="C6267" s="1" t="n">
        <v>45657</v>
      </c>
      <c r="D6267" t="inlineStr">
        <is>
          <t>VÄSTERNORRLANDS LÄN</t>
        </is>
      </c>
      <c r="E6267" t="inlineStr">
        <is>
          <t>SUNDSVALL</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32453-2022</t>
        </is>
      </c>
      <c r="B6268" s="1" t="n">
        <v>44782</v>
      </c>
      <c r="C6268" s="1" t="n">
        <v>45657</v>
      </c>
      <c r="D6268" t="inlineStr">
        <is>
          <t>VÄSTERNORRLANDS LÄN</t>
        </is>
      </c>
      <c r="E6268" t="inlineStr">
        <is>
          <t>SOLLEFTEÅ</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32454-2022</t>
        </is>
      </c>
      <c r="B6269" s="1" t="n">
        <v>44782</v>
      </c>
      <c r="C6269" s="1" t="n">
        <v>45657</v>
      </c>
      <c r="D6269" t="inlineStr">
        <is>
          <t>VÄSTERNORRLANDS LÄN</t>
        </is>
      </c>
      <c r="E6269" t="inlineStr">
        <is>
          <t>KRAMFORS</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32483-2022</t>
        </is>
      </c>
      <c r="B6270" s="1" t="n">
        <v>44782</v>
      </c>
      <c r="C6270" s="1" t="n">
        <v>45657</v>
      </c>
      <c r="D6270" t="inlineStr">
        <is>
          <t>VÄSTERNORRLANDS LÄN</t>
        </is>
      </c>
      <c r="E6270" t="inlineStr">
        <is>
          <t>KRAMFORS</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32532-2022</t>
        </is>
      </c>
      <c r="B6271" s="1" t="n">
        <v>44782</v>
      </c>
      <c r="C6271" s="1" t="n">
        <v>45657</v>
      </c>
      <c r="D6271" t="inlineStr">
        <is>
          <t>VÄSTERNORRLANDS LÄN</t>
        </is>
      </c>
      <c r="E6271" t="inlineStr">
        <is>
          <t>SUNDSVALL</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32494-2022</t>
        </is>
      </c>
      <c r="B6272" s="1" t="n">
        <v>44782</v>
      </c>
      <c r="C6272" s="1" t="n">
        <v>45657</v>
      </c>
      <c r="D6272" t="inlineStr">
        <is>
          <t>VÄSTERNORRLANDS LÄN</t>
        </is>
      </c>
      <c r="E6272" t="inlineStr">
        <is>
          <t>KRAMFORS</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32482-2022</t>
        </is>
      </c>
      <c r="B6273" s="1" t="n">
        <v>44782</v>
      </c>
      <c r="C6273" s="1" t="n">
        <v>45657</v>
      </c>
      <c r="D6273" t="inlineStr">
        <is>
          <t>VÄSTERNORRLANDS LÄN</t>
        </is>
      </c>
      <c r="E6273" t="inlineStr">
        <is>
          <t>ÖRNSKÖLDSVIK</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32519-2022</t>
        </is>
      </c>
      <c r="B6274" s="1" t="n">
        <v>44782</v>
      </c>
      <c r="C6274" s="1" t="n">
        <v>45657</v>
      </c>
      <c r="D6274" t="inlineStr">
        <is>
          <t>VÄSTERNORRLANDS LÄN</t>
        </is>
      </c>
      <c r="E6274" t="inlineStr">
        <is>
          <t>TIMRÅ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32531-2022</t>
        </is>
      </c>
      <c r="B6275" s="1" t="n">
        <v>44783</v>
      </c>
      <c r="C6275" s="1" t="n">
        <v>45657</v>
      </c>
      <c r="D6275" t="inlineStr">
        <is>
          <t>VÄSTERNORRLANDS LÄN</t>
        </is>
      </c>
      <c r="E6275" t="inlineStr">
        <is>
          <t>SOLLEFTEÅ</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32535-2022</t>
        </is>
      </c>
      <c r="B6276" s="1" t="n">
        <v>44783</v>
      </c>
      <c r="C6276" s="1" t="n">
        <v>45657</v>
      </c>
      <c r="D6276" t="inlineStr">
        <is>
          <t>VÄSTERNORRLANDS LÄN</t>
        </is>
      </c>
      <c r="E6276" t="inlineStr">
        <is>
          <t>ÅNGE</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32536-2022</t>
        </is>
      </c>
      <c r="B6277" s="1" t="n">
        <v>44783</v>
      </c>
      <c r="C6277" s="1" t="n">
        <v>45657</v>
      </c>
      <c r="D6277" t="inlineStr">
        <is>
          <t>VÄSTERNORRLANDS LÄN</t>
        </is>
      </c>
      <c r="E6277" t="inlineStr">
        <is>
          <t>ÅNGE</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32538-2022</t>
        </is>
      </c>
      <c r="B6278" s="1" t="n">
        <v>44783</v>
      </c>
      <c r="C6278" s="1" t="n">
        <v>45657</v>
      </c>
      <c r="D6278" t="inlineStr">
        <is>
          <t>VÄSTERNORRLANDS LÄN</t>
        </is>
      </c>
      <c r="E6278" t="inlineStr">
        <is>
          <t>ÅNGE</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32619-2022</t>
        </is>
      </c>
      <c r="B6279" s="1" t="n">
        <v>44783</v>
      </c>
      <c r="C6279" s="1" t="n">
        <v>45657</v>
      </c>
      <c r="D6279" t="inlineStr">
        <is>
          <t>VÄSTERNORRLANDS LÄN</t>
        </is>
      </c>
      <c r="E6279" t="inlineStr">
        <is>
          <t>ÖRNSKÖLDSVIK</t>
        </is>
      </c>
      <c r="F6279" t="inlineStr">
        <is>
          <t>Holmen skog AB</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32713-2022</t>
        </is>
      </c>
      <c r="B6280" s="1" t="n">
        <v>44783</v>
      </c>
      <c r="C6280" s="1" t="n">
        <v>45657</v>
      </c>
      <c r="D6280" t="inlineStr">
        <is>
          <t>VÄSTERNORRLANDS LÄN</t>
        </is>
      </c>
      <c r="E6280" t="inlineStr">
        <is>
          <t>ÖRNSKÖLDSVIK</t>
        </is>
      </c>
      <c r="F6280" t="inlineStr">
        <is>
          <t>Holmen skog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32631-2022</t>
        </is>
      </c>
      <c r="B6281" s="1" t="n">
        <v>44783</v>
      </c>
      <c r="C6281" s="1" t="n">
        <v>45657</v>
      </c>
      <c r="D6281" t="inlineStr">
        <is>
          <t>VÄSTERNORRLANDS LÄN</t>
        </is>
      </c>
      <c r="E6281" t="inlineStr">
        <is>
          <t>ÅNGE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32550-2022</t>
        </is>
      </c>
      <c r="B6282" s="1" t="n">
        <v>44783</v>
      </c>
      <c r="C6282" s="1" t="n">
        <v>45657</v>
      </c>
      <c r="D6282" t="inlineStr">
        <is>
          <t>VÄSTERNORRLANDS LÄN</t>
        </is>
      </c>
      <c r="E6282" t="inlineStr">
        <is>
          <t>ÖRNSKÖLDSVIK</t>
        </is>
      </c>
      <c r="F6282" t="inlineStr">
        <is>
          <t>Holmen skog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32564-2022</t>
        </is>
      </c>
      <c r="B6283" s="1" t="n">
        <v>44783</v>
      </c>
      <c r="C6283" s="1" t="n">
        <v>45657</v>
      </c>
      <c r="D6283" t="inlineStr">
        <is>
          <t>VÄSTERNORRLANDS LÄN</t>
        </is>
      </c>
      <c r="E6283" t="inlineStr">
        <is>
          <t>ÖRNSKÖLDSVIK</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32776-2022</t>
        </is>
      </c>
      <c r="B6284" s="1" t="n">
        <v>44784</v>
      </c>
      <c r="C6284" s="1" t="n">
        <v>45657</v>
      </c>
      <c r="D6284" t="inlineStr">
        <is>
          <t>VÄSTERNORRLANDS LÄN</t>
        </is>
      </c>
      <c r="E6284" t="inlineStr">
        <is>
          <t>ÅNGE</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32756-2022</t>
        </is>
      </c>
      <c r="B6285" s="1" t="n">
        <v>44783</v>
      </c>
      <c r="C6285" s="1" t="n">
        <v>45657</v>
      </c>
      <c r="D6285" t="inlineStr">
        <is>
          <t>VÄSTERNORRLANDS LÄN</t>
        </is>
      </c>
      <c r="E6285" t="inlineStr">
        <is>
          <t>ÖRNSKÖLDSVIK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32761-2022</t>
        </is>
      </c>
      <c r="B6286" s="1" t="n">
        <v>44783</v>
      </c>
      <c r="C6286" s="1" t="n">
        <v>45657</v>
      </c>
      <c r="D6286" t="inlineStr">
        <is>
          <t>VÄSTERNORRLANDS LÄN</t>
        </is>
      </c>
      <c r="E6286" t="inlineStr">
        <is>
          <t>HÄRNÖSAND</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32753-2022</t>
        </is>
      </c>
      <c r="B6287" s="1" t="n">
        <v>44783</v>
      </c>
      <c r="C6287" s="1" t="n">
        <v>45657</v>
      </c>
      <c r="D6287" t="inlineStr">
        <is>
          <t>VÄSTERNORRLANDS LÄN</t>
        </is>
      </c>
      <c r="E6287" t="inlineStr">
        <is>
          <t>ÖRNSKÖLDSVIK</t>
        </is>
      </c>
      <c r="G6287" t="n">
        <v>14.2</v>
      </c>
      <c r="H6287" t="n">
        <v>0</v>
      </c>
      <c r="I6287" t="n">
        <v>0</v>
      </c>
      <c r="J6287" t="n">
        <v>0</v>
      </c>
      <c r="K6287" t="n">
        <v>0</v>
      </c>
      <c r="L6287" t="n">
        <v>0</v>
      </c>
      <c r="M6287" t="n">
        <v>0</v>
      </c>
      <c r="N6287" t="n">
        <v>0</v>
      </c>
      <c r="O6287" t="n">
        <v>0</v>
      </c>
      <c r="P6287" t="n">
        <v>0</v>
      </c>
      <c r="Q6287" t="n">
        <v>0</v>
      </c>
      <c r="R6287" s="2" t="inlineStr"/>
    </row>
    <row r="6288" ht="15" customHeight="1">
      <c r="A6288" t="inlineStr">
        <is>
          <t>A 32779-2022</t>
        </is>
      </c>
      <c r="B6288" s="1" t="n">
        <v>44784</v>
      </c>
      <c r="C6288" s="1" t="n">
        <v>45657</v>
      </c>
      <c r="D6288" t="inlineStr">
        <is>
          <t>VÄSTERNORRLANDS LÄN</t>
        </is>
      </c>
      <c r="E6288" t="inlineStr">
        <is>
          <t>SOLLEFTEÅ</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32821-2022</t>
        </is>
      </c>
      <c r="B6289" s="1" t="n">
        <v>44784</v>
      </c>
      <c r="C6289" s="1" t="n">
        <v>45657</v>
      </c>
      <c r="D6289" t="inlineStr">
        <is>
          <t>VÄSTERNORRLANDS LÄN</t>
        </is>
      </c>
      <c r="E6289" t="inlineStr">
        <is>
          <t>ÖRNSKÖLDSVIK</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32850-2022</t>
        </is>
      </c>
      <c r="B6290" s="1" t="n">
        <v>44784</v>
      </c>
      <c r="C6290" s="1" t="n">
        <v>45657</v>
      </c>
      <c r="D6290" t="inlineStr">
        <is>
          <t>VÄSTERNORRLANDS LÄN</t>
        </is>
      </c>
      <c r="E6290" t="inlineStr">
        <is>
          <t>ÖRNSKÖLDSVIK</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32861-2022</t>
        </is>
      </c>
      <c r="B6291" s="1" t="n">
        <v>44784</v>
      </c>
      <c r="C6291" s="1" t="n">
        <v>45657</v>
      </c>
      <c r="D6291" t="inlineStr">
        <is>
          <t>VÄSTERNORRLANDS LÄN</t>
        </is>
      </c>
      <c r="E6291" t="inlineStr">
        <is>
          <t>ÖRNSKÖLDSVIK</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32827-2022</t>
        </is>
      </c>
      <c r="B6292" s="1" t="n">
        <v>44784</v>
      </c>
      <c r="C6292" s="1" t="n">
        <v>45657</v>
      </c>
      <c r="D6292" t="inlineStr">
        <is>
          <t>VÄSTERNORRLANDS LÄN</t>
        </is>
      </c>
      <c r="E6292" t="inlineStr">
        <is>
          <t>KRAMFORS</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32908-2022</t>
        </is>
      </c>
      <c r="B6293" s="1" t="n">
        <v>44784</v>
      </c>
      <c r="C6293" s="1" t="n">
        <v>45657</v>
      </c>
      <c r="D6293" t="inlineStr">
        <is>
          <t>VÄSTERNORRLANDS LÄN</t>
        </is>
      </c>
      <c r="E6293" t="inlineStr">
        <is>
          <t>ÖRNSKÖLDSVIK</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32890-2022</t>
        </is>
      </c>
      <c r="B6294" s="1" t="n">
        <v>44784</v>
      </c>
      <c r="C6294" s="1" t="n">
        <v>45657</v>
      </c>
      <c r="D6294" t="inlineStr">
        <is>
          <t>VÄSTERNORRLANDS LÄN</t>
        </is>
      </c>
      <c r="E6294" t="inlineStr">
        <is>
          <t>ÖRNSKÖLDSVIK</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32896-2022</t>
        </is>
      </c>
      <c r="B6295" s="1" t="n">
        <v>44784</v>
      </c>
      <c r="C6295" s="1" t="n">
        <v>45657</v>
      </c>
      <c r="D6295" t="inlineStr">
        <is>
          <t>VÄSTERNORRLANDS LÄN</t>
        </is>
      </c>
      <c r="E6295" t="inlineStr">
        <is>
          <t>ÖRNSKÖLDSVIK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32969-2022</t>
        </is>
      </c>
      <c r="B6296" s="1" t="n">
        <v>44785</v>
      </c>
      <c r="C6296" s="1" t="n">
        <v>45657</v>
      </c>
      <c r="D6296" t="inlineStr">
        <is>
          <t>VÄSTERNORRLANDS LÄN</t>
        </is>
      </c>
      <c r="E6296" t="inlineStr">
        <is>
          <t>SOLLEFTEÅ</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32987-2022</t>
        </is>
      </c>
      <c r="B6297" s="1" t="n">
        <v>44784</v>
      </c>
      <c r="C6297" s="1" t="n">
        <v>45657</v>
      </c>
      <c r="D6297" t="inlineStr">
        <is>
          <t>VÄSTERNORRLANDS LÄN</t>
        </is>
      </c>
      <c r="E6297" t="inlineStr">
        <is>
          <t>SUNDSVALL</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33152-2022</t>
        </is>
      </c>
      <c r="B6298" s="1" t="n">
        <v>44785</v>
      </c>
      <c r="C6298" s="1" t="n">
        <v>45657</v>
      </c>
      <c r="D6298" t="inlineStr">
        <is>
          <t>VÄSTERNORRLANDS LÄN</t>
        </is>
      </c>
      <c r="E6298" t="inlineStr">
        <is>
          <t>ÖRNSKÖLDSVIK</t>
        </is>
      </c>
      <c r="F6298" t="inlineStr">
        <is>
          <t>Holmen skog AB</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33112-2022</t>
        </is>
      </c>
      <c r="B6299" s="1" t="n">
        <v>44785</v>
      </c>
      <c r="C6299" s="1" t="n">
        <v>45657</v>
      </c>
      <c r="D6299" t="inlineStr">
        <is>
          <t>VÄSTERNORRLANDS LÄN</t>
        </is>
      </c>
      <c r="E6299" t="inlineStr">
        <is>
          <t>ÅNGE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33056-2022</t>
        </is>
      </c>
      <c r="B6300" s="1" t="n">
        <v>44785</v>
      </c>
      <c r="C6300" s="1" t="n">
        <v>45657</v>
      </c>
      <c r="D6300" t="inlineStr">
        <is>
          <t>VÄSTERNORRLANDS LÄN</t>
        </is>
      </c>
      <c r="E6300" t="inlineStr">
        <is>
          <t>SOLLEFTEÅ</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33062-2022</t>
        </is>
      </c>
      <c r="B6301" s="1" t="n">
        <v>44785</v>
      </c>
      <c r="C6301" s="1" t="n">
        <v>45657</v>
      </c>
      <c r="D6301" t="inlineStr">
        <is>
          <t>VÄSTERNORRLANDS LÄN</t>
        </is>
      </c>
      <c r="E6301" t="inlineStr">
        <is>
          <t>ÅNGE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33083-2022</t>
        </is>
      </c>
      <c r="B6302" s="1" t="n">
        <v>44785</v>
      </c>
      <c r="C6302" s="1" t="n">
        <v>45657</v>
      </c>
      <c r="D6302" t="inlineStr">
        <is>
          <t>VÄSTERNORRLANDS LÄN</t>
        </is>
      </c>
      <c r="E6302" t="inlineStr">
        <is>
          <t>SOLLEFTEÅ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33095-2022</t>
        </is>
      </c>
      <c r="B6303" s="1" t="n">
        <v>44785</v>
      </c>
      <c r="C6303" s="1" t="n">
        <v>45657</v>
      </c>
      <c r="D6303" t="inlineStr">
        <is>
          <t>VÄSTERNORRLANDS LÄN</t>
        </is>
      </c>
      <c r="E6303" t="inlineStr">
        <is>
          <t>ÖRNSKÖLDSVIK</t>
        </is>
      </c>
      <c r="F6303" t="inlineStr">
        <is>
          <t>Holmen skog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33077-2022</t>
        </is>
      </c>
      <c r="B6304" s="1" t="n">
        <v>44785</v>
      </c>
      <c r="C6304" s="1" t="n">
        <v>45657</v>
      </c>
      <c r="D6304" t="inlineStr">
        <is>
          <t>VÄSTERNORRLANDS LÄN</t>
        </is>
      </c>
      <c r="E6304" t="inlineStr">
        <is>
          <t>SOLLEFTEÅ</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33129-2022</t>
        </is>
      </c>
      <c r="B6305" s="1" t="n">
        <v>44785</v>
      </c>
      <c r="C6305" s="1" t="n">
        <v>45657</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33183-2022</t>
        </is>
      </c>
      <c r="B6306" s="1" t="n">
        <v>44785</v>
      </c>
      <c r="C6306" s="1" t="n">
        <v>45657</v>
      </c>
      <c r="D6306" t="inlineStr">
        <is>
          <t>VÄSTERNORRLANDS LÄN</t>
        </is>
      </c>
      <c r="E6306" t="inlineStr">
        <is>
          <t>ÖRNSKÖLDSVIK</t>
        </is>
      </c>
      <c r="F6306" t="inlineStr">
        <is>
          <t>Holmen skog AB</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33194-2022</t>
        </is>
      </c>
      <c r="B6307" s="1" t="n">
        <v>44785</v>
      </c>
      <c r="C6307" s="1" t="n">
        <v>45657</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33201-2022</t>
        </is>
      </c>
      <c r="B6308" s="1" t="n">
        <v>44785</v>
      </c>
      <c r="C6308" s="1" t="n">
        <v>45657</v>
      </c>
      <c r="D6308" t="inlineStr">
        <is>
          <t>VÄSTERNORRLANDS LÄN</t>
        </is>
      </c>
      <c r="E6308" t="inlineStr">
        <is>
          <t>ÖRNSKÖLDSVIK</t>
        </is>
      </c>
      <c r="F6308" t="inlineStr">
        <is>
          <t>Kyrkan</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33229-2022</t>
        </is>
      </c>
      <c r="B6309" s="1" t="n">
        <v>44785</v>
      </c>
      <c r="C6309" s="1" t="n">
        <v>45657</v>
      </c>
      <c r="D6309" t="inlineStr">
        <is>
          <t>VÄSTERNORRLANDS LÄN</t>
        </is>
      </c>
      <c r="E6309" t="inlineStr">
        <is>
          <t>ÅNGE</t>
        </is>
      </c>
      <c r="F6309" t="inlineStr">
        <is>
          <t>SCA</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33185-2022</t>
        </is>
      </c>
      <c r="B6310" s="1" t="n">
        <v>44785</v>
      </c>
      <c r="C6310" s="1" t="n">
        <v>45657</v>
      </c>
      <c r="D6310" t="inlineStr">
        <is>
          <t>VÄSTERNORRLANDS LÄN</t>
        </is>
      </c>
      <c r="E6310" t="inlineStr">
        <is>
          <t>ÖRNSKÖLDSVIK</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33220-2022</t>
        </is>
      </c>
      <c r="B6311" s="1" t="n">
        <v>44786</v>
      </c>
      <c r="C6311" s="1" t="n">
        <v>45657</v>
      </c>
      <c r="D6311" t="inlineStr">
        <is>
          <t>VÄSTERNORRLANDS LÄN</t>
        </is>
      </c>
      <c r="E6311" t="inlineStr">
        <is>
          <t>SUNDSVALL</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33226-2022</t>
        </is>
      </c>
      <c r="B6312" s="1" t="n">
        <v>44786</v>
      </c>
      <c r="C6312" s="1" t="n">
        <v>45657</v>
      </c>
      <c r="D6312" t="inlineStr">
        <is>
          <t>VÄSTERNORRLANDS LÄN</t>
        </is>
      </c>
      <c r="E6312" t="inlineStr">
        <is>
          <t>SOLLEFTEÅ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33238-2022</t>
        </is>
      </c>
      <c r="B6313" s="1" t="n">
        <v>44786</v>
      </c>
      <c r="C6313" s="1" t="n">
        <v>45657</v>
      </c>
      <c r="D6313" t="inlineStr">
        <is>
          <t>VÄSTERNORRLANDS LÄN</t>
        </is>
      </c>
      <c r="E6313" t="inlineStr">
        <is>
          <t>ÖRNSKÖLDSVIK</t>
        </is>
      </c>
      <c r="F6313" t="inlineStr">
        <is>
          <t>Holmen skog AB</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33438-2022</t>
        </is>
      </c>
      <c r="B6314" s="1" t="n">
        <v>44788</v>
      </c>
      <c r="C6314" s="1" t="n">
        <v>45657</v>
      </c>
      <c r="D6314" t="inlineStr">
        <is>
          <t>VÄSTERNORRLANDS LÄN</t>
        </is>
      </c>
      <c r="E6314" t="inlineStr">
        <is>
          <t>ÖRNSKÖLDSVIK</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33274-2022</t>
        </is>
      </c>
      <c r="B6315" s="1" t="n">
        <v>44788</v>
      </c>
      <c r="C6315" s="1" t="n">
        <v>45657</v>
      </c>
      <c r="D6315" t="inlineStr">
        <is>
          <t>VÄSTERNORRLANDS LÄN</t>
        </is>
      </c>
      <c r="E6315" t="inlineStr">
        <is>
          <t>ÅNGE</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33440-2022</t>
        </is>
      </c>
      <c r="B6316" s="1" t="n">
        <v>44788</v>
      </c>
      <c r="C6316" s="1" t="n">
        <v>45657</v>
      </c>
      <c r="D6316" t="inlineStr">
        <is>
          <t>VÄSTERNORRLANDS LÄN</t>
        </is>
      </c>
      <c r="E6316" t="inlineStr">
        <is>
          <t>KRAMFORS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33498-2022</t>
        </is>
      </c>
      <c r="B6317" s="1" t="n">
        <v>44789</v>
      </c>
      <c r="C6317" s="1" t="n">
        <v>45657</v>
      </c>
      <c r="D6317" t="inlineStr">
        <is>
          <t>VÄSTERNORRLANDS LÄN</t>
        </is>
      </c>
      <c r="E6317" t="inlineStr">
        <is>
          <t>SUNDSVALL</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33505-2022</t>
        </is>
      </c>
      <c r="B6318" s="1" t="n">
        <v>44789</v>
      </c>
      <c r="C6318" s="1" t="n">
        <v>45657</v>
      </c>
      <c r="D6318" t="inlineStr">
        <is>
          <t>VÄSTERNORRLANDS LÄN</t>
        </is>
      </c>
      <c r="E6318" t="inlineStr">
        <is>
          <t>SOLLEFTEÅ</t>
        </is>
      </c>
      <c r="F6318" t="inlineStr">
        <is>
          <t>SCA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33515-2022</t>
        </is>
      </c>
      <c r="B6319" s="1" t="n">
        <v>44789</v>
      </c>
      <c r="C6319" s="1" t="n">
        <v>45657</v>
      </c>
      <c r="D6319" t="inlineStr">
        <is>
          <t>VÄSTERNORRLANDS LÄN</t>
        </is>
      </c>
      <c r="E6319" t="inlineStr">
        <is>
          <t>SUNDSVALL</t>
        </is>
      </c>
      <c r="F6319" t="inlineStr">
        <is>
          <t>SCA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33519-2022</t>
        </is>
      </c>
      <c r="B6320" s="1" t="n">
        <v>44789</v>
      </c>
      <c r="C6320" s="1" t="n">
        <v>45657</v>
      </c>
      <c r="D6320" t="inlineStr">
        <is>
          <t>VÄSTERNORRLANDS LÄN</t>
        </is>
      </c>
      <c r="E6320" t="inlineStr">
        <is>
          <t>SOLLEFTEÅ</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33528-2022</t>
        </is>
      </c>
      <c r="B6321" s="1" t="n">
        <v>44788</v>
      </c>
      <c r="C6321" s="1" t="n">
        <v>45657</v>
      </c>
      <c r="D6321" t="inlineStr">
        <is>
          <t>VÄSTERNORRLANDS LÄN</t>
        </is>
      </c>
      <c r="E6321" t="inlineStr">
        <is>
          <t>SOLLEFTEÅ</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33651-2022</t>
        </is>
      </c>
      <c r="B6322" s="1" t="n">
        <v>44789</v>
      </c>
      <c r="C6322" s="1" t="n">
        <v>45657</v>
      </c>
      <c r="D6322" t="inlineStr">
        <is>
          <t>VÄSTERNORRLANDS LÄN</t>
        </is>
      </c>
      <c r="E6322" t="inlineStr">
        <is>
          <t>ÖRNSKÖLDSVIK</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33555-2022</t>
        </is>
      </c>
      <c r="B6323" s="1" t="n">
        <v>44789</v>
      </c>
      <c r="C6323" s="1" t="n">
        <v>45657</v>
      </c>
      <c r="D6323" t="inlineStr">
        <is>
          <t>VÄSTERNORRLANDS LÄN</t>
        </is>
      </c>
      <c r="E6323" t="inlineStr">
        <is>
          <t>ÖRNSKÖLDSVIK</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33598-2022</t>
        </is>
      </c>
      <c r="B6324" s="1" t="n">
        <v>44789</v>
      </c>
      <c r="C6324" s="1" t="n">
        <v>45657</v>
      </c>
      <c r="D6324" t="inlineStr">
        <is>
          <t>VÄSTERNORRLANDS LÄN</t>
        </is>
      </c>
      <c r="E6324" t="inlineStr">
        <is>
          <t>ÖRNSKÖLDSVIK</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33725-2022</t>
        </is>
      </c>
      <c r="B6325" s="1" t="n">
        <v>44790</v>
      </c>
      <c r="C6325" s="1" t="n">
        <v>45657</v>
      </c>
      <c r="D6325" t="inlineStr">
        <is>
          <t>VÄSTERNORRLANDS LÄN</t>
        </is>
      </c>
      <c r="E6325" t="inlineStr">
        <is>
          <t>SUNDSVALL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33723-2022</t>
        </is>
      </c>
      <c r="B6326" s="1" t="n">
        <v>44790</v>
      </c>
      <c r="C6326" s="1" t="n">
        <v>45657</v>
      </c>
      <c r="D6326" t="inlineStr">
        <is>
          <t>VÄSTERNORRLANDS LÄN</t>
        </is>
      </c>
      <c r="E6326" t="inlineStr">
        <is>
          <t>SUNDSVALL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33719-2022</t>
        </is>
      </c>
      <c r="B6327" s="1" t="n">
        <v>44790</v>
      </c>
      <c r="C6327" s="1" t="n">
        <v>45657</v>
      </c>
      <c r="D6327" t="inlineStr">
        <is>
          <t>VÄSTERNORRLANDS LÄN</t>
        </is>
      </c>
      <c r="E6327" t="inlineStr">
        <is>
          <t>TIMRÅ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33734-2022</t>
        </is>
      </c>
      <c r="B6328" s="1" t="n">
        <v>44790</v>
      </c>
      <c r="C6328" s="1" t="n">
        <v>45657</v>
      </c>
      <c r="D6328" t="inlineStr">
        <is>
          <t>VÄSTERNORRLANDS LÄN</t>
        </is>
      </c>
      <c r="E6328" t="inlineStr">
        <is>
          <t>SOLLEFTEÅ</t>
        </is>
      </c>
      <c r="F6328" t="inlineStr">
        <is>
          <t>SCA</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33757-2022</t>
        </is>
      </c>
      <c r="B6329" s="1" t="n">
        <v>44789</v>
      </c>
      <c r="C6329" s="1" t="n">
        <v>45657</v>
      </c>
      <c r="D6329" t="inlineStr">
        <is>
          <t>VÄSTERNORRLANDS LÄN</t>
        </is>
      </c>
      <c r="E6329" t="inlineStr">
        <is>
          <t>ÖRNSKÖLDSVIK</t>
        </is>
      </c>
      <c r="F6329" t="inlineStr">
        <is>
          <t>Kyrkan</t>
        </is>
      </c>
      <c r="G6329" t="n">
        <v>21.6</v>
      </c>
      <c r="H6329" t="n">
        <v>0</v>
      </c>
      <c r="I6329" t="n">
        <v>0</v>
      </c>
      <c r="J6329" t="n">
        <v>0</v>
      </c>
      <c r="K6329" t="n">
        <v>0</v>
      </c>
      <c r="L6329" t="n">
        <v>0</v>
      </c>
      <c r="M6329" t="n">
        <v>0</v>
      </c>
      <c r="N6329" t="n">
        <v>0</v>
      </c>
      <c r="O6329" t="n">
        <v>0</v>
      </c>
      <c r="P6329" t="n">
        <v>0</v>
      </c>
      <c r="Q6329" t="n">
        <v>0</v>
      </c>
      <c r="R6329" s="2" t="inlineStr"/>
    </row>
    <row r="6330" ht="15" customHeight="1">
      <c r="A6330" t="inlineStr">
        <is>
          <t>A 33684-2022</t>
        </is>
      </c>
      <c r="B6330" s="1" t="n">
        <v>44789</v>
      </c>
      <c r="C6330" s="1" t="n">
        <v>45657</v>
      </c>
      <c r="D6330" t="inlineStr">
        <is>
          <t>VÄSTERNORRLANDS LÄN</t>
        </is>
      </c>
      <c r="E6330" t="inlineStr">
        <is>
          <t>ÖRNSKÖLDSVIK</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33724-2022</t>
        </is>
      </c>
      <c r="B6331" s="1" t="n">
        <v>44790</v>
      </c>
      <c r="C6331" s="1" t="n">
        <v>45657</v>
      </c>
      <c r="D6331" t="inlineStr">
        <is>
          <t>VÄSTERNORRLANDS LÄN</t>
        </is>
      </c>
      <c r="E6331" t="inlineStr">
        <is>
          <t>SUNDSVALL</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33911-2022</t>
        </is>
      </c>
      <c r="B6332" s="1" t="n">
        <v>44790</v>
      </c>
      <c r="C6332" s="1" t="n">
        <v>45657</v>
      </c>
      <c r="D6332" t="inlineStr">
        <is>
          <t>VÄSTERNORRLANDS LÄN</t>
        </is>
      </c>
      <c r="E6332" t="inlineStr">
        <is>
          <t>ÖRNSKÖLDSVIK</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33918-2022</t>
        </is>
      </c>
      <c r="B6333" s="1" t="n">
        <v>44790</v>
      </c>
      <c r="C6333" s="1" t="n">
        <v>45657</v>
      </c>
      <c r="D6333" t="inlineStr">
        <is>
          <t>VÄSTERNORRLANDS LÄN</t>
        </is>
      </c>
      <c r="E6333" t="inlineStr">
        <is>
          <t>ÖRNSKÖLDSVIK</t>
        </is>
      </c>
      <c r="F6333" t="inlineStr">
        <is>
          <t>Holmen skog AB</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34041-2022</t>
        </is>
      </c>
      <c r="B6334" s="1" t="n">
        <v>44790</v>
      </c>
      <c r="C6334" s="1" t="n">
        <v>45657</v>
      </c>
      <c r="D6334" t="inlineStr">
        <is>
          <t>VÄSTERNORRLANDS LÄN</t>
        </is>
      </c>
      <c r="E6334" t="inlineStr">
        <is>
          <t>TIMRÅ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33990-2022</t>
        </is>
      </c>
      <c r="B6335" s="1" t="n">
        <v>44790</v>
      </c>
      <c r="C6335" s="1" t="n">
        <v>45657</v>
      </c>
      <c r="D6335" t="inlineStr">
        <is>
          <t>VÄSTERNORRLANDS LÄN</t>
        </is>
      </c>
      <c r="E6335" t="inlineStr">
        <is>
          <t>SOLLEFTEÅ</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33995-2022</t>
        </is>
      </c>
      <c r="B6336" s="1" t="n">
        <v>44791</v>
      </c>
      <c r="C6336" s="1" t="n">
        <v>45657</v>
      </c>
      <c r="D6336" t="inlineStr">
        <is>
          <t>VÄSTERNORRLANDS LÄN</t>
        </is>
      </c>
      <c r="E6336" t="inlineStr">
        <is>
          <t>SOLLEFTEÅ</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34053-2022</t>
        </is>
      </c>
      <c r="B6337" s="1" t="n">
        <v>44790</v>
      </c>
      <c r="C6337" s="1" t="n">
        <v>45657</v>
      </c>
      <c r="D6337" t="inlineStr">
        <is>
          <t>VÄSTERNORRLANDS LÄN</t>
        </is>
      </c>
      <c r="E6337" t="inlineStr">
        <is>
          <t>TIMRÅ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33994-2022</t>
        </is>
      </c>
      <c r="B6338" s="1" t="n">
        <v>44791</v>
      </c>
      <c r="C6338" s="1" t="n">
        <v>45657</v>
      </c>
      <c r="D6338" t="inlineStr">
        <is>
          <t>VÄSTERNORRLANDS LÄN</t>
        </is>
      </c>
      <c r="E6338" t="inlineStr">
        <is>
          <t>SOLLEFTEÅ</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34054-2022</t>
        </is>
      </c>
      <c r="B6339" s="1" t="n">
        <v>44790</v>
      </c>
      <c r="C6339" s="1" t="n">
        <v>45657</v>
      </c>
      <c r="D6339" t="inlineStr">
        <is>
          <t>VÄSTERNORRLANDS LÄN</t>
        </is>
      </c>
      <c r="E6339" t="inlineStr">
        <is>
          <t>SUNDSVALL</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34038-2022</t>
        </is>
      </c>
      <c r="B6340" s="1" t="n">
        <v>44791</v>
      </c>
      <c r="C6340" s="1" t="n">
        <v>45657</v>
      </c>
      <c r="D6340" t="inlineStr">
        <is>
          <t>VÄSTERNORRLANDS LÄN</t>
        </is>
      </c>
      <c r="E6340" t="inlineStr">
        <is>
          <t>TIMRÅ</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34099-2022</t>
        </is>
      </c>
      <c r="B6341" s="1" t="n">
        <v>44791</v>
      </c>
      <c r="C6341" s="1" t="n">
        <v>45657</v>
      </c>
      <c r="D6341" t="inlineStr">
        <is>
          <t>VÄSTERNORRLANDS LÄN</t>
        </is>
      </c>
      <c r="E6341" t="inlineStr">
        <is>
          <t>TIMRÅ</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34118-2022</t>
        </is>
      </c>
      <c r="B6342" s="1" t="n">
        <v>44791</v>
      </c>
      <c r="C6342" s="1" t="n">
        <v>45657</v>
      </c>
      <c r="D6342" t="inlineStr">
        <is>
          <t>VÄSTERNORRLANDS LÄN</t>
        </is>
      </c>
      <c r="E6342" t="inlineStr">
        <is>
          <t>SUNDSVALL</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34091-2022</t>
        </is>
      </c>
      <c r="B6343" s="1" t="n">
        <v>44791</v>
      </c>
      <c r="C6343" s="1" t="n">
        <v>45657</v>
      </c>
      <c r="D6343" t="inlineStr">
        <is>
          <t>VÄSTERNORRLANDS LÄN</t>
        </is>
      </c>
      <c r="E6343" t="inlineStr">
        <is>
          <t>ÅNGE</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34148-2022</t>
        </is>
      </c>
      <c r="B6344" s="1" t="n">
        <v>44791</v>
      </c>
      <c r="C6344" s="1" t="n">
        <v>45657</v>
      </c>
      <c r="D6344" t="inlineStr">
        <is>
          <t>VÄSTERNORRLANDS LÄN</t>
        </is>
      </c>
      <c r="E6344" t="inlineStr">
        <is>
          <t>SUNDSVALL</t>
        </is>
      </c>
      <c r="G6344" t="n">
        <v>11.5</v>
      </c>
      <c r="H6344" t="n">
        <v>0</v>
      </c>
      <c r="I6344" t="n">
        <v>0</v>
      </c>
      <c r="J6344" t="n">
        <v>0</v>
      </c>
      <c r="K6344" t="n">
        <v>0</v>
      </c>
      <c r="L6344" t="n">
        <v>0</v>
      </c>
      <c r="M6344" t="n">
        <v>0</v>
      </c>
      <c r="N6344" t="n">
        <v>0</v>
      </c>
      <c r="O6344" t="n">
        <v>0</v>
      </c>
      <c r="P6344" t="n">
        <v>0</v>
      </c>
      <c r="Q6344" t="n">
        <v>0</v>
      </c>
      <c r="R6344" s="2" t="inlineStr"/>
    </row>
    <row r="6345" ht="15" customHeight="1">
      <c r="A6345" t="inlineStr">
        <is>
          <t>A 34089-2022</t>
        </is>
      </c>
      <c r="B6345" s="1" t="n">
        <v>44791</v>
      </c>
      <c r="C6345" s="1" t="n">
        <v>45657</v>
      </c>
      <c r="D6345" t="inlineStr">
        <is>
          <t>VÄSTERNORRLANDS LÄN</t>
        </is>
      </c>
      <c r="E6345" t="inlineStr">
        <is>
          <t>ÖRNSKÖLDSVIK</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34161-2022</t>
        </is>
      </c>
      <c r="B6346" s="1" t="n">
        <v>44791</v>
      </c>
      <c r="C6346" s="1" t="n">
        <v>45657</v>
      </c>
      <c r="D6346" t="inlineStr">
        <is>
          <t>VÄSTERNORRLANDS LÄN</t>
        </is>
      </c>
      <c r="E6346" t="inlineStr">
        <is>
          <t>HÄRNÖSAND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34192-2022</t>
        </is>
      </c>
      <c r="B6347" s="1" t="n">
        <v>44791</v>
      </c>
      <c r="C6347" s="1" t="n">
        <v>45657</v>
      </c>
      <c r="D6347" t="inlineStr">
        <is>
          <t>VÄSTERNORRLANDS LÄN</t>
        </is>
      </c>
      <c r="E6347" t="inlineStr">
        <is>
          <t>SUNDSVALL</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34242-2022</t>
        </is>
      </c>
      <c r="B6348" s="1" t="n">
        <v>44792</v>
      </c>
      <c r="C6348" s="1" t="n">
        <v>45657</v>
      </c>
      <c r="D6348" t="inlineStr">
        <is>
          <t>VÄSTERNORRLANDS LÄN</t>
        </is>
      </c>
      <c r="E6348" t="inlineStr">
        <is>
          <t>SOLLEFTEÅ</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34246-2022</t>
        </is>
      </c>
      <c r="B6349" s="1" t="n">
        <v>44791</v>
      </c>
      <c r="C6349" s="1" t="n">
        <v>45657</v>
      </c>
      <c r="D6349" t="inlineStr">
        <is>
          <t>VÄSTERNORRLANDS LÄN</t>
        </is>
      </c>
      <c r="E6349" t="inlineStr">
        <is>
          <t>TIMRÅ</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34252-2022</t>
        </is>
      </c>
      <c r="B6350" s="1" t="n">
        <v>44792</v>
      </c>
      <c r="C6350" s="1" t="n">
        <v>45657</v>
      </c>
      <c r="D6350" t="inlineStr">
        <is>
          <t>VÄSTERNORRLANDS LÄN</t>
        </is>
      </c>
      <c r="E6350" t="inlineStr">
        <is>
          <t>SOLLEFTEÅ</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34263-2022</t>
        </is>
      </c>
      <c r="B6351" s="1" t="n">
        <v>44792</v>
      </c>
      <c r="C6351" s="1" t="n">
        <v>45657</v>
      </c>
      <c r="D6351" t="inlineStr">
        <is>
          <t>VÄSTERNORRLANDS LÄN</t>
        </is>
      </c>
      <c r="E6351" t="inlineStr">
        <is>
          <t>ÖRNSKÖLDSVIK</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34250-2022</t>
        </is>
      </c>
      <c r="B6352" s="1" t="n">
        <v>44792</v>
      </c>
      <c r="C6352" s="1" t="n">
        <v>45657</v>
      </c>
      <c r="D6352" t="inlineStr">
        <is>
          <t>VÄSTERNORRLANDS LÄN</t>
        </is>
      </c>
      <c r="E6352" t="inlineStr">
        <is>
          <t>ÖRNSKÖLDSVIK</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34267-2022</t>
        </is>
      </c>
      <c r="B6353" s="1" t="n">
        <v>44792</v>
      </c>
      <c r="C6353" s="1" t="n">
        <v>45657</v>
      </c>
      <c r="D6353" t="inlineStr">
        <is>
          <t>VÄSTERNORRLANDS LÄN</t>
        </is>
      </c>
      <c r="E6353" t="inlineStr">
        <is>
          <t>SOLLEFTEÅ</t>
        </is>
      </c>
      <c r="F6353" t="inlineStr">
        <is>
          <t>SCA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34281-2022</t>
        </is>
      </c>
      <c r="B6354" s="1" t="n">
        <v>44791</v>
      </c>
      <c r="C6354" s="1" t="n">
        <v>45657</v>
      </c>
      <c r="D6354" t="inlineStr">
        <is>
          <t>VÄSTERNORRLANDS LÄN</t>
        </is>
      </c>
      <c r="E6354" t="inlineStr">
        <is>
          <t>SOLLEFTEÅ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34302-2022</t>
        </is>
      </c>
      <c r="B6355" s="1" t="n">
        <v>44792</v>
      </c>
      <c r="C6355" s="1" t="n">
        <v>45657</v>
      </c>
      <c r="D6355" t="inlineStr">
        <is>
          <t>VÄSTERNORRLANDS LÄN</t>
        </is>
      </c>
      <c r="E6355" t="inlineStr">
        <is>
          <t>SUNDSVALL</t>
        </is>
      </c>
      <c r="F6355" t="inlineStr">
        <is>
          <t>Holmen skog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34330-2022</t>
        </is>
      </c>
      <c r="B6356" s="1" t="n">
        <v>44792</v>
      </c>
      <c r="C6356" s="1" t="n">
        <v>45657</v>
      </c>
      <c r="D6356" t="inlineStr">
        <is>
          <t>VÄSTERNORRLANDS LÄN</t>
        </is>
      </c>
      <c r="E6356" t="inlineStr">
        <is>
          <t>KRAMFORS</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34334-2022</t>
        </is>
      </c>
      <c r="B6357" s="1" t="n">
        <v>44792</v>
      </c>
      <c r="C6357" s="1" t="n">
        <v>45657</v>
      </c>
      <c r="D6357" t="inlineStr">
        <is>
          <t>VÄSTERNORRLANDS LÄN</t>
        </is>
      </c>
      <c r="E6357" t="inlineStr">
        <is>
          <t>ÖRNSKÖLDSVIK</t>
        </is>
      </c>
      <c r="F6357" t="inlineStr">
        <is>
          <t>Holmen skog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34389-2022</t>
        </is>
      </c>
      <c r="B6358" s="1" t="n">
        <v>44792</v>
      </c>
      <c r="C6358" s="1" t="n">
        <v>45657</v>
      </c>
      <c r="D6358" t="inlineStr">
        <is>
          <t>VÄSTERNORRLANDS LÄN</t>
        </is>
      </c>
      <c r="E6358" t="inlineStr">
        <is>
          <t>ÖRNSKÖLDSVIK</t>
        </is>
      </c>
      <c r="F6358" t="inlineStr">
        <is>
          <t>Holmen skog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34309-2022</t>
        </is>
      </c>
      <c r="B6359" s="1" t="n">
        <v>44792</v>
      </c>
      <c r="C6359" s="1" t="n">
        <v>45657</v>
      </c>
      <c r="D6359" t="inlineStr">
        <is>
          <t>VÄSTERNORRLANDS LÄN</t>
        </is>
      </c>
      <c r="E6359" t="inlineStr">
        <is>
          <t>ÖRNSKÖLDSVIK</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34367-2022</t>
        </is>
      </c>
      <c r="B6360" s="1" t="n">
        <v>44792</v>
      </c>
      <c r="C6360" s="1" t="n">
        <v>45657</v>
      </c>
      <c r="D6360" t="inlineStr">
        <is>
          <t>VÄSTERNORRLANDS LÄN</t>
        </is>
      </c>
      <c r="E6360" t="inlineStr">
        <is>
          <t>KRAMFORS</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34346-2022</t>
        </is>
      </c>
      <c r="B6361" s="1" t="n">
        <v>44792</v>
      </c>
      <c r="C6361" s="1" t="n">
        <v>45657</v>
      </c>
      <c r="D6361" t="inlineStr">
        <is>
          <t>VÄSTERNORRLANDS LÄN</t>
        </is>
      </c>
      <c r="E6361" t="inlineStr">
        <is>
          <t>KRAMFORS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34333-2022</t>
        </is>
      </c>
      <c r="B6362" s="1" t="n">
        <v>44792</v>
      </c>
      <c r="C6362" s="1" t="n">
        <v>45657</v>
      </c>
      <c r="D6362" t="inlineStr">
        <is>
          <t>VÄSTERNORRLANDS LÄN</t>
        </is>
      </c>
      <c r="E6362" t="inlineStr">
        <is>
          <t>ÖRNSKÖLDSVIK</t>
        </is>
      </c>
      <c r="F6362" t="inlineStr">
        <is>
          <t>Holmen skog AB</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34362-2022</t>
        </is>
      </c>
      <c r="B6363" s="1" t="n">
        <v>44792</v>
      </c>
      <c r="C6363" s="1" t="n">
        <v>45657</v>
      </c>
      <c r="D6363" t="inlineStr">
        <is>
          <t>VÄSTERNORRLANDS LÄN</t>
        </is>
      </c>
      <c r="E6363" t="inlineStr">
        <is>
          <t>KRAMFORS</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34449-2022</t>
        </is>
      </c>
      <c r="B6364" s="1" t="n">
        <v>44792</v>
      </c>
      <c r="C6364" s="1" t="n">
        <v>45657</v>
      </c>
      <c r="D6364" t="inlineStr">
        <is>
          <t>VÄSTERNORRLANDS LÄN</t>
        </is>
      </c>
      <c r="E6364" t="inlineStr">
        <is>
          <t>ÖRNSKÖLDSVIK</t>
        </is>
      </c>
      <c r="F6364" t="inlineStr">
        <is>
          <t>Holmen skog AB</t>
        </is>
      </c>
      <c r="G6364" t="n">
        <v>23.5</v>
      </c>
      <c r="H6364" t="n">
        <v>0</v>
      </c>
      <c r="I6364" t="n">
        <v>0</v>
      </c>
      <c r="J6364" t="n">
        <v>0</v>
      </c>
      <c r="K6364" t="n">
        <v>0</v>
      </c>
      <c r="L6364" t="n">
        <v>0</v>
      </c>
      <c r="M6364" t="n">
        <v>0</v>
      </c>
      <c r="N6364" t="n">
        <v>0</v>
      </c>
      <c r="O6364" t="n">
        <v>0</v>
      </c>
      <c r="P6364" t="n">
        <v>0</v>
      </c>
      <c r="Q6364" t="n">
        <v>0</v>
      </c>
      <c r="R6364" s="2" t="inlineStr"/>
    </row>
    <row r="6365" ht="15" customHeight="1">
      <c r="A6365" t="inlineStr">
        <is>
          <t>A 34513-2022</t>
        </is>
      </c>
      <c r="B6365" s="1" t="n">
        <v>44792</v>
      </c>
      <c r="C6365" s="1" t="n">
        <v>45657</v>
      </c>
      <c r="D6365" t="inlineStr">
        <is>
          <t>VÄSTERNORRLANDS LÄN</t>
        </is>
      </c>
      <c r="E6365" t="inlineStr">
        <is>
          <t>HÄRNÖSAND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34518-2022</t>
        </is>
      </c>
      <c r="B6366" s="1" t="n">
        <v>44793</v>
      </c>
      <c r="C6366" s="1" t="n">
        <v>45657</v>
      </c>
      <c r="D6366" t="inlineStr">
        <is>
          <t>VÄSTERNORRLANDS LÄN</t>
        </is>
      </c>
      <c r="E6366" t="inlineStr">
        <is>
          <t>SOLLEFTEÅ</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34517-2022</t>
        </is>
      </c>
      <c r="B6367" s="1" t="n">
        <v>44793</v>
      </c>
      <c r="C6367" s="1" t="n">
        <v>45657</v>
      </c>
      <c r="D6367" t="inlineStr">
        <is>
          <t>VÄSTERNORRLANDS LÄN</t>
        </is>
      </c>
      <c r="E6367" t="inlineStr">
        <is>
          <t>SOLLEFTEÅ</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34527-2022</t>
        </is>
      </c>
      <c r="B6368" s="1" t="n">
        <v>44793</v>
      </c>
      <c r="C6368" s="1" t="n">
        <v>45657</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34534-2022</t>
        </is>
      </c>
      <c r="B6369" s="1" t="n">
        <v>44793</v>
      </c>
      <c r="C6369" s="1" t="n">
        <v>45657</v>
      </c>
      <c r="D6369" t="inlineStr">
        <is>
          <t>VÄSTERNORRLANDS LÄN</t>
        </is>
      </c>
      <c r="E6369" t="inlineStr">
        <is>
          <t>SOLLEFTEÅ</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34514-2022</t>
        </is>
      </c>
      <c r="B6370" s="1" t="n">
        <v>44792</v>
      </c>
      <c r="C6370" s="1" t="n">
        <v>45657</v>
      </c>
      <c r="D6370" t="inlineStr">
        <is>
          <t>VÄSTERNORRLANDS LÄN</t>
        </is>
      </c>
      <c r="E6370" t="inlineStr">
        <is>
          <t>HÄRNÖSAND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34516-2022</t>
        </is>
      </c>
      <c r="B6371" s="1" t="n">
        <v>44792</v>
      </c>
      <c r="C6371" s="1" t="n">
        <v>45657</v>
      </c>
      <c r="D6371" t="inlineStr">
        <is>
          <t>VÄSTERNORRLANDS LÄN</t>
        </is>
      </c>
      <c r="E6371" t="inlineStr">
        <is>
          <t>SOLLEFTEÅ</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34648-2022</t>
        </is>
      </c>
      <c r="B6372" s="1" t="n">
        <v>44792</v>
      </c>
      <c r="C6372" s="1" t="n">
        <v>45657</v>
      </c>
      <c r="D6372" t="inlineStr">
        <is>
          <t>VÄSTERNORRLANDS LÄN</t>
        </is>
      </c>
      <c r="E6372" t="inlineStr">
        <is>
          <t>SOLLEFTEÅ</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34540-2022</t>
        </is>
      </c>
      <c r="B6373" s="1" t="n">
        <v>44793</v>
      </c>
      <c r="C6373" s="1" t="n">
        <v>45657</v>
      </c>
      <c r="D6373" t="inlineStr">
        <is>
          <t>VÄSTERNORRLANDS LÄN</t>
        </is>
      </c>
      <c r="E6373" t="inlineStr">
        <is>
          <t>KRAMFORS</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34545-2022</t>
        </is>
      </c>
      <c r="B6374" s="1" t="n">
        <v>44794</v>
      </c>
      <c r="C6374" s="1" t="n">
        <v>45657</v>
      </c>
      <c r="D6374" t="inlineStr">
        <is>
          <t>VÄSTERNORRLANDS LÄN</t>
        </is>
      </c>
      <c r="E6374" t="inlineStr">
        <is>
          <t>ÖRNSKÖLDSVIK</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34549-2022</t>
        </is>
      </c>
      <c r="B6375" s="1" t="n">
        <v>44793</v>
      </c>
      <c r="C6375" s="1" t="n">
        <v>45657</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34542-2022</t>
        </is>
      </c>
      <c r="B6376" s="1" t="n">
        <v>44793</v>
      </c>
      <c r="C6376" s="1" t="n">
        <v>45657</v>
      </c>
      <c r="D6376" t="inlineStr">
        <is>
          <t>VÄSTERNORRLANDS LÄN</t>
        </is>
      </c>
      <c r="E6376" t="inlineStr">
        <is>
          <t>SOLLEFTEÅ</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34546-2022</t>
        </is>
      </c>
      <c r="B6377" s="1" t="n">
        <v>44794</v>
      </c>
      <c r="C6377" s="1" t="n">
        <v>45657</v>
      </c>
      <c r="D6377" t="inlineStr">
        <is>
          <t>VÄSTERNORRLANDS LÄN</t>
        </is>
      </c>
      <c r="E6377" t="inlineStr">
        <is>
          <t>ÖRNSKÖLDSVIK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34543-2022</t>
        </is>
      </c>
      <c r="B6378" s="1" t="n">
        <v>44793</v>
      </c>
      <c r="C6378" s="1" t="n">
        <v>45657</v>
      </c>
      <c r="D6378" t="inlineStr">
        <is>
          <t>VÄSTERNORRLANDS LÄN</t>
        </is>
      </c>
      <c r="E6378" t="inlineStr">
        <is>
          <t>SOLLEFTEÅ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34554-2022</t>
        </is>
      </c>
      <c r="B6379" s="1" t="n">
        <v>44794</v>
      </c>
      <c r="C6379" s="1" t="n">
        <v>45657</v>
      </c>
      <c r="D6379" t="inlineStr">
        <is>
          <t>VÄSTERNORRLANDS LÄN</t>
        </is>
      </c>
      <c r="E6379" t="inlineStr">
        <is>
          <t>SUNDSVALL</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34552-2022</t>
        </is>
      </c>
      <c r="B6380" s="1" t="n">
        <v>44794</v>
      </c>
      <c r="C6380" s="1" t="n">
        <v>45657</v>
      </c>
      <c r="D6380" t="inlineStr">
        <is>
          <t>VÄSTERNORRLANDS LÄN</t>
        </is>
      </c>
      <c r="E6380" t="inlineStr">
        <is>
          <t>SOLLEFTEÅ</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34692-2022</t>
        </is>
      </c>
      <c r="B6381" s="1" t="n">
        <v>44795</v>
      </c>
      <c r="C6381" s="1" t="n">
        <v>45657</v>
      </c>
      <c r="D6381" t="inlineStr">
        <is>
          <t>VÄSTERNORRLANDS LÄN</t>
        </is>
      </c>
      <c r="E6381" t="inlineStr">
        <is>
          <t>ÖRNSKÖLDSVIK</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34744-2022</t>
        </is>
      </c>
      <c r="B6382" s="1" t="n">
        <v>44795</v>
      </c>
      <c r="C6382" s="1" t="n">
        <v>45657</v>
      </c>
      <c r="D6382" t="inlineStr">
        <is>
          <t>VÄSTERNORRLANDS LÄN</t>
        </is>
      </c>
      <c r="E6382" t="inlineStr">
        <is>
          <t>SUNDSVALL</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34784-2022</t>
        </is>
      </c>
      <c r="B6383" s="1" t="n">
        <v>44795</v>
      </c>
      <c r="C6383" s="1" t="n">
        <v>45657</v>
      </c>
      <c r="D6383" t="inlineStr">
        <is>
          <t>VÄSTERNORRLANDS LÄN</t>
        </is>
      </c>
      <c r="E6383" t="inlineStr">
        <is>
          <t>KRAMFORS</t>
        </is>
      </c>
      <c r="F6383" t="inlineStr">
        <is>
          <t>SCA</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34804-2022</t>
        </is>
      </c>
      <c r="B6384" s="1" t="n">
        <v>44796</v>
      </c>
      <c r="C6384" s="1" t="n">
        <v>45657</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34812-2022</t>
        </is>
      </c>
      <c r="B6385" s="1" t="n">
        <v>44795</v>
      </c>
      <c r="C6385" s="1" t="n">
        <v>45657</v>
      </c>
      <c r="D6385" t="inlineStr">
        <is>
          <t>VÄSTERNORRLANDS LÄN</t>
        </is>
      </c>
      <c r="E6385" t="inlineStr">
        <is>
          <t>SUNDSVALL</t>
        </is>
      </c>
      <c r="F6385" t="inlineStr">
        <is>
          <t>SCA</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34904-2022</t>
        </is>
      </c>
      <c r="B6386" s="1" t="n">
        <v>44796</v>
      </c>
      <c r="C6386" s="1" t="n">
        <v>45657</v>
      </c>
      <c r="D6386" t="inlineStr">
        <is>
          <t>VÄSTERNORRLANDS LÄN</t>
        </is>
      </c>
      <c r="E6386" t="inlineStr">
        <is>
          <t>ÖRNSKÖLDSVIK</t>
        </is>
      </c>
      <c r="G6386" t="n">
        <v>9.699999999999999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35008-2022</t>
        </is>
      </c>
      <c r="B6387" s="1" t="n">
        <v>44796</v>
      </c>
      <c r="C6387" s="1" t="n">
        <v>45657</v>
      </c>
      <c r="D6387" t="inlineStr">
        <is>
          <t>VÄSTERNORRLANDS LÄN</t>
        </is>
      </c>
      <c r="E6387" t="inlineStr">
        <is>
          <t>SUNDSVALL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35004-2022</t>
        </is>
      </c>
      <c r="B6388" s="1" t="n">
        <v>44796</v>
      </c>
      <c r="C6388" s="1" t="n">
        <v>45657</v>
      </c>
      <c r="D6388" t="inlineStr">
        <is>
          <t>VÄSTERNORRLANDS LÄN</t>
        </is>
      </c>
      <c r="E6388" t="inlineStr">
        <is>
          <t>SUNDSVALL</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35002-2022</t>
        </is>
      </c>
      <c r="B6389" s="1" t="n">
        <v>44796</v>
      </c>
      <c r="C6389" s="1" t="n">
        <v>45657</v>
      </c>
      <c r="D6389" t="inlineStr">
        <is>
          <t>VÄSTERNORRLANDS LÄN</t>
        </is>
      </c>
      <c r="E6389" t="inlineStr">
        <is>
          <t>ÅNGE</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35019-2022</t>
        </is>
      </c>
      <c r="B6390" s="1" t="n">
        <v>44797</v>
      </c>
      <c r="C6390" s="1" t="n">
        <v>45657</v>
      </c>
      <c r="D6390" t="inlineStr">
        <is>
          <t>VÄSTERNORRLANDS LÄN</t>
        </is>
      </c>
      <c r="E6390" t="inlineStr">
        <is>
          <t>SOLLEFTEÅ</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35012-2022</t>
        </is>
      </c>
      <c r="B6391" s="1" t="n">
        <v>44797</v>
      </c>
      <c r="C6391" s="1" t="n">
        <v>45657</v>
      </c>
      <c r="D6391" t="inlineStr">
        <is>
          <t>VÄSTERNORRLANDS LÄN</t>
        </is>
      </c>
      <c r="E6391" t="inlineStr">
        <is>
          <t>ÖRNSKÖLDSVIK</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35026-2022</t>
        </is>
      </c>
      <c r="B6392" s="1" t="n">
        <v>44796</v>
      </c>
      <c r="C6392" s="1" t="n">
        <v>45657</v>
      </c>
      <c r="D6392" t="inlineStr">
        <is>
          <t>VÄSTERNORRLANDS LÄN</t>
        </is>
      </c>
      <c r="E6392" t="inlineStr">
        <is>
          <t>ÅNGE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35077-2022</t>
        </is>
      </c>
      <c r="B6393" s="1" t="n">
        <v>44797</v>
      </c>
      <c r="C6393" s="1" t="n">
        <v>45657</v>
      </c>
      <c r="D6393" t="inlineStr">
        <is>
          <t>VÄSTERNORRLANDS LÄN</t>
        </is>
      </c>
      <c r="E6393" t="inlineStr">
        <is>
          <t>ÖRNSKÖLDSVIK</t>
        </is>
      </c>
      <c r="F6393" t="inlineStr">
        <is>
          <t>Holmen skog AB</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35085-2022</t>
        </is>
      </c>
      <c r="B6394" s="1" t="n">
        <v>44797</v>
      </c>
      <c r="C6394" s="1" t="n">
        <v>45657</v>
      </c>
      <c r="D6394" t="inlineStr">
        <is>
          <t>VÄSTERNORRLANDS LÄN</t>
        </is>
      </c>
      <c r="E6394" t="inlineStr">
        <is>
          <t>ÖRNSKÖLDSVIK</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35075-2022</t>
        </is>
      </c>
      <c r="B6395" s="1" t="n">
        <v>44797</v>
      </c>
      <c r="C6395" s="1" t="n">
        <v>45657</v>
      </c>
      <c r="D6395" t="inlineStr">
        <is>
          <t>VÄSTERNORRLANDS LÄN</t>
        </is>
      </c>
      <c r="E6395" t="inlineStr">
        <is>
          <t>ÖRNSKÖLDSVIK</t>
        </is>
      </c>
      <c r="F6395" t="inlineStr">
        <is>
          <t>Holmen skog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35109-2022</t>
        </is>
      </c>
      <c r="B6396" s="1" t="n">
        <v>44797</v>
      </c>
      <c r="C6396" s="1" t="n">
        <v>45657</v>
      </c>
      <c r="D6396" t="inlineStr">
        <is>
          <t>VÄSTERNORRLANDS LÄN</t>
        </is>
      </c>
      <c r="E6396" t="inlineStr">
        <is>
          <t>ÖRNSKÖLDSVIK</t>
        </is>
      </c>
      <c r="F6396" t="inlineStr">
        <is>
          <t>Holmen skog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35066-2022</t>
        </is>
      </c>
      <c r="B6397" s="1" t="n">
        <v>44797</v>
      </c>
      <c r="C6397" s="1" t="n">
        <v>45657</v>
      </c>
      <c r="D6397" t="inlineStr">
        <is>
          <t>VÄSTERNORRLANDS LÄN</t>
        </is>
      </c>
      <c r="E6397" t="inlineStr">
        <is>
          <t>ÖRNSKÖLDSVIK</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35204-2022</t>
        </is>
      </c>
      <c r="B6398" s="1" t="n">
        <v>44797</v>
      </c>
      <c r="C6398" s="1" t="n">
        <v>45657</v>
      </c>
      <c r="D6398" t="inlineStr">
        <is>
          <t>VÄSTERNORRLANDS LÄN</t>
        </is>
      </c>
      <c r="E6398" t="inlineStr">
        <is>
          <t>ÖRNSKÖLDSVIK</t>
        </is>
      </c>
      <c r="F6398" t="inlineStr">
        <is>
          <t>Holmen skog AB</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35165-2022</t>
        </is>
      </c>
      <c r="B6399" s="1" t="n">
        <v>44797</v>
      </c>
      <c r="C6399" s="1" t="n">
        <v>45657</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35229-2022</t>
        </is>
      </c>
      <c r="B6400" s="1" t="n">
        <v>44798</v>
      </c>
      <c r="C6400" s="1" t="n">
        <v>45657</v>
      </c>
      <c r="D6400" t="inlineStr">
        <is>
          <t>VÄSTERNORRLANDS LÄN</t>
        </is>
      </c>
      <c r="E6400" t="inlineStr">
        <is>
          <t>SOLLEFTEÅ</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35262-2022</t>
        </is>
      </c>
      <c r="B6401" s="1" t="n">
        <v>44797</v>
      </c>
      <c r="C6401" s="1" t="n">
        <v>45657</v>
      </c>
      <c r="D6401" t="inlineStr">
        <is>
          <t>VÄSTERNORRLANDS LÄN</t>
        </is>
      </c>
      <c r="E6401" t="inlineStr">
        <is>
          <t>ÖRNSKÖLDSVIK</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35250-2022</t>
        </is>
      </c>
      <c r="B6402" s="1" t="n">
        <v>44798</v>
      </c>
      <c r="C6402" s="1" t="n">
        <v>45657</v>
      </c>
      <c r="D6402" t="inlineStr">
        <is>
          <t>VÄSTERNORRLANDS LÄN</t>
        </is>
      </c>
      <c r="E6402" t="inlineStr">
        <is>
          <t>ÖRNSKÖLDSVIK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35269-2022</t>
        </is>
      </c>
      <c r="B6403" s="1" t="n">
        <v>44798</v>
      </c>
      <c r="C6403" s="1" t="n">
        <v>45657</v>
      </c>
      <c r="D6403" t="inlineStr">
        <is>
          <t>VÄSTERNORRLANDS LÄN</t>
        </is>
      </c>
      <c r="E6403" t="inlineStr">
        <is>
          <t>ÖRNSKÖLDSVIK</t>
        </is>
      </c>
      <c r="F6403" t="inlineStr">
        <is>
          <t>Kyrkan</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35283-2022</t>
        </is>
      </c>
      <c r="B6404" s="1" t="n">
        <v>44798</v>
      </c>
      <c r="C6404" s="1" t="n">
        <v>45657</v>
      </c>
      <c r="D6404" t="inlineStr">
        <is>
          <t>VÄSTERNORRLANDS LÄN</t>
        </is>
      </c>
      <c r="E6404" t="inlineStr">
        <is>
          <t>ÅNGE</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35276-2022</t>
        </is>
      </c>
      <c r="B6405" s="1" t="n">
        <v>44798</v>
      </c>
      <c r="C6405" s="1" t="n">
        <v>45657</v>
      </c>
      <c r="D6405" t="inlineStr">
        <is>
          <t>VÄSTERNORRLANDS LÄN</t>
        </is>
      </c>
      <c r="E6405" t="inlineStr">
        <is>
          <t>ÅNGE</t>
        </is>
      </c>
      <c r="G6405" t="n">
        <v>15.2</v>
      </c>
      <c r="H6405" t="n">
        <v>0</v>
      </c>
      <c r="I6405" t="n">
        <v>0</v>
      </c>
      <c r="J6405" t="n">
        <v>0</v>
      </c>
      <c r="K6405" t="n">
        <v>0</v>
      </c>
      <c r="L6405" t="n">
        <v>0</v>
      </c>
      <c r="M6405" t="n">
        <v>0</v>
      </c>
      <c r="N6405" t="n">
        <v>0</v>
      </c>
      <c r="O6405" t="n">
        <v>0</v>
      </c>
      <c r="P6405" t="n">
        <v>0</v>
      </c>
      <c r="Q6405" t="n">
        <v>0</v>
      </c>
      <c r="R6405" s="2" t="inlineStr"/>
    </row>
    <row r="6406" ht="15" customHeight="1">
      <c r="A6406" t="inlineStr">
        <is>
          <t>A 35341-2022</t>
        </is>
      </c>
      <c r="B6406" s="1" t="n">
        <v>44798</v>
      </c>
      <c r="C6406" s="1" t="n">
        <v>45657</v>
      </c>
      <c r="D6406" t="inlineStr">
        <is>
          <t>VÄSTERNORRLANDS LÄN</t>
        </is>
      </c>
      <c r="E6406" t="inlineStr">
        <is>
          <t>ÖRNSKÖLDSVIK</t>
        </is>
      </c>
      <c r="F6406" t="inlineStr">
        <is>
          <t>Holmen skog AB</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35248-2022</t>
        </is>
      </c>
      <c r="B6407" s="1" t="n">
        <v>44798</v>
      </c>
      <c r="C6407" s="1" t="n">
        <v>45657</v>
      </c>
      <c r="D6407" t="inlineStr">
        <is>
          <t>VÄSTERNORRLANDS LÄN</t>
        </is>
      </c>
      <c r="E6407" t="inlineStr">
        <is>
          <t>ÖRNSKÖLDSVIK</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35307-2022</t>
        </is>
      </c>
      <c r="B6408" s="1" t="n">
        <v>44798</v>
      </c>
      <c r="C6408" s="1" t="n">
        <v>45657</v>
      </c>
      <c r="D6408" t="inlineStr">
        <is>
          <t>VÄSTERNORRLANDS LÄN</t>
        </is>
      </c>
      <c r="E6408" t="inlineStr">
        <is>
          <t>SUNDSVALL</t>
        </is>
      </c>
      <c r="F6408" t="inlineStr">
        <is>
          <t>Holmen skog AB</t>
        </is>
      </c>
      <c r="G6408" t="n">
        <v>13.4</v>
      </c>
      <c r="H6408" t="n">
        <v>0</v>
      </c>
      <c r="I6408" t="n">
        <v>0</v>
      </c>
      <c r="J6408" t="n">
        <v>0</v>
      </c>
      <c r="K6408" t="n">
        <v>0</v>
      </c>
      <c r="L6408" t="n">
        <v>0</v>
      </c>
      <c r="M6408" t="n">
        <v>0</v>
      </c>
      <c r="N6408" t="n">
        <v>0</v>
      </c>
      <c r="O6408" t="n">
        <v>0</v>
      </c>
      <c r="P6408" t="n">
        <v>0</v>
      </c>
      <c r="Q6408" t="n">
        <v>0</v>
      </c>
      <c r="R6408" s="2" t="inlineStr"/>
    </row>
    <row r="6409" ht="15" customHeight="1">
      <c r="A6409" t="inlineStr">
        <is>
          <t>A 35314-2022</t>
        </is>
      </c>
      <c r="B6409" s="1" t="n">
        <v>44798</v>
      </c>
      <c r="C6409" s="1" t="n">
        <v>45657</v>
      </c>
      <c r="D6409" t="inlineStr">
        <is>
          <t>VÄSTERNORRLANDS LÄN</t>
        </is>
      </c>
      <c r="E6409" t="inlineStr">
        <is>
          <t>SUNDSVALL</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35266-2022</t>
        </is>
      </c>
      <c r="B6410" s="1" t="n">
        <v>44798</v>
      </c>
      <c r="C6410" s="1" t="n">
        <v>45657</v>
      </c>
      <c r="D6410" t="inlineStr">
        <is>
          <t>VÄSTERNORRLANDS LÄN</t>
        </is>
      </c>
      <c r="E6410" t="inlineStr">
        <is>
          <t>ÖRNSKÖLDSVIK</t>
        </is>
      </c>
      <c r="F6410" t="inlineStr">
        <is>
          <t>Kyrkan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35408-2022</t>
        </is>
      </c>
      <c r="B6411" s="1" t="n">
        <v>44798</v>
      </c>
      <c r="C6411" s="1" t="n">
        <v>45657</v>
      </c>
      <c r="D6411" t="inlineStr">
        <is>
          <t>VÄSTERNORRLANDS LÄN</t>
        </is>
      </c>
      <c r="E6411" t="inlineStr">
        <is>
          <t>ÖRNSKÖLDSVIK</t>
        </is>
      </c>
      <c r="F6411" t="inlineStr">
        <is>
          <t>Holmen skog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35415-2022</t>
        </is>
      </c>
      <c r="B6412" s="1" t="n">
        <v>44798</v>
      </c>
      <c r="C6412" s="1" t="n">
        <v>45657</v>
      </c>
      <c r="D6412" t="inlineStr">
        <is>
          <t>VÄSTERNORRLANDS LÄN</t>
        </is>
      </c>
      <c r="E6412" t="inlineStr">
        <is>
          <t>ÖRNSKÖLDSVIK</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35451-2022</t>
        </is>
      </c>
      <c r="B6413" s="1" t="n">
        <v>44798</v>
      </c>
      <c r="C6413" s="1" t="n">
        <v>45657</v>
      </c>
      <c r="D6413" t="inlineStr">
        <is>
          <t>VÄSTERNORRLANDS LÄN</t>
        </is>
      </c>
      <c r="E6413" t="inlineStr">
        <is>
          <t>ÖRNSKÖLDSVIK</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35475-2022</t>
        </is>
      </c>
      <c r="B6414" s="1" t="n">
        <v>44798</v>
      </c>
      <c r="C6414" s="1" t="n">
        <v>45657</v>
      </c>
      <c r="D6414" t="inlineStr">
        <is>
          <t>VÄSTERNORRLANDS LÄN</t>
        </is>
      </c>
      <c r="E6414" t="inlineStr">
        <is>
          <t>ÖRNSKÖLDSVIK</t>
        </is>
      </c>
      <c r="F6414" t="inlineStr">
        <is>
          <t>Holmen skog AB</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35442-2022</t>
        </is>
      </c>
      <c r="B6415" s="1" t="n">
        <v>44798</v>
      </c>
      <c r="C6415" s="1" t="n">
        <v>45657</v>
      </c>
      <c r="D6415" t="inlineStr">
        <is>
          <t>VÄSTERNORRLANDS LÄN</t>
        </is>
      </c>
      <c r="E6415" t="inlineStr">
        <is>
          <t>KRAMFORS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35483-2022</t>
        </is>
      </c>
      <c r="B6416" s="1" t="n">
        <v>44799</v>
      </c>
      <c r="C6416" s="1" t="n">
        <v>45657</v>
      </c>
      <c r="D6416" t="inlineStr">
        <is>
          <t>VÄSTERNORRLANDS LÄN</t>
        </is>
      </c>
      <c r="E6416" t="inlineStr">
        <is>
          <t>SUNDSVALL</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35497-2022</t>
        </is>
      </c>
      <c r="B6417" s="1" t="n">
        <v>44798</v>
      </c>
      <c r="C6417" s="1" t="n">
        <v>45657</v>
      </c>
      <c r="D6417" t="inlineStr">
        <is>
          <t>VÄSTERNORRLANDS LÄN</t>
        </is>
      </c>
      <c r="E6417" t="inlineStr">
        <is>
          <t>ÅNGE</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35496-2022</t>
        </is>
      </c>
      <c r="B6418" s="1" t="n">
        <v>44798</v>
      </c>
      <c r="C6418" s="1" t="n">
        <v>45657</v>
      </c>
      <c r="D6418" t="inlineStr">
        <is>
          <t>VÄSTERNORRLANDS LÄN</t>
        </is>
      </c>
      <c r="E6418" t="inlineStr">
        <is>
          <t>ÅNGE</t>
        </is>
      </c>
      <c r="F6418" t="inlineStr">
        <is>
          <t>SCA</t>
        </is>
      </c>
      <c r="G6418" t="n">
        <v>15.6</v>
      </c>
      <c r="H6418" t="n">
        <v>0</v>
      </c>
      <c r="I6418" t="n">
        <v>0</v>
      </c>
      <c r="J6418" t="n">
        <v>0</v>
      </c>
      <c r="K6418" t="n">
        <v>0</v>
      </c>
      <c r="L6418" t="n">
        <v>0</v>
      </c>
      <c r="M6418" t="n">
        <v>0</v>
      </c>
      <c r="N6418" t="n">
        <v>0</v>
      </c>
      <c r="O6418" t="n">
        <v>0</v>
      </c>
      <c r="P6418" t="n">
        <v>0</v>
      </c>
      <c r="Q6418" t="n">
        <v>0</v>
      </c>
      <c r="R6418" s="2" t="inlineStr"/>
    </row>
    <row r="6419" ht="15" customHeight="1">
      <c r="A6419" t="inlineStr">
        <is>
          <t>A 35416-2022</t>
        </is>
      </c>
      <c r="B6419" s="1" t="n">
        <v>44798</v>
      </c>
      <c r="C6419" s="1" t="n">
        <v>45657</v>
      </c>
      <c r="D6419" t="inlineStr">
        <is>
          <t>VÄSTERNORRLANDS LÄN</t>
        </is>
      </c>
      <c r="E6419" t="inlineStr">
        <is>
          <t>ÖRNSKÖLDSVIK</t>
        </is>
      </c>
      <c r="F6419" t="inlineStr">
        <is>
          <t>Holmen skog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35477-2022</t>
        </is>
      </c>
      <c r="B6420" s="1" t="n">
        <v>44799</v>
      </c>
      <c r="C6420" s="1" t="n">
        <v>45657</v>
      </c>
      <c r="D6420" t="inlineStr">
        <is>
          <t>VÄSTERNORRLANDS LÄN</t>
        </is>
      </c>
      <c r="E6420" t="inlineStr">
        <is>
          <t>TIMRÅ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35481-2022</t>
        </is>
      </c>
      <c r="B6421" s="1" t="n">
        <v>44798</v>
      </c>
      <c r="C6421" s="1" t="n">
        <v>45657</v>
      </c>
      <c r="D6421" t="inlineStr">
        <is>
          <t>VÄSTERNORRLANDS LÄN</t>
        </is>
      </c>
      <c r="E6421" t="inlineStr">
        <is>
          <t>SUNDSVALL</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35509-2022</t>
        </is>
      </c>
      <c r="B6422" s="1" t="n">
        <v>44798</v>
      </c>
      <c r="C6422" s="1" t="n">
        <v>45657</v>
      </c>
      <c r="D6422" t="inlineStr">
        <is>
          <t>VÄSTERNORRLANDS LÄN</t>
        </is>
      </c>
      <c r="E6422" t="inlineStr">
        <is>
          <t>ÅNGE</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35507-2022</t>
        </is>
      </c>
      <c r="B6423" s="1" t="n">
        <v>44798</v>
      </c>
      <c r="C6423" s="1" t="n">
        <v>45657</v>
      </c>
      <c r="D6423" t="inlineStr">
        <is>
          <t>VÄSTERNORRLANDS LÄN</t>
        </is>
      </c>
      <c r="E6423" t="inlineStr">
        <is>
          <t>ÅNGE</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35448-2022</t>
        </is>
      </c>
      <c r="B6424" s="1" t="n">
        <v>44798</v>
      </c>
      <c r="C6424" s="1" t="n">
        <v>45657</v>
      </c>
      <c r="D6424" t="inlineStr">
        <is>
          <t>VÄSTERNORRLANDS LÄN</t>
        </is>
      </c>
      <c r="E6424" t="inlineStr">
        <is>
          <t>TIMRÅ</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35480-2022</t>
        </is>
      </c>
      <c r="B6425" s="1" t="n">
        <v>44798</v>
      </c>
      <c r="C6425" s="1" t="n">
        <v>45657</v>
      </c>
      <c r="D6425" t="inlineStr">
        <is>
          <t>VÄSTERNORRLANDS LÄN</t>
        </is>
      </c>
      <c r="E6425" t="inlineStr">
        <is>
          <t>SUNDSVALL</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35484-2022</t>
        </is>
      </c>
      <c r="B6426" s="1" t="n">
        <v>44799</v>
      </c>
      <c r="C6426" s="1" t="n">
        <v>45657</v>
      </c>
      <c r="D6426" t="inlineStr">
        <is>
          <t>VÄSTERNORRLANDS LÄN</t>
        </is>
      </c>
      <c r="E6426" t="inlineStr">
        <is>
          <t>SUNDSVALL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35498-2022</t>
        </is>
      </c>
      <c r="B6427" s="1" t="n">
        <v>44799</v>
      </c>
      <c r="C6427" s="1" t="n">
        <v>45657</v>
      </c>
      <c r="D6427" t="inlineStr">
        <is>
          <t>VÄSTERNORRLANDS LÄN</t>
        </is>
      </c>
      <c r="E6427" t="inlineStr">
        <is>
          <t>ÅNGE</t>
        </is>
      </c>
      <c r="F6427" t="inlineStr">
        <is>
          <t>SCA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35508-2022</t>
        </is>
      </c>
      <c r="B6428" s="1" t="n">
        <v>44798</v>
      </c>
      <c r="C6428" s="1" t="n">
        <v>45657</v>
      </c>
      <c r="D6428" t="inlineStr">
        <is>
          <t>VÄSTERNORRLANDS LÄN</t>
        </is>
      </c>
      <c r="E6428" t="inlineStr">
        <is>
          <t>ÅNGE</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35747-2022</t>
        </is>
      </c>
      <c r="B6429" s="1" t="n">
        <v>44799</v>
      </c>
      <c r="C6429" s="1" t="n">
        <v>45657</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35758-2022</t>
        </is>
      </c>
      <c r="B6430" s="1" t="n">
        <v>44799</v>
      </c>
      <c r="C6430" s="1" t="n">
        <v>45657</v>
      </c>
      <c r="D6430" t="inlineStr">
        <is>
          <t>VÄSTERNORRLANDS LÄN</t>
        </is>
      </c>
      <c r="E6430" t="inlineStr">
        <is>
          <t>TIMRÅ</t>
        </is>
      </c>
      <c r="F6430" t="inlineStr">
        <is>
          <t>SCA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35750-2022</t>
        </is>
      </c>
      <c r="B6431" s="1" t="n">
        <v>44800</v>
      </c>
      <c r="C6431" s="1" t="n">
        <v>45657</v>
      </c>
      <c r="D6431" t="inlineStr">
        <is>
          <t>VÄSTERNORRLANDS LÄN</t>
        </is>
      </c>
      <c r="E6431" t="inlineStr">
        <is>
          <t>SUNDSVALL</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35797-2022</t>
        </is>
      </c>
      <c r="B6432" s="1" t="n">
        <v>44802</v>
      </c>
      <c r="C6432" s="1" t="n">
        <v>45657</v>
      </c>
      <c r="D6432" t="inlineStr">
        <is>
          <t>VÄSTERNORRLANDS LÄN</t>
        </is>
      </c>
      <c r="E6432" t="inlineStr">
        <is>
          <t>SOLLEFTEÅ</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35867-2022</t>
        </is>
      </c>
      <c r="B6433" s="1" t="n">
        <v>44802</v>
      </c>
      <c r="C6433" s="1" t="n">
        <v>45657</v>
      </c>
      <c r="D6433" t="inlineStr">
        <is>
          <t>VÄSTERNORRLANDS LÄN</t>
        </is>
      </c>
      <c r="E6433" t="inlineStr">
        <is>
          <t>KRAMFORS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36080-2022</t>
        </is>
      </c>
      <c r="B6434" s="1" t="n">
        <v>44803</v>
      </c>
      <c r="C6434" s="1" t="n">
        <v>45657</v>
      </c>
      <c r="D6434" t="inlineStr">
        <is>
          <t>VÄSTERNORRLANDS LÄN</t>
        </is>
      </c>
      <c r="E6434" t="inlineStr">
        <is>
          <t>SOLLEFTEÅ</t>
        </is>
      </c>
      <c r="F6434" t="inlineStr">
        <is>
          <t>SCA</t>
        </is>
      </c>
      <c r="G6434" t="n">
        <v>78.2</v>
      </c>
      <c r="H6434" t="n">
        <v>0</v>
      </c>
      <c r="I6434" t="n">
        <v>0</v>
      </c>
      <c r="J6434" t="n">
        <v>0</v>
      </c>
      <c r="K6434" t="n">
        <v>0</v>
      </c>
      <c r="L6434" t="n">
        <v>0</v>
      </c>
      <c r="M6434" t="n">
        <v>0</v>
      </c>
      <c r="N6434" t="n">
        <v>0</v>
      </c>
      <c r="O6434" t="n">
        <v>0</v>
      </c>
      <c r="P6434" t="n">
        <v>0</v>
      </c>
      <c r="Q6434" t="n">
        <v>0</v>
      </c>
      <c r="R6434" s="2" t="inlineStr"/>
    </row>
    <row r="6435" ht="15" customHeight="1">
      <c r="A6435" t="inlineStr">
        <is>
          <t>A 36089-2022</t>
        </is>
      </c>
      <c r="B6435" s="1" t="n">
        <v>44802</v>
      </c>
      <c r="C6435" s="1" t="n">
        <v>45657</v>
      </c>
      <c r="D6435" t="inlineStr">
        <is>
          <t>VÄSTERNORRLANDS LÄN</t>
        </is>
      </c>
      <c r="E6435" t="inlineStr">
        <is>
          <t>KRAMFORS</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35923-2022</t>
        </is>
      </c>
      <c r="B6436" s="1" t="n">
        <v>44802</v>
      </c>
      <c r="C6436" s="1" t="n">
        <v>45657</v>
      </c>
      <c r="D6436" t="inlineStr">
        <is>
          <t>VÄSTERNORRLANDS LÄN</t>
        </is>
      </c>
      <c r="E6436" t="inlineStr">
        <is>
          <t>SUNDSVALL</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35944-2022</t>
        </is>
      </c>
      <c r="B6437" s="1" t="n">
        <v>44802</v>
      </c>
      <c r="C6437" s="1" t="n">
        <v>45657</v>
      </c>
      <c r="D6437" t="inlineStr">
        <is>
          <t>VÄSTERNORRLANDS LÄN</t>
        </is>
      </c>
      <c r="E6437" t="inlineStr">
        <is>
          <t>KRAMFORS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36086-2022</t>
        </is>
      </c>
      <c r="B6438" s="1" t="n">
        <v>44803</v>
      </c>
      <c r="C6438" s="1" t="n">
        <v>45657</v>
      </c>
      <c r="D6438" t="inlineStr">
        <is>
          <t>VÄSTERNORRLANDS LÄN</t>
        </is>
      </c>
      <c r="E6438" t="inlineStr">
        <is>
          <t>HÄRNÖSAND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36088-2022</t>
        </is>
      </c>
      <c r="B6439" s="1" t="n">
        <v>44802</v>
      </c>
      <c r="C6439" s="1" t="n">
        <v>45657</v>
      </c>
      <c r="D6439" t="inlineStr">
        <is>
          <t>VÄSTERNORRLANDS LÄN</t>
        </is>
      </c>
      <c r="E6439" t="inlineStr">
        <is>
          <t>HÄRNÖSAND</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36110-2022</t>
        </is>
      </c>
      <c r="B6440" s="1" t="n">
        <v>44802</v>
      </c>
      <c r="C6440" s="1" t="n">
        <v>45657</v>
      </c>
      <c r="D6440" t="inlineStr">
        <is>
          <t>VÄSTERNORRLANDS LÄN</t>
        </is>
      </c>
      <c r="E6440" t="inlineStr">
        <is>
          <t>SUNDSVALL</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36078-2022</t>
        </is>
      </c>
      <c r="B6441" s="1" t="n">
        <v>44803</v>
      </c>
      <c r="C6441" s="1" t="n">
        <v>45657</v>
      </c>
      <c r="D6441" t="inlineStr">
        <is>
          <t>VÄSTERNORRLANDS LÄN</t>
        </is>
      </c>
      <c r="E6441" t="inlineStr">
        <is>
          <t>SOLLEFTEÅ</t>
        </is>
      </c>
      <c r="F6441" t="inlineStr">
        <is>
          <t>SCA</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36087-2022</t>
        </is>
      </c>
      <c r="B6442" s="1" t="n">
        <v>44803</v>
      </c>
      <c r="C6442" s="1" t="n">
        <v>45657</v>
      </c>
      <c r="D6442" t="inlineStr">
        <is>
          <t>VÄSTERNORRLANDS LÄN</t>
        </is>
      </c>
      <c r="E6442" t="inlineStr">
        <is>
          <t>HÄRNÖSAND</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36146-2022</t>
        </is>
      </c>
      <c r="B6443" s="1" t="n">
        <v>44803</v>
      </c>
      <c r="C6443" s="1" t="n">
        <v>45657</v>
      </c>
      <c r="D6443" t="inlineStr">
        <is>
          <t>VÄSTERNORRLANDS LÄN</t>
        </is>
      </c>
      <c r="E6443" t="inlineStr">
        <is>
          <t>ÖRNSKÖLDSVIK</t>
        </is>
      </c>
      <c r="F6443" t="inlineStr">
        <is>
          <t>Holmen skog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36163-2022</t>
        </is>
      </c>
      <c r="B6444" s="1" t="n">
        <v>44803</v>
      </c>
      <c r="C6444" s="1" t="n">
        <v>45657</v>
      </c>
      <c r="D6444" t="inlineStr">
        <is>
          <t>VÄSTERNORRLANDS LÄN</t>
        </is>
      </c>
      <c r="E6444" t="inlineStr">
        <is>
          <t>ÖRNSKÖLDSVIK</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36212-2022</t>
        </is>
      </c>
      <c r="B6445" s="1" t="n">
        <v>44803</v>
      </c>
      <c r="C6445" s="1" t="n">
        <v>45657</v>
      </c>
      <c r="D6445" t="inlineStr">
        <is>
          <t>VÄSTERNORRLANDS LÄN</t>
        </is>
      </c>
      <c r="E6445" t="inlineStr">
        <is>
          <t>KRAMFORS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36144-2022</t>
        </is>
      </c>
      <c r="B6446" s="1" t="n">
        <v>44803</v>
      </c>
      <c r="C6446" s="1" t="n">
        <v>45657</v>
      </c>
      <c r="D6446" t="inlineStr">
        <is>
          <t>VÄSTERNORRLANDS LÄN</t>
        </is>
      </c>
      <c r="E6446" t="inlineStr">
        <is>
          <t>ÖRNSKÖLDSVIK</t>
        </is>
      </c>
      <c r="F6446" t="inlineStr">
        <is>
          <t>Holmen skog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36151-2022</t>
        </is>
      </c>
      <c r="B6447" s="1" t="n">
        <v>44803</v>
      </c>
      <c r="C6447" s="1" t="n">
        <v>45657</v>
      </c>
      <c r="D6447" t="inlineStr">
        <is>
          <t>VÄSTERNORRLANDS LÄN</t>
        </is>
      </c>
      <c r="E6447" t="inlineStr">
        <is>
          <t>ÖRNSKÖLDSVIK</t>
        </is>
      </c>
      <c r="F6447" t="inlineStr">
        <is>
          <t>Holmen skog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36209-2022</t>
        </is>
      </c>
      <c r="B6448" s="1" t="n">
        <v>44803</v>
      </c>
      <c r="C6448" s="1" t="n">
        <v>45657</v>
      </c>
      <c r="D6448" t="inlineStr">
        <is>
          <t>VÄSTERNORRLANDS LÄN</t>
        </is>
      </c>
      <c r="E6448" t="inlineStr">
        <is>
          <t>KRAMFORS</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36323-2022</t>
        </is>
      </c>
      <c r="B6449" s="1" t="n">
        <v>44803</v>
      </c>
      <c r="C6449" s="1" t="n">
        <v>45657</v>
      </c>
      <c r="D6449" t="inlineStr">
        <is>
          <t>VÄSTERNORRLANDS LÄN</t>
        </is>
      </c>
      <c r="E6449" t="inlineStr">
        <is>
          <t>ÖRNSKÖLDSVIK</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36362-2022</t>
        </is>
      </c>
      <c r="B6450" s="1" t="n">
        <v>44804</v>
      </c>
      <c r="C6450" s="1" t="n">
        <v>45657</v>
      </c>
      <c r="D6450" t="inlineStr">
        <is>
          <t>VÄSTERNORRLANDS LÄN</t>
        </is>
      </c>
      <c r="E6450" t="inlineStr">
        <is>
          <t>KRAMFORS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36368-2022</t>
        </is>
      </c>
      <c r="B6451" s="1" t="n">
        <v>44804</v>
      </c>
      <c r="C6451" s="1" t="n">
        <v>45657</v>
      </c>
      <c r="D6451" t="inlineStr">
        <is>
          <t>VÄSTERNORRLANDS LÄN</t>
        </is>
      </c>
      <c r="E6451" t="inlineStr">
        <is>
          <t>SOLLEFTEÅ</t>
        </is>
      </c>
      <c r="F6451" t="inlineStr">
        <is>
          <t>SCA</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36366-2022</t>
        </is>
      </c>
      <c r="B6452" s="1" t="n">
        <v>44804</v>
      </c>
      <c r="C6452" s="1" t="n">
        <v>45657</v>
      </c>
      <c r="D6452" t="inlineStr">
        <is>
          <t>VÄSTERNORRLANDS LÄN</t>
        </is>
      </c>
      <c r="E6452" t="inlineStr">
        <is>
          <t>KRAMFORS</t>
        </is>
      </c>
      <c r="F6452" t="inlineStr">
        <is>
          <t>SCA</t>
        </is>
      </c>
      <c r="G6452" t="n">
        <v>11.7</v>
      </c>
      <c r="H6452" t="n">
        <v>0</v>
      </c>
      <c r="I6452" t="n">
        <v>0</v>
      </c>
      <c r="J6452" t="n">
        <v>0</v>
      </c>
      <c r="K6452" t="n">
        <v>0</v>
      </c>
      <c r="L6452" t="n">
        <v>0</v>
      </c>
      <c r="M6452" t="n">
        <v>0</v>
      </c>
      <c r="N6452" t="n">
        <v>0</v>
      </c>
      <c r="O6452" t="n">
        <v>0</v>
      </c>
      <c r="P6452" t="n">
        <v>0</v>
      </c>
      <c r="Q6452" t="n">
        <v>0</v>
      </c>
      <c r="R6452" s="2" t="inlineStr"/>
    </row>
    <row r="6453" ht="15" customHeight="1">
      <c r="A6453" t="inlineStr">
        <is>
          <t>A 36363-2022</t>
        </is>
      </c>
      <c r="B6453" s="1" t="n">
        <v>44803</v>
      </c>
      <c r="C6453" s="1" t="n">
        <v>45657</v>
      </c>
      <c r="D6453" t="inlineStr">
        <is>
          <t>VÄSTERNORRLANDS LÄN</t>
        </is>
      </c>
      <c r="E6453" t="inlineStr">
        <is>
          <t>KRAMFORS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36367-2022</t>
        </is>
      </c>
      <c r="B6454" s="1" t="n">
        <v>44804</v>
      </c>
      <c r="C6454" s="1" t="n">
        <v>45657</v>
      </c>
      <c r="D6454" t="inlineStr">
        <is>
          <t>VÄSTERNORRLANDS LÄN</t>
        </is>
      </c>
      <c r="E6454" t="inlineStr">
        <is>
          <t>SOLLEFTEÅ</t>
        </is>
      </c>
      <c r="F6454" t="inlineStr">
        <is>
          <t>SCA</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36401-2022</t>
        </is>
      </c>
      <c r="B6455" s="1" t="n">
        <v>44804</v>
      </c>
      <c r="C6455" s="1" t="n">
        <v>45657</v>
      </c>
      <c r="D6455" t="inlineStr">
        <is>
          <t>VÄSTERNORRLANDS LÄN</t>
        </is>
      </c>
      <c r="E6455" t="inlineStr">
        <is>
          <t>ÖRNSKÖLDSVIK</t>
        </is>
      </c>
      <c r="F6455" t="inlineStr">
        <is>
          <t>Holmen skog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36554-2022</t>
        </is>
      </c>
      <c r="B6456" s="1" t="n">
        <v>44804</v>
      </c>
      <c r="C6456" s="1" t="n">
        <v>45657</v>
      </c>
      <c r="D6456" t="inlineStr">
        <is>
          <t>VÄSTERNORRLANDS LÄN</t>
        </is>
      </c>
      <c r="E6456" t="inlineStr">
        <is>
          <t>ÖRNSKÖLDSVIK</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36564-2022</t>
        </is>
      </c>
      <c r="B6457" s="1" t="n">
        <v>44804</v>
      </c>
      <c r="C6457" s="1" t="n">
        <v>45657</v>
      </c>
      <c r="D6457" t="inlineStr">
        <is>
          <t>VÄSTERNORRLANDS LÄN</t>
        </is>
      </c>
      <c r="E6457" t="inlineStr">
        <is>
          <t>TIMRÅ</t>
        </is>
      </c>
      <c r="G6457" t="n">
        <v>16.6</v>
      </c>
      <c r="H6457" t="n">
        <v>0</v>
      </c>
      <c r="I6457" t="n">
        <v>0</v>
      </c>
      <c r="J6457" t="n">
        <v>0</v>
      </c>
      <c r="K6457" t="n">
        <v>0</v>
      </c>
      <c r="L6457" t="n">
        <v>0</v>
      </c>
      <c r="M6457" t="n">
        <v>0</v>
      </c>
      <c r="N6457" t="n">
        <v>0</v>
      </c>
      <c r="O6457" t="n">
        <v>0</v>
      </c>
      <c r="P6457" t="n">
        <v>0</v>
      </c>
      <c r="Q6457" t="n">
        <v>0</v>
      </c>
      <c r="R6457" s="2" t="inlineStr"/>
    </row>
    <row r="6458" ht="15" customHeight="1">
      <c r="A6458" t="inlineStr">
        <is>
          <t>A 36398-2022</t>
        </is>
      </c>
      <c r="B6458" s="1" t="n">
        <v>44804</v>
      </c>
      <c r="C6458" s="1" t="n">
        <v>45657</v>
      </c>
      <c r="D6458" t="inlineStr">
        <is>
          <t>VÄSTERNORRLANDS LÄN</t>
        </is>
      </c>
      <c r="E6458" t="inlineStr">
        <is>
          <t>ÖRNSKÖLDSVIK</t>
        </is>
      </c>
      <c r="F6458" t="inlineStr">
        <is>
          <t>Holmen skog AB</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36449-2022</t>
        </is>
      </c>
      <c r="B6459" s="1" t="n">
        <v>44804</v>
      </c>
      <c r="C6459" s="1" t="n">
        <v>45657</v>
      </c>
      <c r="D6459" t="inlineStr">
        <is>
          <t>VÄSTERNORRLANDS LÄN</t>
        </is>
      </c>
      <c r="E6459" t="inlineStr">
        <is>
          <t>ÖRNSKÖLDSVIK</t>
        </is>
      </c>
      <c r="F6459" t="inlineStr">
        <is>
          <t>Holmen skog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36596-2022</t>
        </is>
      </c>
      <c r="B6460" s="1" t="n">
        <v>44804</v>
      </c>
      <c r="C6460" s="1" t="n">
        <v>45657</v>
      </c>
      <c r="D6460" t="inlineStr">
        <is>
          <t>VÄSTERNORRLANDS LÄN</t>
        </is>
      </c>
      <c r="E6460" t="inlineStr">
        <is>
          <t>KRAMFORS</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36649-2022</t>
        </is>
      </c>
      <c r="B6461" s="1" t="n">
        <v>44804</v>
      </c>
      <c r="C6461" s="1" t="n">
        <v>45657</v>
      </c>
      <c r="D6461" t="inlineStr">
        <is>
          <t>VÄSTERNORRLANDS LÄN</t>
        </is>
      </c>
      <c r="E6461" t="inlineStr">
        <is>
          <t>HÄRNÖSAND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36644-2022</t>
        </is>
      </c>
      <c r="B6462" s="1" t="n">
        <v>44804</v>
      </c>
      <c r="C6462" s="1" t="n">
        <v>45657</v>
      </c>
      <c r="D6462" t="inlineStr">
        <is>
          <t>VÄSTERNORRLANDS LÄN</t>
        </is>
      </c>
      <c r="E6462" t="inlineStr">
        <is>
          <t>KRAMFORS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36594-2022</t>
        </is>
      </c>
      <c r="B6463" s="1" t="n">
        <v>44804</v>
      </c>
      <c r="C6463" s="1" t="n">
        <v>45657</v>
      </c>
      <c r="D6463" t="inlineStr">
        <is>
          <t>VÄSTERNORRLANDS LÄN</t>
        </is>
      </c>
      <c r="E6463" t="inlineStr">
        <is>
          <t>KRAMFORS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36671-2022</t>
        </is>
      </c>
      <c r="B6464" s="1" t="n">
        <v>44804</v>
      </c>
      <c r="C6464" s="1" t="n">
        <v>45657</v>
      </c>
      <c r="D6464" t="inlineStr">
        <is>
          <t>VÄSTERNORRLANDS LÄN</t>
        </is>
      </c>
      <c r="E6464" t="inlineStr">
        <is>
          <t>KRAMFORS</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36688-2022</t>
        </is>
      </c>
      <c r="B6465" s="1" t="n">
        <v>44804</v>
      </c>
      <c r="C6465" s="1" t="n">
        <v>45657</v>
      </c>
      <c r="D6465" t="inlineStr">
        <is>
          <t>VÄSTERNORRLANDS LÄN</t>
        </is>
      </c>
      <c r="E6465" t="inlineStr">
        <is>
          <t>SOLLEFTEÅ</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36605-2022</t>
        </is>
      </c>
      <c r="B6466" s="1" t="n">
        <v>44804</v>
      </c>
      <c r="C6466" s="1" t="n">
        <v>45657</v>
      </c>
      <c r="D6466" t="inlineStr">
        <is>
          <t>VÄSTERNORRLANDS LÄN</t>
        </is>
      </c>
      <c r="E6466" t="inlineStr">
        <is>
          <t>KRAMFORS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36647-2022</t>
        </is>
      </c>
      <c r="B6467" s="1" t="n">
        <v>44804</v>
      </c>
      <c r="C6467" s="1" t="n">
        <v>45657</v>
      </c>
      <c r="D6467" t="inlineStr">
        <is>
          <t>VÄSTERNORRLANDS LÄN</t>
        </is>
      </c>
      <c r="E6467" t="inlineStr">
        <is>
          <t>KRAMFORS</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36681-2022</t>
        </is>
      </c>
      <c r="B6468" s="1" t="n">
        <v>44804</v>
      </c>
      <c r="C6468" s="1" t="n">
        <v>45657</v>
      </c>
      <c r="D6468" t="inlineStr">
        <is>
          <t>VÄSTERNORRLANDS LÄN</t>
        </is>
      </c>
      <c r="E6468" t="inlineStr">
        <is>
          <t>SOLLEFTEÅ</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36694-2022</t>
        </is>
      </c>
      <c r="B6469" s="1" t="n">
        <v>44805</v>
      </c>
      <c r="C6469" s="1" t="n">
        <v>45657</v>
      </c>
      <c r="D6469" t="inlineStr">
        <is>
          <t>VÄSTERNORRLANDS LÄN</t>
        </is>
      </c>
      <c r="E6469" t="inlineStr">
        <is>
          <t>SUNDSVALL</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36704-2022</t>
        </is>
      </c>
      <c r="B6470" s="1" t="n">
        <v>44804</v>
      </c>
      <c r="C6470" s="1" t="n">
        <v>45657</v>
      </c>
      <c r="D6470" t="inlineStr">
        <is>
          <t>VÄSTERNORRLANDS LÄN</t>
        </is>
      </c>
      <c r="E6470" t="inlineStr">
        <is>
          <t>ÖRNSKÖLDSVIK</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36796-2022</t>
        </is>
      </c>
      <c r="B6471" s="1" t="n">
        <v>44805</v>
      </c>
      <c r="C6471" s="1" t="n">
        <v>45657</v>
      </c>
      <c r="D6471" t="inlineStr">
        <is>
          <t>VÄSTERNORRLANDS LÄN</t>
        </is>
      </c>
      <c r="E6471" t="inlineStr">
        <is>
          <t>ÖRNSKÖLDSVIK</t>
        </is>
      </c>
      <c r="F6471" t="inlineStr">
        <is>
          <t>Holmen skog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36777-2022</t>
        </is>
      </c>
      <c r="B6472" s="1" t="n">
        <v>44805</v>
      </c>
      <c r="C6472" s="1" t="n">
        <v>45657</v>
      </c>
      <c r="D6472" t="inlineStr">
        <is>
          <t>VÄSTERNORRLANDS LÄN</t>
        </is>
      </c>
      <c r="E6472" t="inlineStr">
        <is>
          <t>ÖRNSKÖLDSVIK</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36937-2022</t>
        </is>
      </c>
      <c r="B6473" s="1" t="n">
        <v>44806</v>
      </c>
      <c r="C6473" s="1" t="n">
        <v>45657</v>
      </c>
      <c r="D6473" t="inlineStr">
        <is>
          <t>VÄSTERNORRLANDS LÄN</t>
        </is>
      </c>
      <c r="E6473" t="inlineStr">
        <is>
          <t>ÅNGE</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36924-2022</t>
        </is>
      </c>
      <c r="B6474" s="1" t="n">
        <v>44805</v>
      </c>
      <c r="C6474" s="1" t="n">
        <v>45657</v>
      </c>
      <c r="D6474" t="inlineStr">
        <is>
          <t>VÄSTERNORRLANDS LÄN</t>
        </is>
      </c>
      <c r="E6474" t="inlineStr">
        <is>
          <t>ÅNGE</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37083-2022</t>
        </is>
      </c>
      <c r="B6475" s="1" t="n">
        <v>44805</v>
      </c>
      <c r="C6475" s="1" t="n">
        <v>45657</v>
      </c>
      <c r="D6475" t="inlineStr">
        <is>
          <t>VÄSTERNORRLANDS LÄN</t>
        </is>
      </c>
      <c r="E6475" t="inlineStr">
        <is>
          <t>ÖRNSKÖLDSVIK</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36926-2022</t>
        </is>
      </c>
      <c r="B6476" s="1" t="n">
        <v>44806</v>
      </c>
      <c r="C6476" s="1" t="n">
        <v>45657</v>
      </c>
      <c r="D6476" t="inlineStr">
        <is>
          <t>VÄSTERNORRLANDS LÄN</t>
        </is>
      </c>
      <c r="E6476" t="inlineStr">
        <is>
          <t>SOLLEFTEÅ</t>
        </is>
      </c>
      <c r="F6476" t="inlineStr">
        <is>
          <t>SCA</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36936-2022</t>
        </is>
      </c>
      <c r="B6477" s="1" t="n">
        <v>44805</v>
      </c>
      <c r="C6477" s="1" t="n">
        <v>45657</v>
      </c>
      <c r="D6477" t="inlineStr">
        <is>
          <t>VÄSTERNORRLANDS LÄN</t>
        </is>
      </c>
      <c r="E6477" t="inlineStr">
        <is>
          <t>ÅNGE</t>
        </is>
      </c>
      <c r="F6477" t="inlineStr">
        <is>
          <t>SCA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36998-2022</t>
        </is>
      </c>
      <c r="B6478" s="1" t="n">
        <v>44806</v>
      </c>
      <c r="C6478" s="1" t="n">
        <v>45657</v>
      </c>
      <c r="D6478" t="inlineStr">
        <is>
          <t>VÄSTERNORRLANDS LÄN</t>
        </is>
      </c>
      <c r="E6478" t="inlineStr">
        <is>
          <t>ÖRNSKÖLDSVIK</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37054-2022</t>
        </is>
      </c>
      <c r="B6479" s="1" t="n">
        <v>44806</v>
      </c>
      <c r="C6479" s="1" t="n">
        <v>45657</v>
      </c>
      <c r="D6479" t="inlineStr">
        <is>
          <t>VÄSTERNORRLANDS LÄN</t>
        </is>
      </c>
      <c r="E6479" t="inlineStr">
        <is>
          <t>ÖRNSKÖLDSVIK</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37149-2022</t>
        </is>
      </c>
      <c r="B6480" s="1" t="n">
        <v>44806</v>
      </c>
      <c r="C6480" s="1" t="n">
        <v>45657</v>
      </c>
      <c r="D6480" t="inlineStr">
        <is>
          <t>VÄSTERNORRLANDS LÄN</t>
        </is>
      </c>
      <c r="E6480" t="inlineStr">
        <is>
          <t>HÄRNÖSAND</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37015-2022</t>
        </is>
      </c>
      <c r="B6481" s="1" t="n">
        <v>44806</v>
      </c>
      <c r="C6481" s="1" t="n">
        <v>45657</v>
      </c>
      <c r="D6481" t="inlineStr">
        <is>
          <t>VÄSTERNORRLANDS LÄN</t>
        </is>
      </c>
      <c r="E6481" t="inlineStr">
        <is>
          <t>ÖRNSKÖLDSVIK</t>
        </is>
      </c>
      <c r="F6481" t="inlineStr">
        <is>
          <t>Holmen skog AB</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37190-2022</t>
        </is>
      </c>
      <c r="B6482" s="1" t="n">
        <v>44806</v>
      </c>
      <c r="C6482" s="1" t="n">
        <v>45657</v>
      </c>
      <c r="D6482" t="inlineStr">
        <is>
          <t>VÄSTERNORRLANDS LÄN</t>
        </is>
      </c>
      <c r="E6482" t="inlineStr">
        <is>
          <t>HÄRNÖSAND</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37240-2022</t>
        </is>
      </c>
      <c r="B6483" s="1" t="n">
        <v>44806</v>
      </c>
      <c r="C6483" s="1" t="n">
        <v>45657</v>
      </c>
      <c r="D6483" t="inlineStr">
        <is>
          <t>VÄSTERNORRLANDS LÄN</t>
        </is>
      </c>
      <c r="E6483" t="inlineStr">
        <is>
          <t>SUNDSVALL</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37172-2022</t>
        </is>
      </c>
      <c r="B6484" s="1" t="n">
        <v>44806</v>
      </c>
      <c r="C6484" s="1" t="n">
        <v>45657</v>
      </c>
      <c r="D6484" t="inlineStr">
        <is>
          <t>VÄSTERNORRLANDS LÄN</t>
        </is>
      </c>
      <c r="E6484" t="inlineStr">
        <is>
          <t>HÄRNÖSAND</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37225-2022</t>
        </is>
      </c>
      <c r="B6485" s="1" t="n">
        <v>44806</v>
      </c>
      <c r="C6485" s="1" t="n">
        <v>45657</v>
      </c>
      <c r="D6485" t="inlineStr">
        <is>
          <t>VÄSTERNORRLANDS LÄN</t>
        </is>
      </c>
      <c r="E6485" t="inlineStr">
        <is>
          <t>SUNDSVALL</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37242-2022</t>
        </is>
      </c>
      <c r="B6486" s="1" t="n">
        <v>44807</v>
      </c>
      <c r="C6486" s="1" t="n">
        <v>45657</v>
      </c>
      <c r="D6486" t="inlineStr">
        <is>
          <t>VÄSTERNORRLANDS LÄN</t>
        </is>
      </c>
      <c r="E6486" t="inlineStr">
        <is>
          <t>SOLLEFTEÅ</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37238-2022</t>
        </is>
      </c>
      <c r="B6487" s="1" t="n">
        <v>44806</v>
      </c>
      <c r="C6487" s="1" t="n">
        <v>45657</v>
      </c>
      <c r="D6487" t="inlineStr">
        <is>
          <t>VÄSTERNORRLANDS LÄN</t>
        </is>
      </c>
      <c r="E6487" t="inlineStr">
        <is>
          <t>SUNDSVALL</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37247-2022</t>
        </is>
      </c>
      <c r="B6488" s="1" t="n">
        <v>44807</v>
      </c>
      <c r="C6488" s="1" t="n">
        <v>45657</v>
      </c>
      <c r="D6488" t="inlineStr">
        <is>
          <t>VÄSTERNORRLANDS LÄN</t>
        </is>
      </c>
      <c r="E6488" t="inlineStr">
        <is>
          <t>ÖRNSKÖLDSVIK</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37541-2022</t>
        </is>
      </c>
      <c r="B6489" s="1" t="n">
        <v>44809</v>
      </c>
      <c r="C6489" s="1" t="n">
        <v>45657</v>
      </c>
      <c r="D6489" t="inlineStr">
        <is>
          <t>VÄSTERNORRLANDS LÄN</t>
        </is>
      </c>
      <c r="E6489" t="inlineStr">
        <is>
          <t>SUNDSVALL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37586-2022</t>
        </is>
      </c>
      <c r="B6490" s="1" t="n">
        <v>44810</v>
      </c>
      <c r="C6490" s="1" t="n">
        <v>45657</v>
      </c>
      <c r="D6490" t="inlineStr">
        <is>
          <t>VÄSTERNORRLANDS LÄN</t>
        </is>
      </c>
      <c r="E6490" t="inlineStr">
        <is>
          <t>HÄRNÖSAND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37589-2022</t>
        </is>
      </c>
      <c r="B6491" s="1" t="n">
        <v>44810</v>
      </c>
      <c r="C6491" s="1" t="n">
        <v>45657</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37596-2022</t>
        </is>
      </c>
      <c r="B6492" s="1" t="n">
        <v>44810</v>
      </c>
      <c r="C6492" s="1" t="n">
        <v>45657</v>
      </c>
      <c r="D6492" t="inlineStr">
        <is>
          <t>VÄSTERNORRLANDS LÄN</t>
        </is>
      </c>
      <c r="E6492" t="inlineStr">
        <is>
          <t>SOLLEFTEÅ</t>
        </is>
      </c>
      <c r="F6492" t="inlineStr">
        <is>
          <t>Holmen skog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37597-2022</t>
        </is>
      </c>
      <c r="B6493" s="1" t="n">
        <v>44810</v>
      </c>
      <c r="C6493" s="1" t="n">
        <v>45657</v>
      </c>
      <c r="D6493" t="inlineStr">
        <is>
          <t>VÄSTERNORRLANDS LÄN</t>
        </is>
      </c>
      <c r="E6493" t="inlineStr">
        <is>
          <t>SOLLEFTEÅ</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37619-2022</t>
        </is>
      </c>
      <c r="B6494" s="1" t="n">
        <v>44810</v>
      </c>
      <c r="C6494" s="1" t="n">
        <v>45657</v>
      </c>
      <c r="D6494" t="inlineStr">
        <is>
          <t>VÄSTERNORRLANDS LÄN</t>
        </is>
      </c>
      <c r="E6494" t="inlineStr">
        <is>
          <t>ÖRNSKÖLDSVIK</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37716-2022</t>
        </is>
      </c>
      <c r="B6495" s="1" t="n">
        <v>44810</v>
      </c>
      <c r="C6495" s="1" t="n">
        <v>45657</v>
      </c>
      <c r="D6495" t="inlineStr">
        <is>
          <t>VÄSTERNORRLANDS LÄN</t>
        </is>
      </c>
      <c r="E6495" t="inlineStr">
        <is>
          <t>ÖRNSKÖLDSVIK</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37839-2022</t>
        </is>
      </c>
      <c r="B6496" s="1" t="n">
        <v>44810</v>
      </c>
      <c r="C6496" s="1" t="n">
        <v>45657</v>
      </c>
      <c r="D6496" t="inlineStr">
        <is>
          <t>VÄSTERNORRLANDS LÄN</t>
        </is>
      </c>
      <c r="E6496" t="inlineStr">
        <is>
          <t>SUNDSVALL</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37835-2022</t>
        </is>
      </c>
      <c r="B6497" s="1" t="n">
        <v>44810</v>
      </c>
      <c r="C6497" s="1" t="n">
        <v>45657</v>
      </c>
      <c r="D6497" t="inlineStr">
        <is>
          <t>VÄSTERNORRLANDS LÄN</t>
        </is>
      </c>
      <c r="E6497" t="inlineStr">
        <is>
          <t>SOLLEFTEÅ</t>
        </is>
      </c>
      <c r="F6497" t="inlineStr">
        <is>
          <t>SCA</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37826-2022</t>
        </is>
      </c>
      <c r="B6498" s="1" t="n">
        <v>44811</v>
      </c>
      <c r="C6498" s="1" t="n">
        <v>45657</v>
      </c>
      <c r="D6498" t="inlineStr">
        <is>
          <t>VÄSTERNORRLANDS LÄN</t>
        </is>
      </c>
      <c r="E6498" t="inlineStr">
        <is>
          <t>SOLLEFTEÅ</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37840-2022</t>
        </is>
      </c>
      <c r="B6499" s="1" t="n">
        <v>44810</v>
      </c>
      <c r="C6499" s="1" t="n">
        <v>45657</v>
      </c>
      <c r="D6499" t="inlineStr">
        <is>
          <t>VÄSTERNORRLANDS LÄN</t>
        </is>
      </c>
      <c r="E6499" t="inlineStr">
        <is>
          <t>SOLLEFTEÅ</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37857-2022</t>
        </is>
      </c>
      <c r="B6500" s="1" t="n">
        <v>44811</v>
      </c>
      <c r="C6500" s="1" t="n">
        <v>45657</v>
      </c>
      <c r="D6500" t="inlineStr">
        <is>
          <t>VÄSTERNORRLANDS LÄN</t>
        </is>
      </c>
      <c r="E6500" t="inlineStr">
        <is>
          <t>ÖRNSKÖLDSVIK</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37974-2022</t>
        </is>
      </c>
      <c r="B6501" s="1" t="n">
        <v>44811</v>
      </c>
      <c r="C6501" s="1" t="n">
        <v>45657</v>
      </c>
      <c r="D6501" t="inlineStr">
        <is>
          <t>VÄSTERNORRLANDS LÄN</t>
        </is>
      </c>
      <c r="E6501" t="inlineStr">
        <is>
          <t>ÖRNSKÖLDSVIK</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37859-2022</t>
        </is>
      </c>
      <c r="B6502" s="1" t="n">
        <v>44811</v>
      </c>
      <c r="C6502" s="1" t="n">
        <v>45657</v>
      </c>
      <c r="D6502" t="inlineStr">
        <is>
          <t>VÄSTERNORRLANDS LÄN</t>
        </is>
      </c>
      <c r="E6502" t="inlineStr">
        <is>
          <t>ÖRNSKÖLDSVIK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37891-2022</t>
        </is>
      </c>
      <c r="B6503" s="1" t="n">
        <v>44811</v>
      </c>
      <c r="C6503" s="1" t="n">
        <v>45657</v>
      </c>
      <c r="D6503" t="inlineStr">
        <is>
          <t>VÄSTERNORRLANDS LÄN</t>
        </is>
      </c>
      <c r="E6503" t="inlineStr">
        <is>
          <t>ÖRNSKÖLDSVIK</t>
        </is>
      </c>
      <c r="F6503" t="inlineStr">
        <is>
          <t>Holmen skog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37954-2022</t>
        </is>
      </c>
      <c r="B6504" s="1" t="n">
        <v>44811</v>
      </c>
      <c r="C6504" s="1" t="n">
        <v>45657</v>
      </c>
      <c r="D6504" t="inlineStr">
        <is>
          <t>VÄSTERNORRLANDS LÄN</t>
        </is>
      </c>
      <c r="E6504" t="inlineStr">
        <is>
          <t>ÖRNSKÖLDSVIK</t>
        </is>
      </c>
      <c r="F6504" t="inlineStr">
        <is>
          <t>Holmen skog AB</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37858-2022</t>
        </is>
      </c>
      <c r="B6505" s="1" t="n">
        <v>44811</v>
      </c>
      <c r="C6505" s="1" t="n">
        <v>45657</v>
      </c>
      <c r="D6505" t="inlineStr">
        <is>
          <t>VÄSTERNORRLANDS LÄN</t>
        </is>
      </c>
      <c r="E6505" t="inlineStr">
        <is>
          <t>ÖRNSKÖLDSVIK</t>
        </is>
      </c>
      <c r="F6505" t="inlineStr">
        <is>
          <t>Holmen skog AB</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37914-2022</t>
        </is>
      </c>
      <c r="B6506" s="1" t="n">
        <v>44811</v>
      </c>
      <c r="C6506" s="1" t="n">
        <v>45657</v>
      </c>
      <c r="D6506" t="inlineStr">
        <is>
          <t>VÄSTERNORRLANDS LÄN</t>
        </is>
      </c>
      <c r="E6506" t="inlineStr">
        <is>
          <t>ÖRNSKÖLDSVIK</t>
        </is>
      </c>
      <c r="F6506" t="inlineStr">
        <is>
          <t>Holmen skog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37987-2022</t>
        </is>
      </c>
      <c r="B6507" s="1" t="n">
        <v>44811</v>
      </c>
      <c r="C6507" s="1" t="n">
        <v>45657</v>
      </c>
      <c r="D6507" t="inlineStr">
        <is>
          <t>VÄSTERNORRLANDS LÄN</t>
        </is>
      </c>
      <c r="E6507" t="inlineStr">
        <is>
          <t>KRAMFORS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38117-2022</t>
        </is>
      </c>
      <c r="B6508" s="1" t="n">
        <v>44811</v>
      </c>
      <c r="C6508" s="1" t="n">
        <v>45657</v>
      </c>
      <c r="D6508" t="inlineStr">
        <is>
          <t>VÄSTERNORRLANDS LÄN</t>
        </is>
      </c>
      <c r="E6508" t="inlineStr">
        <is>
          <t>ÖRNSKÖLDSVIK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38096-2022</t>
        </is>
      </c>
      <c r="B6509" s="1" t="n">
        <v>44812</v>
      </c>
      <c r="C6509" s="1" t="n">
        <v>45657</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38116-2022</t>
        </is>
      </c>
      <c r="B6510" s="1" t="n">
        <v>44811</v>
      </c>
      <c r="C6510" s="1" t="n">
        <v>45657</v>
      </c>
      <c r="D6510" t="inlineStr">
        <is>
          <t>VÄSTERNORRLANDS LÄN</t>
        </is>
      </c>
      <c r="E6510" t="inlineStr">
        <is>
          <t>ÖRNSKÖLDSVIK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38095-2022</t>
        </is>
      </c>
      <c r="B6511" s="1" t="n">
        <v>44811</v>
      </c>
      <c r="C6511" s="1" t="n">
        <v>45657</v>
      </c>
      <c r="D6511" t="inlineStr">
        <is>
          <t>VÄSTERNORRLANDS LÄN</t>
        </is>
      </c>
      <c r="E6511" t="inlineStr">
        <is>
          <t>SOLLEFTEÅ</t>
        </is>
      </c>
      <c r="F6511" t="inlineStr">
        <is>
          <t>SCA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37977-2022</t>
        </is>
      </c>
      <c r="B6512" s="1" t="n">
        <v>44811</v>
      </c>
      <c r="C6512" s="1" t="n">
        <v>45657</v>
      </c>
      <c r="D6512" t="inlineStr">
        <is>
          <t>VÄSTERNORRLANDS LÄN</t>
        </is>
      </c>
      <c r="E6512" t="inlineStr">
        <is>
          <t>SOLLEFTEÅ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38102-2022</t>
        </is>
      </c>
      <c r="B6513" s="1" t="n">
        <v>44811</v>
      </c>
      <c r="C6513" s="1" t="n">
        <v>45657</v>
      </c>
      <c r="D6513" t="inlineStr">
        <is>
          <t>VÄSTERNORRLANDS LÄN</t>
        </is>
      </c>
      <c r="E6513" t="inlineStr">
        <is>
          <t>SOLLEFTEÅ</t>
        </is>
      </c>
      <c r="F6513" t="inlineStr">
        <is>
          <t>SCA</t>
        </is>
      </c>
      <c r="G6513" t="n">
        <v>4.9</v>
      </c>
      <c r="H6513" t="n">
        <v>0</v>
      </c>
      <c r="I6513" t="n">
        <v>0</v>
      </c>
      <c r="J6513" t="n">
        <v>0</v>
      </c>
      <c r="K6513" t="n">
        <v>0</v>
      </c>
      <c r="L6513" t="n">
        <v>0</v>
      </c>
      <c r="M6513" t="n">
        <v>0</v>
      </c>
      <c r="N6513" t="n">
        <v>0</v>
      </c>
      <c r="O6513" t="n">
        <v>0</v>
      </c>
      <c r="P6513" t="n">
        <v>0</v>
      </c>
      <c r="Q6513" t="n">
        <v>0</v>
      </c>
      <c r="R6513" s="2" t="inlineStr"/>
      <c r="U6513">
        <f>HYPERLINK("https://klasma.github.io/Logging_2283/knärot/A 38102-2022 karta knärot.png", "A 38102-2022")</f>
        <v/>
      </c>
      <c r="V6513">
        <f>HYPERLINK("https://klasma.github.io/Logging_2283/klagomål/A 38102-2022 FSC-klagomål.docx", "A 38102-2022")</f>
        <v/>
      </c>
      <c r="W6513">
        <f>HYPERLINK("https://klasma.github.io/Logging_2283/klagomålsmail/A 38102-2022 FSC-klagomål mail.docx", "A 38102-2022")</f>
        <v/>
      </c>
      <c r="X6513">
        <f>HYPERLINK("https://klasma.github.io/Logging_2283/tillsyn/A 38102-2022 tillsynsbegäran.docx", "A 38102-2022")</f>
        <v/>
      </c>
      <c r="Y6513">
        <f>HYPERLINK("https://klasma.github.io/Logging_2283/tillsynsmail/A 38102-2022 tillsynsbegäran mail.docx", "A 38102-2022")</f>
        <v/>
      </c>
    </row>
    <row r="6514" ht="15" customHeight="1">
      <c r="A6514" t="inlineStr">
        <is>
          <t>A 38118-2022</t>
        </is>
      </c>
      <c r="B6514" s="1" t="n">
        <v>44811</v>
      </c>
      <c r="C6514" s="1" t="n">
        <v>45657</v>
      </c>
      <c r="D6514" t="inlineStr">
        <is>
          <t>VÄSTERNORRLANDS LÄN</t>
        </is>
      </c>
      <c r="E6514" t="inlineStr">
        <is>
          <t>ÖRNSKÖLDSVIK</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38199-2022</t>
        </is>
      </c>
      <c r="B6515" s="1" t="n">
        <v>44812</v>
      </c>
      <c r="C6515" s="1" t="n">
        <v>45657</v>
      </c>
      <c r="D6515" t="inlineStr">
        <is>
          <t>VÄSTERNORRLANDS LÄN</t>
        </is>
      </c>
      <c r="E6515" t="inlineStr">
        <is>
          <t>KRAMFORS</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38230-2022</t>
        </is>
      </c>
      <c r="B6516" s="1" t="n">
        <v>44812</v>
      </c>
      <c r="C6516" s="1" t="n">
        <v>45657</v>
      </c>
      <c r="D6516" t="inlineStr">
        <is>
          <t>VÄSTERNORRLANDS LÄN</t>
        </is>
      </c>
      <c r="E6516" t="inlineStr">
        <is>
          <t>SOLLEFTEÅ</t>
        </is>
      </c>
      <c r="F6516" t="inlineStr">
        <is>
          <t>Kommuner</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38284-2022</t>
        </is>
      </c>
      <c r="B6517" s="1" t="n">
        <v>44812</v>
      </c>
      <c r="C6517" s="1" t="n">
        <v>45657</v>
      </c>
      <c r="D6517" t="inlineStr">
        <is>
          <t>VÄSTERNORRLANDS LÄN</t>
        </is>
      </c>
      <c r="E6517" t="inlineStr">
        <is>
          <t>ÅNGE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38430-2022</t>
        </is>
      </c>
      <c r="B6518" s="1" t="n">
        <v>44812</v>
      </c>
      <c r="C6518" s="1" t="n">
        <v>45657</v>
      </c>
      <c r="D6518" t="inlineStr">
        <is>
          <t>VÄSTERNORRLANDS LÄN</t>
        </is>
      </c>
      <c r="E6518" t="inlineStr">
        <is>
          <t>SOLLEFTEÅ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38433-2022</t>
        </is>
      </c>
      <c r="B6519" s="1" t="n">
        <v>44812</v>
      </c>
      <c r="C6519" s="1" t="n">
        <v>45657</v>
      </c>
      <c r="D6519" t="inlineStr">
        <is>
          <t>VÄSTERNORRLANDS LÄN</t>
        </is>
      </c>
      <c r="E6519" t="inlineStr">
        <is>
          <t>SOLLEFTEÅ</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38374-2022</t>
        </is>
      </c>
      <c r="B6520" s="1" t="n">
        <v>44812</v>
      </c>
      <c r="C6520" s="1" t="n">
        <v>45657</v>
      </c>
      <c r="D6520" t="inlineStr">
        <is>
          <t>VÄSTERNORRLANDS LÄN</t>
        </is>
      </c>
      <c r="E6520" t="inlineStr">
        <is>
          <t>ÖRNSKÖLDSVIK</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38366-2022</t>
        </is>
      </c>
      <c r="B6521" s="1" t="n">
        <v>44812</v>
      </c>
      <c r="C6521" s="1" t="n">
        <v>45657</v>
      </c>
      <c r="D6521" t="inlineStr">
        <is>
          <t>VÄSTERNORRLANDS LÄN</t>
        </is>
      </c>
      <c r="E6521" t="inlineStr">
        <is>
          <t>ÖRNSKÖLDSVIK</t>
        </is>
      </c>
      <c r="F6521" t="inlineStr">
        <is>
          <t>Holmen skog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38312-2022</t>
        </is>
      </c>
      <c r="B6522" s="1" t="n">
        <v>44812</v>
      </c>
      <c r="C6522" s="1" t="n">
        <v>45657</v>
      </c>
      <c r="D6522" t="inlineStr">
        <is>
          <t>VÄSTERNORRLANDS LÄN</t>
        </is>
      </c>
      <c r="E6522" t="inlineStr">
        <is>
          <t>SOLLEFTEÅ</t>
        </is>
      </c>
      <c r="F6522" t="inlineStr">
        <is>
          <t>Holmen skog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38428-2022</t>
        </is>
      </c>
      <c r="B6523" s="1" t="n">
        <v>44812</v>
      </c>
      <c r="C6523" s="1" t="n">
        <v>45657</v>
      </c>
      <c r="D6523" t="inlineStr">
        <is>
          <t>VÄSTERNORRLANDS LÄN</t>
        </is>
      </c>
      <c r="E6523" t="inlineStr">
        <is>
          <t>SOLLEFTEÅ</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38432-2022</t>
        </is>
      </c>
      <c r="B6524" s="1" t="n">
        <v>44812</v>
      </c>
      <c r="C6524" s="1" t="n">
        <v>45657</v>
      </c>
      <c r="D6524" t="inlineStr">
        <is>
          <t>VÄSTERNORRLANDS LÄN</t>
        </is>
      </c>
      <c r="E6524" t="inlineStr">
        <is>
          <t>SOLLEFTEÅ</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39995-2022</t>
        </is>
      </c>
      <c r="B6525" s="1" t="n">
        <v>44812</v>
      </c>
      <c r="C6525" s="1" t="n">
        <v>45657</v>
      </c>
      <c r="D6525" t="inlineStr">
        <is>
          <t>VÄSTERNORRLANDS LÄN</t>
        </is>
      </c>
      <c r="E6525" t="inlineStr">
        <is>
          <t>KRAMFORS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38445-2022</t>
        </is>
      </c>
      <c r="B6526" s="1" t="n">
        <v>44813</v>
      </c>
      <c r="C6526" s="1" t="n">
        <v>45657</v>
      </c>
      <c r="D6526" t="inlineStr">
        <is>
          <t>VÄSTERNORRLANDS LÄN</t>
        </is>
      </c>
      <c r="E6526" t="inlineStr">
        <is>
          <t>TIMRÅ</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38536-2022</t>
        </is>
      </c>
      <c r="B6527" s="1" t="n">
        <v>44813</v>
      </c>
      <c r="C6527" s="1" t="n">
        <v>45657</v>
      </c>
      <c r="D6527" t="inlineStr">
        <is>
          <t>VÄSTERNORRLANDS LÄN</t>
        </is>
      </c>
      <c r="E6527" t="inlineStr">
        <is>
          <t>KRAMFORS</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38623-2022</t>
        </is>
      </c>
      <c r="B6528" s="1" t="n">
        <v>44813</v>
      </c>
      <c r="C6528" s="1" t="n">
        <v>45657</v>
      </c>
      <c r="D6528" t="inlineStr">
        <is>
          <t>VÄSTERNORRLANDS LÄN</t>
        </is>
      </c>
      <c r="E6528" t="inlineStr">
        <is>
          <t>KRAMFORS</t>
        </is>
      </c>
      <c r="G6528" t="n">
        <v>78.7</v>
      </c>
      <c r="H6528" t="n">
        <v>0</v>
      </c>
      <c r="I6528" t="n">
        <v>0</v>
      </c>
      <c r="J6528" t="n">
        <v>0</v>
      </c>
      <c r="K6528" t="n">
        <v>0</v>
      </c>
      <c r="L6528" t="n">
        <v>0</v>
      </c>
      <c r="M6528" t="n">
        <v>0</v>
      </c>
      <c r="N6528" t="n">
        <v>0</v>
      </c>
      <c r="O6528" t="n">
        <v>0</v>
      </c>
      <c r="P6528" t="n">
        <v>0</v>
      </c>
      <c r="Q6528" t="n">
        <v>0</v>
      </c>
      <c r="R6528" s="2" t="inlineStr"/>
    </row>
    <row r="6529" ht="15" customHeight="1">
      <c r="A6529" t="inlineStr">
        <is>
          <t>A 38665-2022</t>
        </is>
      </c>
      <c r="B6529" s="1" t="n">
        <v>44813</v>
      </c>
      <c r="C6529" s="1" t="n">
        <v>45657</v>
      </c>
      <c r="D6529" t="inlineStr">
        <is>
          <t>VÄSTERNORRLANDS LÄN</t>
        </is>
      </c>
      <c r="E6529" t="inlineStr">
        <is>
          <t>SUNDSVALL</t>
        </is>
      </c>
      <c r="F6529" t="inlineStr">
        <is>
          <t>SCA</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38680-2022</t>
        </is>
      </c>
      <c r="B6530" s="1" t="n">
        <v>44813</v>
      </c>
      <c r="C6530" s="1" t="n">
        <v>45657</v>
      </c>
      <c r="D6530" t="inlineStr">
        <is>
          <t>VÄSTERNORRLANDS LÄN</t>
        </is>
      </c>
      <c r="E6530" t="inlineStr">
        <is>
          <t>ÅNGE</t>
        </is>
      </c>
      <c r="F6530" t="inlineStr">
        <is>
          <t>SCA</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38663-2022</t>
        </is>
      </c>
      <c r="B6531" s="1" t="n">
        <v>44814</v>
      </c>
      <c r="C6531" s="1" t="n">
        <v>45657</v>
      </c>
      <c r="D6531" t="inlineStr">
        <is>
          <t>VÄSTERNORRLANDS LÄN</t>
        </is>
      </c>
      <c r="E6531" t="inlineStr">
        <is>
          <t>SOLLEFTEÅ</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38670-2022</t>
        </is>
      </c>
      <c r="B6532" s="1" t="n">
        <v>44814</v>
      </c>
      <c r="C6532" s="1" t="n">
        <v>45657</v>
      </c>
      <c r="D6532" t="inlineStr">
        <is>
          <t>VÄSTERNORRLANDS LÄN</t>
        </is>
      </c>
      <c r="E6532" t="inlineStr">
        <is>
          <t>SUNDSVALL</t>
        </is>
      </c>
      <c r="F6532" t="inlineStr">
        <is>
          <t>SCA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38756-2022</t>
        </is>
      </c>
      <c r="B6533" s="1" t="n">
        <v>44816</v>
      </c>
      <c r="C6533" s="1" t="n">
        <v>45657</v>
      </c>
      <c r="D6533" t="inlineStr">
        <is>
          <t>VÄSTERNORRLANDS LÄN</t>
        </is>
      </c>
      <c r="E6533" t="inlineStr">
        <is>
          <t>ÖRNSKÖLDSVIK</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38888-2022</t>
        </is>
      </c>
      <c r="B6534" s="1" t="n">
        <v>44816</v>
      </c>
      <c r="C6534" s="1" t="n">
        <v>45657</v>
      </c>
      <c r="D6534" t="inlineStr">
        <is>
          <t>VÄSTERNORRLANDS LÄN</t>
        </is>
      </c>
      <c r="E6534" t="inlineStr">
        <is>
          <t>SUNDSVALL</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38900-2022</t>
        </is>
      </c>
      <c r="B6535" s="1" t="n">
        <v>44816</v>
      </c>
      <c r="C6535" s="1" t="n">
        <v>45657</v>
      </c>
      <c r="D6535" t="inlineStr">
        <is>
          <t>VÄSTERNORRLANDS LÄN</t>
        </is>
      </c>
      <c r="E6535" t="inlineStr">
        <is>
          <t>SUNDSVALL</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38933-2022</t>
        </is>
      </c>
      <c r="B6536" s="1" t="n">
        <v>44816</v>
      </c>
      <c r="C6536" s="1" t="n">
        <v>45657</v>
      </c>
      <c r="D6536" t="inlineStr">
        <is>
          <t>VÄSTERNORRLANDS LÄN</t>
        </is>
      </c>
      <c r="E6536" t="inlineStr">
        <is>
          <t>ÖRNSKÖLDSVIK</t>
        </is>
      </c>
      <c r="F6536" t="inlineStr">
        <is>
          <t>Holmen skog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38821-2022</t>
        </is>
      </c>
      <c r="B6537" s="1" t="n">
        <v>44816</v>
      </c>
      <c r="C6537" s="1" t="n">
        <v>45657</v>
      </c>
      <c r="D6537" t="inlineStr">
        <is>
          <t>VÄSTERNORRLANDS LÄN</t>
        </is>
      </c>
      <c r="E6537" t="inlineStr">
        <is>
          <t>ÖRNSKÖLDSVIK</t>
        </is>
      </c>
      <c r="F6537" t="inlineStr">
        <is>
          <t>Holmen skog AB</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38830-2022</t>
        </is>
      </c>
      <c r="B6538" s="1" t="n">
        <v>44816</v>
      </c>
      <c r="C6538" s="1" t="n">
        <v>45657</v>
      </c>
      <c r="D6538" t="inlineStr">
        <is>
          <t>VÄSTERNORRLANDS LÄN</t>
        </is>
      </c>
      <c r="E6538" t="inlineStr">
        <is>
          <t>HÄRNÖSAND</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38774-2022</t>
        </is>
      </c>
      <c r="B6539" s="1" t="n">
        <v>44816</v>
      </c>
      <c r="C6539" s="1" t="n">
        <v>45657</v>
      </c>
      <c r="D6539" t="inlineStr">
        <is>
          <t>VÄSTERNORRLANDS LÄN</t>
        </is>
      </c>
      <c r="E6539" t="inlineStr">
        <is>
          <t>SUNDSVALL</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38792-2022</t>
        </is>
      </c>
      <c r="B6540" s="1" t="n">
        <v>44816</v>
      </c>
      <c r="C6540" s="1" t="n">
        <v>45657</v>
      </c>
      <c r="D6540" t="inlineStr">
        <is>
          <t>VÄSTERNORRLANDS LÄN</t>
        </is>
      </c>
      <c r="E6540" t="inlineStr">
        <is>
          <t>SUNDSVALL</t>
        </is>
      </c>
      <c r="F6540" t="inlineStr">
        <is>
          <t>Holmen skog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38822-2022</t>
        </is>
      </c>
      <c r="B6541" s="1" t="n">
        <v>44816</v>
      </c>
      <c r="C6541" s="1" t="n">
        <v>45657</v>
      </c>
      <c r="D6541" t="inlineStr">
        <is>
          <t>VÄSTERNORRLANDS LÄN</t>
        </is>
      </c>
      <c r="E6541" t="inlineStr">
        <is>
          <t>ÖRNSKÖLDSVIK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38811-2022</t>
        </is>
      </c>
      <c r="B6542" s="1" t="n">
        <v>44816</v>
      </c>
      <c r="C6542" s="1" t="n">
        <v>45657</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38923-2022</t>
        </is>
      </c>
      <c r="B6543" s="1" t="n">
        <v>44816</v>
      </c>
      <c r="C6543" s="1" t="n">
        <v>45657</v>
      </c>
      <c r="D6543" t="inlineStr">
        <is>
          <t>VÄSTERNORRLANDS LÄN</t>
        </is>
      </c>
      <c r="E6543" t="inlineStr">
        <is>
          <t>ÖRNSKÖLDSVIK</t>
        </is>
      </c>
      <c r="F6543" t="inlineStr">
        <is>
          <t>Holmen skog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38925-2022</t>
        </is>
      </c>
      <c r="B6544" s="1" t="n">
        <v>44816</v>
      </c>
      <c r="C6544" s="1" t="n">
        <v>45657</v>
      </c>
      <c r="D6544" t="inlineStr">
        <is>
          <t>VÄSTERNORRLANDS LÄN</t>
        </is>
      </c>
      <c r="E6544" t="inlineStr">
        <is>
          <t>ÖRNSKÖLDSVIK</t>
        </is>
      </c>
      <c r="F6544" t="inlineStr">
        <is>
          <t>Holmen skog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39006-2022</t>
        </is>
      </c>
      <c r="B6545" s="1" t="n">
        <v>44817</v>
      </c>
      <c r="C6545" s="1" t="n">
        <v>45657</v>
      </c>
      <c r="D6545" t="inlineStr">
        <is>
          <t>VÄSTERNORRLANDS LÄN</t>
        </is>
      </c>
      <c r="E6545" t="inlineStr">
        <is>
          <t>SOLLEFTEÅ</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38913-2022</t>
        </is>
      </c>
      <c r="B6546" s="1" t="n">
        <v>44816</v>
      </c>
      <c r="C6546" s="1" t="n">
        <v>45657</v>
      </c>
      <c r="D6546" t="inlineStr">
        <is>
          <t>VÄSTERNORRLANDS LÄN</t>
        </is>
      </c>
      <c r="E6546" t="inlineStr">
        <is>
          <t>ÖRNSKÖLDSVIK</t>
        </is>
      </c>
      <c r="F6546" t="inlineStr">
        <is>
          <t>Holmen skog AB</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39008-2022</t>
        </is>
      </c>
      <c r="B6547" s="1" t="n">
        <v>44817</v>
      </c>
      <c r="C6547" s="1" t="n">
        <v>45657</v>
      </c>
      <c r="D6547" t="inlineStr">
        <is>
          <t>VÄSTERNORRLANDS LÄN</t>
        </is>
      </c>
      <c r="E6547" t="inlineStr">
        <is>
          <t>SUNDSVALL</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39012-2022</t>
        </is>
      </c>
      <c r="B6548" s="1" t="n">
        <v>44816</v>
      </c>
      <c r="C6548" s="1" t="n">
        <v>45657</v>
      </c>
      <c r="D6548" t="inlineStr">
        <is>
          <t>VÄSTERNORRLANDS LÄN</t>
        </is>
      </c>
      <c r="E6548" t="inlineStr">
        <is>
          <t>SOLLEFTEÅ</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39108-2022</t>
        </is>
      </c>
      <c r="B6549" s="1" t="n">
        <v>44817</v>
      </c>
      <c r="C6549" s="1" t="n">
        <v>45657</v>
      </c>
      <c r="D6549" t="inlineStr">
        <is>
          <t>VÄSTERNORRLANDS LÄN</t>
        </is>
      </c>
      <c r="E6549" t="inlineStr">
        <is>
          <t>TIMRÅ</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39240-2022</t>
        </is>
      </c>
      <c r="B6550" s="1" t="n">
        <v>44817</v>
      </c>
      <c r="C6550" s="1" t="n">
        <v>45657</v>
      </c>
      <c r="D6550" t="inlineStr">
        <is>
          <t>VÄSTERNORRLANDS LÄN</t>
        </is>
      </c>
      <c r="E6550" t="inlineStr">
        <is>
          <t>ÖRNSKÖLDSVIK</t>
        </is>
      </c>
      <c r="F6550" t="inlineStr">
        <is>
          <t>Holmen skog AB</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39364-2022</t>
        </is>
      </c>
      <c r="B6551" s="1" t="n">
        <v>44817</v>
      </c>
      <c r="C6551" s="1" t="n">
        <v>45657</v>
      </c>
      <c r="D6551" t="inlineStr">
        <is>
          <t>VÄSTERNORRLANDS LÄN</t>
        </is>
      </c>
      <c r="E6551" t="inlineStr">
        <is>
          <t>KRAMFORS</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39406-2022</t>
        </is>
      </c>
      <c r="B6552" s="1" t="n">
        <v>44818</v>
      </c>
      <c r="C6552" s="1" t="n">
        <v>45657</v>
      </c>
      <c r="D6552" t="inlineStr">
        <is>
          <t>VÄSTERNORRLANDS LÄN</t>
        </is>
      </c>
      <c r="E6552" t="inlineStr">
        <is>
          <t>SUNDSVALL</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39374-2022</t>
        </is>
      </c>
      <c r="B6553" s="1" t="n">
        <v>44817</v>
      </c>
      <c r="C6553" s="1" t="n">
        <v>45657</v>
      </c>
      <c r="D6553" t="inlineStr">
        <is>
          <t>VÄSTERNORRLANDS LÄN</t>
        </is>
      </c>
      <c r="E6553" t="inlineStr">
        <is>
          <t>ÅNGE</t>
        </is>
      </c>
      <c r="F6553" t="inlineStr">
        <is>
          <t>SCA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39384-2022</t>
        </is>
      </c>
      <c r="B6554" s="1" t="n">
        <v>44818</v>
      </c>
      <c r="C6554" s="1" t="n">
        <v>45657</v>
      </c>
      <c r="D6554" t="inlineStr">
        <is>
          <t>VÄSTERNORRLANDS LÄN</t>
        </is>
      </c>
      <c r="E6554" t="inlineStr">
        <is>
          <t>SOLLEFTEÅ</t>
        </is>
      </c>
      <c r="F6554" t="inlineStr">
        <is>
          <t>SCA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39366-2022</t>
        </is>
      </c>
      <c r="B6555" s="1" t="n">
        <v>44818</v>
      </c>
      <c r="C6555" s="1" t="n">
        <v>45657</v>
      </c>
      <c r="D6555" t="inlineStr">
        <is>
          <t>VÄSTERNORRLANDS LÄN</t>
        </is>
      </c>
      <c r="E6555" t="inlineStr">
        <is>
          <t>KRAMFORS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39372-2022</t>
        </is>
      </c>
      <c r="B6556" s="1" t="n">
        <v>44818</v>
      </c>
      <c r="C6556" s="1" t="n">
        <v>45657</v>
      </c>
      <c r="D6556" t="inlineStr">
        <is>
          <t>VÄSTERNORRLANDS LÄN</t>
        </is>
      </c>
      <c r="E6556" t="inlineStr">
        <is>
          <t>SOLLEFTEÅ</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39365-2022</t>
        </is>
      </c>
      <c r="B6557" s="1" t="n">
        <v>44817</v>
      </c>
      <c r="C6557" s="1" t="n">
        <v>45657</v>
      </c>
      <c r="D6557" t="inlineStr">
        <is>
          <t>VÄSTERNORRLANDS LÄN</t>
        </is>
      </c>
      <c r="E6557" t="inlineStr">
        <is>
          <t>KRAMFORS</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39371-2022</t>
        </is>
      </c>
      <c r="B6558" s="1" t="n">
        <v>44818</v>
      </c>
      <c r="C6558" s="1" t="n">
        <v>45657</v>
      </c>
      <c r="D6558" t="inlineStr">
        <is>
          <t>VÄSTERNORRLANDS LÄN</t>
        </is>
      </c>
      <c r="E6558" t="inlineStr">
        <is>
          <t>SOLLEFTEÅ</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39470-2022</t>
        </is>
      </c>
      <c r="B6559" s="1" t="n">
        <v>44818</v>
      </c>
      <c r="C6559" s="1" t="n">
        <v>45657</v>
      </c>
      <c r="D6559" t="inlineStr">
        <is>
          <t>VÄSTERNORRLANDS LÄN</t>
        </is>
      </c>
      <c r="E6559" t="inlineStr">
        <is>
          <t>ÖRNSKÖLDSVIK</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39587-2022</t>
        </is>
      </c>
      <c r="B6560" s="1" t="n">
        <v>44818</v>
      </c>
      <c r="C6560" s="1" t="n">
        <v>45657</v>
      </c>
      <c r="D6560" t="inlineStr">
        <is>
          <t>VÄSTERNORRLANDS LÄN</t>
        </is>
      </c>
      <c r="E6560" t="inlineStr">
        <is>
          <t>ÖRNSKÖLDSVIK</t>
        </is>
      </c>
      <c r="F6560" t="inlineStr">
        <is>
          <t>Holmen skog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39594-2022</t>
        </is>
      </c>
      <c r="B6561" s="1" t="n">
        <v>44818</v>
      </c>
      <c r="C6561" s="1" t="n">
        <v>45657</v>
      </c>
      <c r="D6561" t="inlineStr">
        <is>
          <t>VÄSTERNORRLANDS LÄN</t>
        </is>
      </c>
      <c r="E6561" t="inlineStr">
        <is>
          <t>ÅNGE</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39485-2022</t>
        </is>
      </c>
      <c r="B6562" s="1" t="n">
        <v>44818</v>
      </c>
      <c r="C6562" s="1" t="n">
        <v>45657</v>
      </c>
      <c r="D6562" t="inlineStr">
        <is>
          <t>VÄSTERNORRLANDS LÄN</t>
        </is>
      </c>
      <c r="E6562" t="inlineStr">
        <is>
          <t>ÖRNSKÖLDSVIK</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39491-2022</t>
        </is>
      </c>
      <c r="B6563" s="1" t="n">
        <v>44818</v>
      </c>
      <c r="C6563" s="1" t="n">
        <v>45657</v>
      </c>
      <c r="D6563" t="inlineStr">
        <is>
          <t>VÄSTERNORRLANDS LÄN</t>
        </is>
      </c>
      <c r="E6563" t="inlineStr">
        <is>
          <t>ÖRNSKÖLDSVIK</t>
        </is>
      </c>
      <c r="F6563" t="inlineStr">
        <is>
          <t>Holmen skog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39500-2022</t>
        </is>
      </c>
      <c r="B6564" s="1" t="n">
        <v>44818</v>
      </c>
      <c r="C6564" s="1" t="n">
        <v>45657</v>
      </c>
      <c r="D6564" t="inlineStr">
        <is>
          <t>VÄSTERNORRLANDS LÄN</t>
        </is>
      </c>
      <c r="E6564" t="inlineStr">
        <is>
          <t>ÖRNSKÖLDSVIK</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39681-2022</t>
        </is>
      </c>
      <c r="B6565" s="1" t="n">
        <v>44818</v>
      </c>
      <c r="C6565" s="1" t="n">
        <v>45657</v>
      </c>
      <c r="D6565" t="inlineStr">
        <is>
          <t>VÄSTERNORRLANDS LÄN</t>
        </is>
      </c>
      <c r="E6565" t="inlineStr">
        <is>
          <t>ÅNGE</t>
        </is>
      </c>
      <c r="F6565" t="inlineStr">
        <is>
          <t>SCA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39589-2022</t>
        </is>
      </c>
      <c r="B6566" s="1" t="n">
        <v>44818</v>
      </c>
      <c r="C6566" s="1" t="n">
        <v>45657</v>
      </c>
      <c r="D6566" t="inlineStr">
        <is>
          <t>VÄSTERNORRLANDS LÄN</t>
        </is>
      </c>
      <c r="E6566" t="inlineStr">
        <is>
          <t>ÅNGE</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39688-2022</t>
        </is>
      </c>
      <c r="B6567" s="1" t="n">
        <v>44818</v>
      </c>
      <c r="C6567" s="1" t="n">
        <v>45657</v>
      </c>
      <c r="D6567" t="inlineStr">
        <is>
          <t>VÄSTERNORRLANDS LÄN</t>
        </is>
      </c>
      <c r="E6567" t="inlineStr">
        <is>
          <t>SOLLEFTEÅ</t>
        </is>
      </c>
      <c r="F6567" t="inlineStr">
        <is>
          <t>SCA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39699-2022</t>
        </is>
      </c>
      <c r="B6568" s="1" t="n">
        <v>44819</v>
      </c>
      <c r="C6568" s="1" t="n">
        <v>45657</v>
      </c>
      <c r="D6568" t="inlineStr">
        <is>
          <t>VÄSTERNORRLANDS LÄN</t>
        </is>
      </c>
      <c r="E6568" t="inlineStr">
        <is>
          <t>SOLLEFTEÅ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40197-2022</t>
        </is>
      </c>
      <c r="B6569" s="1" t="n">
        <v>44818</v>
      </c>
      <c r="C6569" s="1" t="n">
        <v>45657</v>
      </c>
      <c r="D6569" t="inlineStr">
        <is>
          <t>VÄSTERNORRLANDS LÄN</t>
        </is>
      </c>
      <c r="E6569" t="inlineStr">
        <is>
          <t>ÖRNSKÖLDSVIK</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39691-2022</t>
        </is>
      </c>
      <c r="B6570" s="1" t="n">
        <v>44819</v>
      </c>
      <c r="C6570" s="1" t="n">
        <v>45657</v>
      </c>
      <c r="D6570" t="inlineStr">
        <is>
          <t>VÄSTERNORRLANDS LÄN</t>
        </is>
      </c>
      <c r="E6570" t="inlineStr">
        <is>
          <t>TIMRÅ</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39685-2022</t>
        </is>
      </c>
      <c r="B6571" s="1" t="n">
        <v>44818</v>
      </c>
      <c r="C6571" s="1" t="n">
        <v>45657</v>
      </c>
      <c r="D6571" t="inlineStr">
        <is>
          <t>VÄSTERNORRLANDS LÄN</t>
        </is>
      </c>
      <c r="E6571" t="inlineStr">
        <is>
          <t>ÅNGE</t>
        </is>
      </c>
      <c r="F6571" t="inlineStr">
        <is>
          <t>SCA</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40226-2022</t>
        </is>
      </c>
      <c r="B6572" s="1" t="n">
        <v>44818</v>
      </c>
      <c r="C6572" s="1" t="n">
        <v>45657</v>
      </c>
      <c r="D6572" t="inlineStr">
        <is>
          <t>VÄSTERNORRLANDS LÄN</t>
        </is>
      </c>
      <c r="E6572" t="inlineStr">
        <is>
          <t>ÖRNSKÖLDSVIK</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39739-2022</t>
        </is>
      </c>
      <c r="B6573" s="1" t="n">
        <v>44819</v>
      </c>
      <c r="C6573" s="1" t="n">
        <v>45657</v>
      </c>
      <c r="D6573" t="inlineStr">
        <is>
          <t>VÄSTERNORRLANDS LÄN</t>
        </is>
      </c>
      <c r="E6573" t="inlineStr">
        <is>
          <t>ÖRNSKÖLDSVIK</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39913-2022</t>
        </is>
      </c>
      <c r="B6574" s="1" t="n">
        <v>44819</v>
      </c>
      <c r="C6574" s="1" t="n">
        <v>45657</v>
      </c>
      <c r="D6574" t="inlineStr">
        <is>
          <t>VÄSTERNORRLANDS LÄN</t>
        </is>
      </c>
      <c r="E6574" t="inlineStr">
        <is>
          <t>SUNDSVALL</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39944-2022</t>
        </is>
      </c>
      <c r="B6575" s="1" t="n">
        <v>44819</v>
      </c>
      <c r="C6575" s="1" t="n">
        <v>45657</v>
      </c>
      <c r="D6575" t="inlineStr">
        <is>
          <t>VÄSTERNORRLANDS LÄN</t>
        </is>
      </c>
      <c r="E6575" t="inlineStr">
        <is>
          <t>SOLLEFTEÅ</t>
        </is>
      </c>
      <c r="F6575" t="inlineStr">
        <is>
          <t>SCA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39954-2022</t>
        </is>
      </c>
      <c r="B6576" s="1" t="n">
        <v>44820</v>
      </c>
      <c r="C6576" s="1" t="n">
        <v>45657</v>
      </c>
      <c r="D6576" t="inlineStr">
        <is>
          <t>VÄSTERNORRLANDS LÄN</t>
        </is>
      </c>
      <c r="E6576" t="inlineStr">
        <is>
          <t>HÄRNÖSAND</t>
        </is>
      </c>
      <c r="F6576" t="inlineStr">
        <is>
          <t>SCA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39931-2022</t>
        </is>
      </c>
      <c r="B6577" s="1" t="n">
        <v>44820</v>
      </c>
      <c r="C6577" s="1" t="n">
        <v>45657</v>
      </c>
      <c r="D6577" t="inlineStr">
        <is>
          <t>VÄSTERNORRLANDS LÄN</t>
        </is>
      </c>
      <c r="E6577" t="inlineStr">
        <is>
          <t>ÖRNSKÖLDSVIK</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39942-2022</t>
        </is>
      </c>
      <c r="B6578" s="1" t="n">
        <v>44820</v>
      </c>
      <c r="C6578" s="1" t="n">
        <v>45657</v>
      </c>
      <c r="D6578" t="inlineStr">
        <is>
          <t>VÄSTERNORRLANDS LÄN</t>
        </is>
      </c>
      <c r="E6578" t="inlineStr">
        <is>
          <t>SOLLEFTEÅ</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39947-2022</t>
        </is>
      </c>
      <c r="B6579" s="1" t="n">
        <v>44819</v>
      </c>
      <c r="C6579" s="1" t="n">
        <v>45657</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39956-2022</t>
        </is>
      </c>
      <c r="B6580" s="1" t="n">
        <v>44820</v>
      </c>
      <c r="C6580" s="1" t="n">
        <v>45657</v>
      </c>
      <c r="D6580" t="inlineStr">
        <is>
          <t>VÄSTERNORRLANDS LÄN</t>
        </is>
      </c>
      <c r="E6580" t="inlineStr">
        <is>
          <t>HÄRNÖSAND</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39943-2022</t>
        </is>
      </c>
      <c r="B6581" s="1" t="n">
        <v>44820</v>
      </c>
      <c r="C6581" s="1" t="n">
        <v>45657</v>
      </c>
      <c r="D6581" t="inlineStr">
        <is>
          <t>VÄSTERNORRLANDS LÄN</t>
        </is>
      </c>
      <c r="E6581" t="inlineStr">
        <is>
          <t>SOLLEFTEÅ</t>
        </is>
      </c>
      <c r="F6581" t="inlineStr">
        <is>
          <t>SCA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39951-2022</t>
        </is>
      </c>
      <c r="B6582" s="1" t="n">
        <v>44820</v>
      </c>
      <c r="C6582" s="1" t="n">
        <v>45657</v>
      </c>
      <c r="D6582" t="inlineStr">
        <is>
          <t>VÄSTERNORRLANDS LÄN</t>
        </is>
      </c>
      <c r="E6582" t="inlineStr">
        <is>
          <t>SOLLEFTEÅ</t>
        </is>
      </c>
      <c r="F6582" t="inlineStr">
        <is>
          <t>SCA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39934-2022</t>
        </is>
      </c>
      <c r="B6583" s="1" t="n">
        <v>44820</v>
      </c>
      <c r="C6583" s="1" t="n">
        <v>45657</v>
      </c>
      <c r="D6583" t="inlineStr">
        <is>
          <t>VÄSTERNORRLANDS LÄN</t>
        </is>
      </c>
      <c r="E6583" t="inlineStr">
        <is>
          <t>SOLLEFTEÅ</t>
        </is>
      </c>
      <c r="F6583" t="inlineStr">
        <is>
          <t>SCA</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39946-2022</t>
        </is>
      </c>
      <c r="B6584" s="1" t="n">
        <v>44819</v>
      </c>
      <c r="C6584" s="1" t="n">
        <v>45657</v>
      </c>
      <c r="D6584" t="inlineStr">
        <is>
          <t>VÄSTERNORRLANDS LÄN</t>
        </is>
      </c>
      <c r="E6584" t="inlineStr">
        <is>
          <t>SOLLEFTEÅ</t>
        </is>
      </c>
      <c r="F6584" t="inlineStr">
        <is>
          <t>SCA</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40416-2022</t>
        </is>
      </c>
      <c r="B6585" s="1" t="n">
        <v>44819</v>
      </c>
      <c r="C6585" s="1" t="n">
        <v>45657</v>
      </c>
      <c r="D6585" t="inlineStr">
        <is>
          <t>VÄSTERNORRLANDS LÄN</t>
        </is>
      </c>
      <c r="E6585" t="inlineStr">
        <is>
          <t>KRAMFORS</t>
        </is>
      </c>
      <c r="G6585" t="n">
        <v>11.6</v>
      </c>
      <c r="H6585" t="n">
        <v>0</v>
      </c>
      <c r="I6585" t="n">
        <v>0</v>
      </c>
      <c r="J6585" t="n">
        <v>0</v>
      </c>
      <c r="K6585" t="n">
        <v>0</v>
      </c>
      <c r="L6585" t="n">
        <v>0</v>
      </c>
      <c r="M6585" t="n">
        <v>0</v>
      </c>
      <c r="N6585" t="n">
        <v>0</v>
      </c>
      <c r="O6585" t="n">
        <v>0</v>
      </c>
      <c r="P6585" t="n">
        <v>0</v>
      </c>
      <c r="Q6585" t="n">
        <v>0</v>
      </c>
      <c r="R6585" s="2" t="inlineStr"/>
    </row>
    <row r="6586" ht="15" customHeight="1">
      <c r="A6586" t="inlineStr">
        <is>
          <t>A 40434-2022</t>
        </is>
      </c>
      <c r="B6586" s="1" t="n">
        <v>44819</v>
      </c>
      <c r="C6586" s="1" t="n">
        <v>45657</v>
      </c>
      <c r="D6586" t="inlineStr">
        <is>
          <t>VÄSTERNORRLANDS LÄN</t>
        </is>
      </c>
      <c r="E6586" t="inlineStr">
        <is>
          <t>KRAMFORS</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40016-2022</t>
        </is>
      </c>
      <c r="B6587" s="1" t="n">
        <v>44820</v>
      </c>
      <c r="C6587" s="1" t="n">
        <v>45657</v>
      </c>
      <c r="D6587" t="inlineStr">
        <is>
          <t>VÄSTERNORRLANDS LÄN</t>
        </is>
      </c>
      <c r="E6587" t="inlineStr">
        <is>
          <t>SUNDSVALL</t>
        </is>
      </c>
      <c r="F6587" t="inlineStr">
        <is>
          <t>Holmen skog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40046-2022</t>
        </is>
      </c>
      <c r="B6588" s="1" t="n">
        <v>44820</v>
      </c>
      <c r="C6588" s="1" t="n">
        <v>45657</v>
      </c>
      <c r="D6588" t="inlineStr">
        <is>
          <t>VÄSTERNORRLANDS LÄN</t>
        </is>
      </c>
      <c r="E6588" t="inlineStr">
        <is>
          <t>ÖRNSKÖLDSVIK</t>
        </is>
      </c>
      <c r="F6588" t="inlineStr">
        <is>
          <t>Holmen skog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40102-2022</t>
        </is>
      </c>
      <c r="B6589" s="1" t="n">
        <v>44820</v>
      </c>
      <c r="C6589" s="1" t="n">
        <v>45657</v>
      </c>
      <c r="D6589" t="inlineStr">
        <is>
          <t>VÄSTERNORRLANDS LÄN</t>
        </is>
      </c>
      <c r="E6589" t="inlineStr">
        <is>
          <t>ÖRNSKÖLDSVIK</t>
        </is>
      </c>
      <c r="F6589" t="inlineStr">
        <is>
          <t>Holmen skog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40270-2022</t>
        </is>
      </c>
      <c r="B6590" s="1" t="n">
        <v>44821</v>
      </c>
      <c r="C6590" s="1" t="n">
        <v>45657</v>
      </c>
      <c r="D6590" t="inlineStr">
        <is>
          <t>VÄSTERNORRLANDS LÄN</t>
        </is>
      </c>
      <c r="E6590" t="inlineStr">
        <is>
          <t>TIMRÅ</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40279-2022</t>
        </is>
      </c>
      <c r="B6591" s="1" t="n">
        <v>44820</v>
      </c>
      <c r="C6591" s="1" t="n">
        <v>45657</v>
      </c>
      <c r="D6591" t="inlineStr">
        <is>
          <t>VÄSTERNORRLANDS LÄN</t>
        </is>
      </c>
      <c r="E6591" t="inlineStr">
        <is>
          <t>SUNDSVALL</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40428-2022</t>
        </is>
      </c>
      <c r="B6592" s="1" t="n">
        <v>44823</v>
      </c>
      <c r="C6592" s="1" t="n">
        <v>45657</v>
      </c>
      <c r="D6592" t="inlineStr">
        <is>
          <t>VÄSTERNORRLANDS LÄN</t>
        </is>
      </c>
      <c r="E6592" t="inlineStr">
        <is>
          <t>KRAMFORS</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40413-2022</t>
        </is>
      </c>
      <c r="B6593" s="1" t="n">
        <v>44823</v>
      </c>
      <c r="C6593" s="1" t="n">
        <v>45657</v>
      </c>
      <c r="D6593" t="inlineStr">
        <is>
          <t>VÄSTERNORRLANDS LÄN</t>
        </is>
      </c>
      <c r="E6593" t="inlineStr">
        <is>
          <t>ÖRNSKÖLDSVIK</t>
        </is>
      </c>
      <c r="F6593" t="inlineStr">
        <is>
          <t>Holmen skog AB</t>
        </is>
      </c>
      <c r="G6593" t="n">
        <v>23.3</v>
      </c>
      <c r="H6593" t="n">
        <v>0</v>
      </c>
      <c r="I6593" t="n">
        <v>0</v>
      </c>
      <c r="J6593" t="n">
        <v>0</v>
      </c>
      <c r="K6593" t="n">
        <v>0</v>
      </c>
      <c r="L6593" t="n">
        <v>0</v>
      </c>
      <c r="M6593" t="n">
        <v>0</v>
      </c>
      <c r="N6593" t="n">
        <v>0</v>
      </c>
      <c r="O6593" t="n">
        <v>0</v>
      </c>
      <c r="P6593" t="n">
        <v>0</v>
      </c>
      <c r="Q6593" t="n">
        <v>0</v>
      </c>
      <c r="R6593" s="2" t="inlineStr"/>
    </row>
    <row r="6594" ht="15" customHeight="1">
      <c r="A6594" t="inlineStr">
        <is>
          <t>A 40445-2022</t>
        </is>
      </c>
      <c r="B6594" s="1" t="n">
        <v>44823</v>
      </c>
      <c r="C6594" s="1" t="n">
        <v>45657</v>
      </c>
      <c r="D6594" t="inlineStr">
        <is>
          <t>VÄSTERNORRLANDS LÄN</t>
        </is>
      </c>
      <c r="E6594" t="inlineStr">
        <is>
          <t>KRAMFORS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40475-2022</t>
        </is>
      </c>
      <c r="B6595" s="1" t="n">
        <v>44823</v>
      </c>
      <c r="C6595" s="1" t="n">
        <v>45657</v>
      </c>
      <c r="D6595" t="inlineStr">
        <is>
          <t>VÄSTERNORRLANDS LÄN</t>
        </is>
      </c>
      <c r="E6595" t="inlineStr">
        <is>
          <t>ÅNGE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40608-2022</t>
        </is>
      </c>
      <c r="B6596" s="1" t="n">
        <v>44824</v>
      </c>
      <c r="C6596" s="1" t="n">
        <v>45657</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40476-2022</t>
        </is>
      </c>
      <c r="B6597" s="1" t="n">
        <v>44823</v>
      </c>
      <c r="C6597" s="1" t="n">
        <v>45657</v>
      </c>
      <c r="D6597" t="inlineStr">
        <is>
          <t>VÄSTERNORRLANDS LÄN</t>
        </is>
      </c>
      <c r="E6597" t="inlineStr">
        <is>
          <t>ÅNGE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40505-2022</t>
        </is>
      </c>
      <c r="B6598" s="1" t="n">
        <v>44823</v>
      </c>
      <c r="C6598" s="1" t="n">
        <v>45657</v>
      </c>
      <c r="D6598" t="inlineStr">
        <is>
          <t>VÄSTERNORRLANDS LÄN</t>
        </is>
      </c>
      <c r="E6598" t="inlineStr">
        <is>
          <t>ÖRNSKÖLDSVIK</t>
        </is>
      </c>
      <c r="F6598" t="inlineStr">
        <is>
          <t>Holmen skog AB</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40590-2022</t>
        </is>
      </c>
      <c r="B6599" s="1" t="n">
        <v>44823</v>
      </c>
      <c r="C6599" s="1" t="n">
        <v>45657</v>
      </c>
      <c r="D6599" t="inlineStr">
        <is>
          <t>VÄSTERNORRLANDS LÄN</t>
        </is>
      </c>
      <c r="E6599" t="inlineStr">
        <is>
          <t>ÖRNSKÖLDSVIK</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40609-2022</t>
        </is>
      </c>
      <c r="B6600" s="1" t="n">
        <v>44824</v>
      </c>
      <c r="C6600" s="1" t="n">
        <v>45657</v>
      </c>
      <c r="D6600" t="inlineStr">
        <is>
          <t>VÄSTERNORRLANDS LÄN</t>
        </is>
      </c>
      <c r="E6600" t="inlineStr">
        <is>
          <t>SOLLEFTEÅ</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40483-2022</t>
        </is>
      </c>
      <c r="B6601" s="1" t="n">
        <v>44823</v>
      </c>
      <c r="C6601" s="1" t="n">
        <v>45657</v>
      </c>
      <c r="D6601" t="inlineStr">
        <is>
          <t>VÄSTERNORRLANDS LÄN</t>
        </is>
      </c>
      <c r="E6601" t="inlineStr">
        <is>
          <t>ÖRNSKÖLDSVIK</t>
        </is>
      </c>
      <c r="F6601" t="inlineStr">
        <is>
          <t>Holmen skog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40591-2022</t>
        </is>
      </c>
      <c r="B6602" s="1" t="n">
        <v>44823</v>
      </c>
      <c r="C6602" s="1" t="n">
        <v>45657</v>
      </c>
      <c r="D6602" t="inlineStr">
        <is>
          <t>VÄSTERNORRLANDS LÄN</t>
        </is>
      </c>
      <c r="E6602" t="inlineStr">
        <is>
          <t>SUNDSVALL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40610-2022</t>
        </is>
      </c>
      <c r="B6603" s="1" t="n">
        <v>44824</v>
      </c>
      <c r="C6603" s="1" t="n">
        <v>45657</v>
      </c>
      <c r="D6603" t="inlineStr">
        <is>
          <t>VÄSTERNORRLANDS LÄN</t>
        </is>
      </c>
      <c r="E6603" t="inlineStr">
        <is>
          <t>SOLLEFTEÅ</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40599-2022</t>
        </is>
      </c>
      <c r="B6604" s="1" t="n">
        <v>44824</v>
      </c>
      <c r="C6604" s="1" t="n">
        <v>45657</v>
      </c>
      <c r="D6604" t="inlineStr">
        <is>
          <t>VÄSTERNORRLANDS LÄN</t>
        </is>
      </c>
      <c r="E6604" t="inlineStr">
        <is>
          <t>SOLLEFTEÅ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40611-2022</t>
        </is>
      </c>
      <c r="B6605" s="1" t="n">
        <v>44824</v>
      </c>
      <c r="C6605" s="1" t="n">
        <v>45657</v>
      </c>
      <c r="D6605" t="inlineStr">
        <is>
          <t>VÄSTERNORRLANDS LÄN</t>
        </is>
      </c>
      <c r="E6605" t="inlineStr">
        <is>
          <t>SOLLEFTEÅ</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40946-2022</t>
        </is>
      </c>
      <c r="B6606" s="1" t="n">
        <v>44823</v>
      </c>
      <c r="C6606" s="1" t="n">
        <v>45657</v>
      </c>
      <c r="D6606" t="inlineStr">
        <is>
          <t>VÄSTERNORRLANDS LÄN</t>
        </is>
      </c>
      <c r="E6606" t="inlineStr">
        <is>
          <t>SUNDSVALL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40950-2022</t>
        </is>
      </c>
      <c r="B6607" s="1" t="n">
        <v>44823</v>
      </c>
      <c r="C6607" s="1" t="n">
        <v>45657</v>
      </c>
      <c r="D6607" t="inlineStr">
        <is>
          <t>VÄSTERNORRLANDS LÄN</t>
        </is>
      </c>
      <c r="E6607" t="inlineStr">
        <is>
          <t>SUNDSVALL</t>
        </is>
      </c>
      <c r="G6607" t="n">
        <v>0.1</v>
      </c>
      <c r="H6607" t="n">
        <v>0</v>
      </c>
      <c r="I6607" t="n">
        <v>0</v>
      </c>
      <c r="J6607" t="n">
        <v>0</v>
      </c>
      <c r="K6607" t="n">
        <v>0</v>
      </c>
      <c r="L6607" t="n">
        <v>0</v>
      </c>
      <c r="M6607" t="n">
        <v>0</v>
      </c>
      <c r="N6607" t="n">
        <v>0</v>
      </c>
      <c r="O6607" t="n">
        <v>0</v>
      </c>
      <c r="P6607" t="n">
        <v>0</v>
      </c>
      <c r="Q6607" t="n">
        <v>0</v>
      </c>
      <c r="R6607" s="2" t="inlineStr"/>
    </row>
    <row r="6608" ht="15" customHeight="1">
      <c r="A6608" t="inlineStr">
        <is>
          <t>A 40698-2022</t>
        </is>
      </c>
      <c r="B6608" s="1" t="n">
        <v>44824</v>
      </c>
      <c r="C6608" s="1" t="n">
        <v>45657</v>
      </c>
      <c r="D6608" t="inlineStr">
        <is>
          <t>VÄSTERNORRLANDS LÄN</t>
        </is>
      </c>
      <c r="E6608" t="inlineStr">
        <is>
          <t>KRAMFORS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40832-2022</t>
        </is>
      </c>
      <c r="B6609" s="1" t="n">
        <v>44825</v>
      </c>
      <c r="C6609" s="1" t="n">
        <v>45657</v>
      </c>
      <c r="D6609" t="inlineStr">
        <is>
          <t>VÄSTERNORRLANDS LÄN</t>
        </is>
      </c>
      <c r="E6609" t="inlineStr">
        <is>
          <t>SOLLEFTEÅ</t>
        </is>
      </c>
      <c r="F6609" t="inlineStr">
        <is>
          <t>SCA</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41019-2022</t>
        </is>
      </c>
      <c r="B6610" s="1" t="n">
        <v>44824</v>
      </c>
      <c r="C6610" s="1" t="n">
        <v>45657</v>
      </c>
      <c r="D6610" t="inlineStr">
        <is>
          <t>VÄSTERNORRLANDS LÄN</t>
        </is>
      </c>
      <c r="E6610" t="inlineStr">
        <is>
          <t>HÄRNÖSAND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40846-2022</t>
        </is>
      </c>
      <c r="B6611" s="1" t="n">
        <v>44825</v>
      </c>
      <c r="C6611" s="1" t="n">
        <v>45657</v>
      </c>
      <c r="D6611" t="inlineStr">
        <is>
          <t>VÄSTERNORRLANDS LÄN</t>
        </is>
      </c>
      <c r="E6611" t="inlineStr">
        <is>
          <t>SUNDSVALL</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41000-2022</t>
        </is>
      </c>
      <c r="B6612" s="1" t="n">
        <v>44824</v>
      </c>
      <c r="C6612" s="1" t="n">
        <v>45657</v>
      </c>
      <c r="D6612" t="inlineStr">
        <is>
          <t>VÄSTERNORRLANDS LÄN</t>
        </is>
      </c>
      <c r="E6612" t="inlineStr">
        <is>
          <t>HÄRNÖSAND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40827-2022</t>
        </is>
      </c>
      <c r="B6613" s="1" t="n">
        <v>44824</v>
      </c>
      <c r="C6613" s="1" t="n">
        <v>45657</v>
      </c>
      <c r="D6613" t="inlineStr">
        <is>
          <t>VÄSTERNORRLANDS LÄN</t>
        </is>
      </c>
      <c r="E6613" t="inlineStr">
        <is>
          <t>SUNDSVALL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40828-2022</t>
        </is>
      </c>
      <c r="B6614" s="1" t="n">
        <v>44825</v>
      </c>
      <c r="C6614" s="1" t="n">
        <v>45657</v>
      </c>
      <c r="D6614" t="inlineStr">
        <is>
          <t>VÄSTERNORRLANDS LÄN</t>
        </is>
      </c>
      <c r="E6614" t="inlineStr">
        <is>
          <t>SUNDSVALL</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41036-2022</t>
        </is>
      </c>
      <c r="B6615" s="1" t="n">
        <v>44825</v>
      </c>
      <c r="C6615" s="1" t="n">
        <v>45657</v>
      </c>
      <c r="D6615" t="inlineStr">
        <is>
          <t>VÄSTERNORRLANDS LÄN</t>
        </is>
      </c>
      <c r="E6615" t="inlineStr">
        <is>
          <t>ÖRNSKÖLDSVIK</t>
        </is>
      </c>
      <c r="F6615" t="inlineStr">
        <is>
          <t>Holmen skog AB</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41173-2022</t>
        </is>
      </c>
      <c r="B6616" s="1" t="n">
        <v>44826</v>
      </c>
      <c r="C6616" s="1" t="n">
        <v>45657</v>
      </c>
      <c r="D6616" t="inlineStr">
        <is>
          <t>VÄSTERNORRLANDS LÄN</t>
        </is>
      </c>
      <c r="E6616" t="inlineStr">
        <is>
          <t>SUNDSVALL</t>
        </is>
      </c>
      <c r="F6616" t="inlineStr">
        <is>
          <t>SCA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41187-2022</t>
        </is>
      </c>
      <c r="B6617" s="1" t="n">
        <v>44826</v>
      </c>
      <c r="C6617" s="1" t="n">
        <v>45657</v>
      </c>
      <c r="D6617" t="inlineStr">
        <is>
          <t>VÄSTERNORRLANDS LÄN</t>
        </is>
      </c>
      <c r="E6617" t="inlineStr">
        <is>
          <t>SOLLEFTEÅ</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41068-2022</t>
        </is>
      </c>
      <c r="B6618" s="1" t="n">
        <v>44825</v>
      </c>
      <c r="C6618" s="1" t="n">
        <v>45657</v>
      </c>
      <c r="D6618" t="inlineStr">
        <is>
          <t>VÄSTERNORRLANDS LÄN</t>
        </is>
      </c>
      <c r="E6618" t="inlineStr">
        <is>
          <t>ÖRNSKÖLDSVIK</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41166-2022</t>
        </is>
      </c>
      <c r="B6619" s="1" t="n">
        <v>44826</v>
      </c>
      <c r="C6619" s="1" t="n">
        <v>45657</v>
      </c>
      <c r="D6619" t="inlineStr">
        <is>
          <t>VÄSTERNORRLANDS LÄN</t>
        </is>
      </c>
      <c r="E6619" t="inlineStr">
        <is>
          <t>ÖRNSKÖLDSVIK</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41188-2022</t>
        </is>
      </c>
      <c r="B6620" s="1" t="n">
        <v>44825</v>
      </c>
      <c r="C6620" s="1" t="n">
        <v>45657</v>
      </c>
      <c r="D6620" t="inlineStr">
        <is>
          <t>VÄSTERNORRLANDS LÄN</t>
        </is>
      </c>
      <c r="E6620" t="inlineStr">
        <is>
          <t>ÖRNSKÖLDSVIK</t>
        </is>
      </c>
      <c r="F6620" t="inlineStr">
        <is>
          <t>SCA</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41192-2022</t>
        </is>
      </c>
      <c r="B6621" s="1" t="n">
        <v>44826</v>
      </c>
      <c r="C6621" s="1" t="n">
        <v>45657</v>
      </c>
      <c r="D6621" t="inlineStr">
        <is>
          <t>VÄSTERNORRLANDS LÄN</t>
        </is>
      </c>
      <c r="E6621" t="inlineStr">
        <is>
          <t>SOLLEFTEÅ</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41168-2022</t>
        </is>
      </c>
      <c r="B6622" s="1" t="n">
        <v>44826</v>
      </c>
      <c r="C6622" s="1" t="n">
        <v>45657</v>
      </c>
      <c r="D6622" t="inlineStr">
        <is>
          <t>VÄSTERNORRLANDS LÄN</t>
        </is>
      </c>
      <c r="E6622" t="inlineStr">
        <is>
          <t>SOLLEFTEÅ</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41172-2022</t>
        </is>
      </c>
      <c r="B6623" s="1" t="n">
        <v>44826</v>
      </c>
      <c r="C6623" s="1" t="n">
        <v>45657</v>
      </c>
      <c r="D6623" t="inlineStr">
        <is>
          <t>VÄSTERNORRLANDS LÄN</t>
        </is>
      </c>
      <c r="E6623" t="inlineStr">
        <is>
          <t>SOLLEFTEÅ</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41176-2022</t>
        </is>
      </c>
      <c r="B6624" s="1" t="n">
        <v>44826</v>
      </c>
      <c r="C6624" s="1" t="n">
        <v>45657</v>
      </c>
      <c r="D6624" t="inlineStr">
        <is>
          <t>VÄSTERNORRLANDS LÄN</t>
        </is>
      </c>
      <c r="E6624" t="inlineStr">
        <is>
          <t>SOLLEFTEÅ</t>
        </is>
      </c>
      <c r="F6624" t="inlineStr">
        <is>
          <t>SCA</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41189-2022</t>
        </is>
      </c>
      <c r="B6625" s="1" t="n">
        <v>44826</v>
      </c>
      <c r="C6625" s="1" t="n">
        <v>45657</v>
      </c>
      <c r="D6625" t="inlineStr">
        <is>
          <t>VÄSTERNORRLANDS LÄN</t>
        </is>
      </c>
      <c r="E6625" t="inlineStr">
        <is>
          <t>SOLLEFTEÅ</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41186-2022</t>
        </is>
      </c>
      <c r="B6626" s="1" t="n">
        <v>44826</v>
      </c>
      <c r="C6626" s="1" t="n">
        <v>45657</v>
      </c>
      <c r="D6626" t="inlineStr">
        <is>
          <t>VÄSTERNORRLANDS LÄN</t>
        </is>
      </c>
      <c r="E6626" t="inlineStr">
        <is>
          <t>ÖRNSKÖLDSVIK</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41190-2022</t>
        </is>
      </c>
      <c r="B6627" s="1" t="n">
        <v>44826</v>
      </c>
      <c r="C6627" s="1" t="n">
        <v>45657</v>
      </c>
      <c r="D6627" t="inlineStr">
        <is>
          <t>VÄSTERNORRLANDS LÄN</t>
        </is>
      </c>
      <c r="E6627" t="inlineStr">
        <is>
          <t>ÖRNSKÖLDSVIK</t>
        </is>
      </c>
      <c r="F6627" t="inlineStr">
        <is>
          <t>SCA</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41222-2022</t>
        </is>
      </c>
      <c r="B6628" s="1" t="n">
        <v>44825</v>
      </c>
      <c r="C6628" s="1" t="n">
        <v>45657</v>
      </c>
      <c r="D6628" t="inlineStr">
        <is>
          <t>VÄSTERNORRLANDS LÄN</t>
        </is>
      </c>
      <c r="E6628" t="inlineStr">
        <is>
          <t>SUNDSVALL</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41253-2022</t>
        </is>
      </c>
      <c r="B6629" s="1" t="n">
        <v>44825</v>
      </c>
      <c r="C6629" s="1" t="n">
        <v>45657</v>
      </c>
      <c r="D6629" t="inlineStr">
        <is>
          <t>VÄSTERNORRLANDS LÄN</t>
        </is>
      </c>
      <c r="E6629" t="inlineStr">
        <is>
          <t>ÖRNSKÖLDSVIK</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41196-2022</t>
        </is>
      </c>
      <c r="B6630" s="1" t="n">
        <v>44826</v>
      </c>
      <c r="C6630" s="1" t="n">
        <v>45657</v>
      </c>
      <c r="D6630" t="inlineStr">
        <is>
          <t>VÄSTERNORRLANDS LÄN</t>
        </is>
      </c>
      <c r="E6630" t="inlineStr">
        <is>
          <t>SOLLEFTEÅ</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41261-2022</t>
        </is>
      </c>
      <c r="B6631" s="1" t="n">
        <v>44825</v>
      </c>
      <c r="C6631" s="1" t="n">
        <v>45657</v>
      </c>
      <c r="D6631" t="inlineStr">
        <is>
          <t>VÄSTERNORRLANDS LÄN</t>
        </is>
      </c>
      <c r="E6631" t="inlineStr">
        <is>
          <t>ÅNGE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41195-2022</t>
        </is>
      </c>
      <c r="B6632" s="1" t="n">
        <v>44826</v>
      </c>
      <c r="C6632" s="1" t="n">
        <v>45657</v>
      </c>
      <c r="D6632" t="inlineStr">
        <is>
          <t>VÄSTERNORRLANDS LÄN</t>
        </is>
      </c>
      <c r="E6632" t="inlineStr">
        <is>
          <t>SOLLEFTEÅ</t>
        </is>
      </c>
      <c r="F6632" t="inlineStr">
        <is>
          <t>SCA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41387-2022</t>
        </is>
      </c>
      <c r="B6633" s="1" t="n">
        <v>44826</v>
      </c>
      <c r="C6633" s="1" t="n">
        <v>45657</v>
      </c>
      <c r="D6633" t="inlineStr">
        <is>
          <t>VÄSTERNORRLANDS LÄN</t>
        </is>
      </c>
      <c r="E6633" t="inlineStr">
        <is>
          <t>ÖRNSKÖLDSVIK</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41248-2022</t>
        </is>
      </c>
      <c r="B6634" s="1" t="n">
        <v>44826</v>
      </c>
      <c r="C6634" s="1" t="n">
        <v>45657</v>
      </c>
      <c r="D6634" t="inlineStr">
        <is>
          <t>VÄSTERNORRLANDS LÄN</t>
        </is>
      </c>
      <c r="E6634" t="inlineStr">
        <is>
          <t>ÖRNSKÖLDSVIK</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41262-2022</t>
        </is>
      </c>
      <c r="B6635" s="1" t="n">
        <v>44826</v>
      </c>
      <c r="C6635" s="1" t="n">
        <v>45657</v>
      </c>
      <c r="D6635" t="inlineStr">
        <is>
          <t>VÄSTERNORRLANDS LÄN</t>
        </is>
      </c>
      <c r="E6635" t="inlineStr">
        <is>
          <t>ÖRNSKÖLDSVIK</t>
        </is>
      </c>
      <c r="F6635" t="inlineStr">
        <is>
          <t>Holmen skog AB</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41392-2022</t>
        </is>
      </c>
      <c r="B6636" s="1" t="n">
        <v>44826</v>
      </c>
      <c r="C6636" s="1" t="n">
        <v>45657</v>
      </c>
      <c r="D6636" t="inlineStr">
        <is>
          <t>VÄSTERNORRLANDS LÄN</t>
        </is>
      </c>
      <c r="E6636" t="inlineStr">
        <is>
          <t>KRAMFORS</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41465-2022</t>
        </is>
      </c>
      <c r="B6637" s="1" t="n">
        <v>44827</v>
      </c>
      <c r="C6637" s="1" t="n">
        <v>45657</v>
      </c>
      <c r="D6637" t="inlineStr">
        <is>
          <t>VÄSTERNORRLANDS LÄN</t>
        </is>
      </c>
      <c r="E6637" t="inlineStr">
        <is>
          <t>TIMRÅ</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41310-2022</t>
        </is>
      </c>
      <c r="B6638" s="1" t="n">
        <v>44826</v>
      </c>
      <c r="C6638" s="1" t="n">
        <v>45657</v>
      </c>
      <c r="D6638" t="inlineStr">
        <is>
          <t>VÄSTERNORRLANDS LÄN</t>
        </is>
      </c>
      <c r="E6638" t="inlineStr">
        <is>
          <t>ÖRNSKÖLDSVIK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41381-2022</t>
        </is>
      </c>
      <c r="B6639" s="1" t="n">
        <v>44826</v>
      </c>
      <c r="C6639" s="1" t="n">
        <v>45657</v>
      </c>
      <c r="D6639" t="inlineStr">
        <is>
          <t>VÄSTERNORRLANDS LÄN</t>
        </is>
      </c>
      <c r="E6639" t="inlineStr">
        <is>
          <t>KRAMFORS</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41456-2022</t>
        </is>
      </c>
      <c r="B6640" s="1" t="n">
        <v>44826</v>
      </c>
      <c r="C6640" s="1" t="n">
        <v>45657</v>
      </c>
      <c r="D6640" t="inlineStr">
        <is>
          <t>VÄSTERNORRLANDS LÄN</t>
        </is>
      </c>
      <c r="E6640" t="inlineStr">
        <is>
          <t>SOLLEFTEÅ</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41463-2022</t>
        </is>
      </c>
      <c r="B6641" s="1" t="n">
        <v>44827</v>
      </c>
      <c r="C6641" s="1" t="n">
        <v>45657</v>
      </c>
      <c r="D6641" t="inlineStr">
        <is>
          <t>VÄSTERNORRLANDS LÄN</t>
        </is>
      </c>
      <c r="E6641" t="inlineStr">
        <is>
          <t>SOLLEFTEÅ</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41475-2022</t>
        </is>
      </c>
      <c r="B6642" s="1" t="n">
        <v>44826</v>
      </c>
      <c r="C6642" s="1" t="n">
        <v>45657</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41481-2022</t>
        </is>
      </c>
      <c r="B6643" s="1" t="n">
        <v>44827</v>
      </c>
      <c r="C6643" s="1" t="n">
        <v>45657</v>
      </c>
      <c r="D6643" t="inlineStr">
        <is>
          <t>VÄSTERNORRLANDS LÄN</t>
        </is>
      </c>
      <c r="E6643" t="inlineStr">
        <is>
          <t>SOLLEFTEÅ</t>
        </is>
      </c>
      <c r="F6643" t="inlineStr">
        <is>
          <t>SCA</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41457-2022</t>
        </is>
      </c>
      <c r="B6644" s="1" t="n">
        <v>44826</v>
      </c>
      <c r="C6644" s="1" t="n">
        <v>45657</v>
      </c>
      <c r="D6644" t="inlineStr">
        <is>
          <t>VÄSTERNORRLANDS LÄN</t>
        </is>
      </c>
      <c r="E6644" t="inlineStr">
        <is>
          <t>TIMRÅ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41464-2022</t>
        </is>
      </c>
      <c r="B6645" s="1" t="n">
        <v>44827</v>
      </c>
      <c r="C6645" s="1" t="n">
        <v>45657</v>
      </c>
      <c r="D6645" t="inlineStr">
        <is>
          <t>VÄSTERNORRLANDS LÄN</t>
        </is>
      </c>
      <c r="E6645" t="inlineStr">
        <is>
          <t>ÅNGE</t>
        </is>
      </c>
      <c r="F6645" t="inlineStr">
        <is>
          <t>SCA</t>
        </is>
      </c>
      <c r="G6645" t="n">
        <v>32.2</v>
      </c>
      <c r="H6645" t="n">
        <v>0</v>
      </c>
      <c r="I6645" t="n">
        <v>0</v>
      </c>
      <c r="J6645" t="n">
        <v>0</v>
      </c>
      <c r="K6645" t="n">
        <v>0</v>
      </c>
      <c r="L6645" t="n">
        <v>0</v>
      </c>
      <c r="M6645" t="n">
        <v>0</v>
      </c>
      <c r="N6645" t="n">
        <v>0</v>
      </c>
      <c r="O6645" t="n">
        <v>0</v>
      </c>
      <c r="P6645" t="n">
        <v>0</v>
      </c>
      <c r="Q6645" t="n">
        <v>0</v>
      </c>
      <c r="R6645" s="2" t="inlineStr"/>
    </row>
    <row r="6646" ht="15" customHeight="1">
      <c r="A6646" t="inlineStr">
        <is>
          <t>A 41469-2022</t>
        </is>
      </c>
      <c r="B6646" s="1" t="n">
        <v>44826</v>
      </c>
      <c r="C6646" s="1" t="n">
        <v>45657</v>
      </c>
      <c r="D6646" t="inlineStr">
        <is>
          <t>VÄSTERNORRLANDS LÄN</t>
        </is>
      </c>
      <c r="E6646" t="inlineStr">
        <is>
          <t>ÖRNSKÖLDSVIK</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41478-2022</t>
        </is>
      </c>
      <c r="B6647" s="1" t="n">
        <v>44827</v>
      </c>
      <c r="C6647" s="1" t="n">
        <v>45657</v>
      </c>
      <c r="D6647" t="inlineStr">
        <is>
          <t>VÄSTERNORRLANDS LÄN</t>
        </is>
      </c>
      <c r="E6647" t="inlineStr">
        <is>
          <t>SOLLEFTEÅ</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41486-2022</t>
        </is>
      </c>
      <c r="B6648" s="1" t="n">
        <v>44827</v>
      </c>
      <c r="C6648" s="1" t="n">
        <v>45657</v>
      </c>
      <c r="D6648" t="inlineStr">
        <is>
          <t>VÄSTERNORRLANDS LÄN</t>
        </is>
      </c>
      <c r="E6648" t="inlineStr">
        <is>
          <t>SOLLEFTEÅ</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41455-2022</t>
        </is>
      </c>
      <c r="B6649" s="1" t="n">
        <v>44826</v>
      </c>
      <c r="C6649" s="1" t="n">
        <v>45657</v>
      </c>
      <c r="D6649" t="inlineStr">
        <is>
          <t>VÄSTERNORRLANDS LÄN</t>
        </is>
      </c>
      <c r="E6649" t="inlineStr">
        <is>
          <t>SOLLEFTEÅ</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41474-2022</t>
        </is>
      </c>
      <c r="B6650" s="1" t="n">
        <v>44827</v>
      </c>
      <c r="C6650" s="1" t="n">
        <v>45657</v>
      </c>
      <c r="D6650" t="inlineStr">
        <is>
          <t>VÄSTERNORRLANDS LÄN</t>
        </is>
      </c>
      <c r="E6650" t="inlineStr">
        <is>
          <t>SOLLEFTEÅ</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41480-2022</t>
        </is>
      </c>
      <c r="B6651" s="1" t="n">
        <v>44827</v>
      </c>
      <c r="C6651" s="1" t="n">
        <v>45657</v>
      </c>
      <c r="D6651" t="inlineStr">
        <is>
          <t>VÄSTERNORRLANDS LÄN</t>
        </is>
      </c>
      <c r="E6651" t="inlineStr">
        <is>
          <t>SOLLEFTEÅ</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41488-2022</t>
        </is>
      </c>
      <c r="B6652" s="1" t="n">
        <v>44826</v>
      </c>
      <c r="C6652" s="1" t="n">
        <v>45657</v>
      </c>
      <c r="D6652" t="inlineStr">
        <is>
          <t>VÄSTERNORRLANDS LÄN</t>
        </is>
      </c>
      <c r="E6652" t="inlineStr">
        <is>
          <t>SOLLEFTEÅ</t>
        </is>
      </c>
      <c r="F6652" t="inlineStr">
        <is>
          <t>SCA</t>
        </is>
      </c>
      <c r="G6652" t="n">
        <v>14.7</v>
      </c>
      <c r="H6652" t="n">
        <v>0</v>
      </c>
      <c r="I6652" t="n">
        <v>0</v>
      </c>
      <c r="J6652" t="n">
        <v>0</v>
      </c>
      <c r="K6652" t="n">
        <v>0</v>
      </c>
      <c r="L6652" t="n">
        <v>0</v>
      </c>
      <c r="M6652" t="n">
        <v>0</v>
      </c>
      <c r="N6652" t="n">
        <v>0</v>
      </c>
      <c r="O6652" t="n">
        <v>0</v>
      </c>
      <c r="P6652" t="n">
        <v>0</v>
      </c>
      <c r="Q6652" t="n">
        <v>0</v>
      </c>
      <c r="R6652" s="2" t="inlineStr"/>
    </row>
    <row r="6653" ht="15" customHeight="1">
      <c r="A6653" t="inlineStr">
        <is>
          <t>A 41487-2022</t>
        </is>
      </c>
      <c r="B6653" s="1" t="n">
        <v>44827</v>
      </c>
      <c r="C6653" s="1" t="n">
        <v>45657</v>
      </c>
      <c r="D6653" t="inlineStr">
        <is>
          <t>VÄSTERNORRLANDS LÄN</t>
        </is>
      </c>
      <c r="E6653" t="inlineStr">
        <is>
          <t>SOLLEFTEÅ</t>
        </is>
      </c>
      <c r="F6653" t="inlineStr">
        <is>
          <t>SCA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41495-2022</t>
        </is>
      </c>
      <c r="B6654" s="1" t="n">
        <v>44826</v>
      </c>
      <c r="C6654" s="1" t="n">
        <v>45657</v>
      </c>
      <c r="D6654" t="inlineStr">
        <is>
          <t>VÄSTERNORRLANDS LÄN</t>
        </is>
      </c>
      <c r="E6654" t="inlineStr">
        <is>
          <t>SUNDSVALL</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41479-2022</t>
        </is>
      </c>
      <c r="B6655" s="1" t="n">
        <v>44827</v>
      </c>
      <c r="C6655" s="1" t="n">
        <v>45657</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41494-2022</t>
        </is>
      </c>
      <c r="B6656" s="1" t="n">
        <v>44827</v>
      </c>
      <c r="C6656" s="1" t="n">
        <v>45657</v>
      </c>
      <c r="D6656" t="inlineStr">
        <is>
          <t>VÄSTERNORRLANDS LÄN</t>
        </is>
      </c>
      <c r="E6656" t="inlineStr">
        <is>
          <t>SUNDSVALL</t>
        </is>
      </c>
      <c r="F6656" t="inlineStr">
        <is>
          <t>SCA</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41641-2022</t>
        </is>
      </c>
      <c r="B6657" s="1" t="n">
        <v>44827</v>
      </c>
      <c r="C6657" s="1" t="n">
        <v>45657</v>
      </c>
      <c r="D6657" t="inlineStr">
        <is>
          <t>VÄSTERNORRLANDS LÄN</t>
        </is>
      </c>
      <c r="E6657" t="inlineStr">
        <is>
          <t>ÖRNSKÖLDSVIK</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41687-2022</t>
        </is>
      </c>
      <c r="B6658" s="1" t="n">
        <v>44827</v>
      </c>
      <c r="C6658" s="1" t="n">
        <v>45657</v>
      </c>
      <c r="D6658" t="inlineStr">
        <is>
          <t>VÄSTERNORRLANDS LÄN</t>
        </is>
      </c>
      <c r="E6658" t="inlineStr">
        <is>
          <t>ÖRNSKÖLDSVIK</t>
        </is>
      </c>
      <c r="F6658" t="inlineStr">
        <is>
          <t>Holmen skog AB</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41758-2022</t>
        </is>
      </c>
      <c r="B6659" s="1" t="n">
        <v>44827</v>
      </c>
      <c r="C6659" s="1" t="n">
        <v>45657</v>
      </c>
      <c r="D6659" t="inlineStr">
        <is>
          <t>VÄSTERNORRLANDS LÄN</t>
        </is>
      </c>
      <c r="E6659" t="inlineStr">
        <is>
          <t>ÖRNSKÖLDSVIK</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41813-2022</t>
        </is>
      </c>
      <c r="B6660" s="1" t="n">
        <v>44828</v>
      </c>
      <c r="C6660" s="1" t="n">
        <v>45657</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41825-2022</t>
        </is>
      </c>
      <c r="B6661" s="1" t="n">
        <v>44827</v>
      </c>
      <c r="C6661" s="1" t="n">
        <v>45657</v>
      </c>
      <c r="D6661" t="inlineStr">
        <is>
          <t>VÄSTERNORRLANDS LÄN</t>
        </is>
      </c>
      <c r="E6661" t="inlineStr">
        <is>
          <t>ÅNGE</t>
        </is>
      </c>
      <c r="F6661" t="inlineStr">
        <is>
          <t>SCA</t>
        </is>
      </c>
      <c r="G6661" t="n">
        <v>3.3</v>
      </c>
      <c r="H6661" t="n">
        <v>0</v>
      </c>
      <c r="I6661" t="n">
        <v>0</v>
      </c>
      <c r="J6661" t="n">
        <v>0</v>
      </c>
      <c r="K6661" t="n">
        <v>0</v>
      </c>
      <c r="L6661" t="n">
        <v>0</v>
      </c>
      <c r="M6661" t="n">
        <v>0</v>
      </c>
      <c r="N6661" t="n">
        <v>0</v>
      </c>
      <c r="O6661" t="n">
        <v>0</v>
      </c>
      <c r="P6661" t="n">
        <v>0</v>
      </c>
      <c r="Q6661" t="n">
        <v>0</v>
      </c>
      <c r="R6661" s="2" t="inlineStr"/>
      <c r="U6661">
        <f>HYPERLINK("https://klasma.github.io/Logging_2260/knärot/A 41825-2022 karta knärot.png", "A 41825-2022")</f>
        <v/>
      </c>
      <c r="V6661">
        <f>HYPERLINK("https://klasma.github.io/Logging_2260/klagomål/A 41825-2022 FSC-klagomål.docx", "A 41825-2022")</f>
        <v/>
      </c>
      <c r="W6661">
        <f>HYPERLINK("https://klasma.github.io/Logging_2260/klagomålsmail/A 41825-2022 FSC-klagomål mail.docx", "A 41825-2022")</f>
        <v/>
      </c>
      <c r="X6661">
        <f>HYPERLINK("https://klasma.github.io/Logging_2260/tillsyn/A 41825-2022 tillsynsbegäran.docx", "A 41825-2022")</f>
        <v/>
      </c>
      <c r="Y6661">
        <f>HYPERLINK("https://klasma.github.io/Logging_2260/tillsynsmail/A 41825-2022 tillsynsbegäran mail.docx", "A 41825-2022")</f>
        <v/>
      </c>
    </row>
    <row r="6662" ht="15" customHeight="1">
      <c r="A6662" t="inlineStr">
        <is>
          <t>A 41600-2022</t>
        </is>
      </c>
      <c r="B6662" s="1" t="n">
        <v>44827</v>
      </c>
      <c r="C6662" s="1" t="n">
        <v>45657</v>
      </c>
      <c r="D6662" t="inlineStr">
        <is>
          <t>VÄSTERNORRLANDS LÄN</t>
        </is>
      </c>
      <c r="E6662" t="inlineStr">
        <is>
          <t>ÖRNSKÖLDSVIK</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41805-2022</t>
        </is>
      </c>
      <c r="B6663" s="1" t="n">
        <v>44827</v>
      </c>
      <c r="C6663" s="1" t="n">
        <v>45657</v>
      </c>
      <c r="D6663" t="inlineStr">
        <is>
          <t>VÄSTERNORRLANDS LÄN</t>
        </is>
      </c>
      <c r="E6663" t="inlineStr">
        <is>
          <t>SUNDSVALL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41800-2022</t>
        </is>
      </c>
      <c r="B6664" s="1" t="n">
        <v>44828</v>
      </c>
      <c r="C6664" s="1" t="n">
        <v>45657</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41804-2022</t>
        </is>
      </c>
      <c r="B6665" s="1" t="n">
        <v>44827</v>
      </c>
      <c r="C6665" s="1" t="n">
        <v>45657</v>
      </c>
      <c r="D6665" t="inlineStr">
        <is>
          <t>VÄSTERNORRLANDS LÄN</t>
        </is>
      </c>
      <c r="E6665" t="inlineStr">
        <is>
          <t>SUNDSVALL</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41847-2022</t>
        </is>
      </c>
      <c r="B6666" s="1" t="n">
        <v>44828</v>
      </c>
      <c r="C6666" s="1" t="n">
        <v>45657</v>
      </c>
      <c r="D6666" t="inlineStr">
        <is>
          <t>VÄSTERNORRLANDS LÄN</t>
        </is>
      </c>
      <c r="E6666" t="inlineStr">
        <is>
          <t>ÖRNSKÖLDSVIK</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41860-2022</t>
        </is>
      </c>
      <c r="B6667" s="1" t="n">
        <v>44829</v>
      </c>
      <c r="C6667" s="1" t="n">
        <v>45657</v>
      </c>
      <c r="D6667" t="inlineStr">
        <is>
          <t>VÄSTERNORRLANDS LÄN</t>
        </is>
      </c>
      <c r="E6667" t="inlineStr">
        <is>
          <t>ÖRNSKÖLDSVIK</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42063-2022</t>
        </is>
      </c>
      <c r="B6668" s="1" t="n">
        <v>44830</v>
      </c>
      <c r="C6668" s="1" t="n">
        <v>45657</v>
      </c>
      <c r="D6668" t="inlineStr">
        <is>
          <t>VÄSTERNORRLANDS LÄN</t>
        </is>
      </c>
      <c r="E6668" t="inlineStr">
        <is>
          <t>KRAMFORS</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42048-2022</t>
        </is>
      </c>
      <c r="B6669" s="1" t="n">
        <v>44830</v>
      </c>
      <c r="C6669" s="1" t="n">
        <v>45657</v>
      </c>
      <c r="D6669" t="inlineStr">
        <is>
          <t>VÄSTERNORRLANDS LÄN</t>
        </is>
      </c>
      <c r="E6669" t="inlineStr">
        <is>
          <t>ÖRNSKÖLDSVIK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42167-2022</t>
        </is>
      </c>
      <c r="B6670" s="1" t="n">
        <v>44830</v>
      </c>
      <c r="C6670" s="1" t="n">
        <v>45657</v>
      </c>
      <c r="D6670" t="inlineStr">
        <is>
          <t>VÄSTERNORRLANDS LÄN</t>
        </is>
      </c>
      <c r="E6670" t="inlineStr">
        <is>
          <t>ÖRNSKÖLDSVIK</t>
        </is>
      </c>
      <c r="F6670" t="inlineStr">
        <is>
          <t>Holmen skog AB</t>
        </is>
      </c>
      <c r="G6670" t="n">
        <v>11.8</v>
      </c>
      <c r="H6670" t="n">
        <v>0</v>
      </c>
      <c r="I6670" t="n">
        <v>0</v>
      </c>
      <c r="J6670" t="n">
        <v>0</v>
      </c>
      <c r="K6670" t="n">
        <v>0</v>
      </c>
      <c r="L6670" t="n">
        <v>0</v>
      </c>
      <c r="M6670" t="n">
        <v>0</v>
      </c>
      <c r="N6670" t="n">
        <v>0</v>
      </c>
      <c r="O6670" t="n">
        <v>0</v>
      </c>
      <c r="P6670" t="n">
        <v>0</v>
      </c>
      <c r="Q6670" t="n">
        <v>0</v>
      </c>
      <c r="R6670" s="2" t="inlineStr"/>
    </row>
    <row r="6671" ht="15" customHeight="1">
      <c r="A6671" t="inlineStr">
        <is>
          <t>A 42134-2022</t>
        </is>
      </c>
      <c r="B6671" s="1" t="n">
        <v>44830</v>
      </c>
      <c r="C6671" s="1" t="n">
        <v>45657</v>
      </c>
      <c r="D6671" t="inlineStr">
        <is>
          <t>VÄSTERNORRLANDS LÄN</t>
        </is>
      </c>
      <c r="E6671" t="inlineStr">
        <is>
          <t>ÖRNSKÖLDSVIK</t>
        </is>
      </c>
      <c r="F6671" t="inlineStr">
        <is>
          <t>Holmen skog AB</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42202-2022</t>
        </is>
      </c>
      <c r="B6672" s="1" t="n">
        <v>44830</v>
      </c>
      <c r="C6672" s="1" t="n">
        <v>45657</v>
      </c>
      <c r="D6672" t="inlineStr">
        <is>
          <t>VÄSTERNORRLANDS LÄN</t>
        </is>
      </c>
      <c r="E6672" t="inlineStr">
        <is>
          <t>ÖRNSKÖLDSVIK</t>
        </is>
      </c>
      <c r="F6672" t="inlineStr">
        <is>
          <t>Holmen skog AB</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42272-2022</t>
        </is>
      </c>
      <c r="B6673" s="1" t="n">
        <v>44831</v>
      </c>
      <c r="C6673" s="1" t="n">
        <v>45657</v>
      </c>
      <c r="D6673" t="inlineStr">
        <is>
          <t>VÄSTERNORRLANDS LÄN</t>
        </is>
      </c>
      <c r="E6673" t="inlineStr">
        <is>
          <t>SOLLEFTEÅ</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42299-2022</t>
        </is>
      </c>
      <c r="B6674" s="1" t="n">
        <v>44830</v>
      </c>
      <c r="C6674" s="1" t="n">
        <v>45657</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42303-2022</t>
        </is>
      </c>
      <c r="B6675" s="1" t="n">
        <v>44831</v>
      </c>
      <c r="C6675" s="1" t="n">
        <v>45657</v>
      </c>
      <c r="D6675" t="inlineStr">
        <is>
          <t>VÄSTERNORRLANDS LÄN</t>
        </is>
      </c>
      <c r="E6675" t="inlineStr">
        <is>
          <t>SOLLEFTEÅ</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42282-2022</t>
        </is>
      </c>
      <c r="B6676" s="1" t="n">
        <v>44831</v>
      </c>
      <c r="C6676" s="1" t="n">
        <v>45657</v>
      </c>
      <c r="D6676" t="inlineStr">
        <is>
          <t>VÄSTERNORRLANDS LÄN</t>
        </is>
      </c>
      <c r="E6676" t="inlineStr">
        <is>
          <t>SUNDSVALL</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42275-2022</t>
        </is>
      </c>
      <c r="B6677" s="1" t="n">
        <v>44830</v>
      </c>
      <c r="C6677" s="1" t="n">
        <v>45657</v>
      </c>
      <c r="D6677" t="inlineStr">
        <is>
          <t>VÄSTERNORRLANDS LÄN</t>
        </is>
      </c>
      <c r="E6677" t="inlineStr">
        <is>
          <t>SOLLEFTEÅ</t>
        </is>
      </c>
      <c r="F6677" t="inlineStr">
        <is>
          <t>SCA</t>
        </is>
      </c>
      <c r="G6677" t="n">
        <v>26.9</v>
      </c>
      <c r="H6677" t="n">
        <v>0</v>
      </c>
      <c r="I6677" t="n">
        <v>0</v>
      </c>
      <c r="J6677" t="n">
        <v>0</v>
      </c>
      <c r="K6677" t="n">
        <v>0</v>
      </c>
      <c r="L6677" t="n">
        <v>0</v>
      </c>
      <c r="M6677" t="n">
        <v>0</v>
      </c>
      <c r="N6677" t="n">
        <v>0</v>
      </c>
      <c r="O6677" t="n">
        <v>0</v>
      </c>
      <c r="P6677" t="n">
        <v>0</v>
      </c>
      <c r="Q6677" t="n">
        <v>0</v>
      </c>
      <c r="R6677" s="2" t="inlineStr"/>
    </row>
    <row r="6678" ht="15" customHeight="1">
      <c r="A6678" t="inlineStr">
        <is>
          <t>A 42300-2022</t>
        </is>
      </c>
      <c r="B6678" s="1" t="n">
        <v>44831</v>
      </c>
      <c r="C6678" s="1" t="n">
        <v>45657</v>
      </c>
      <c r="D6678" t="inlineStr">
        <is>
          <t>VÄSTERNORRLANDS LÄN</t>
        </is>
      </c>
      <c r="E6678" t="inlineStr">
        <is>
          <t>SOLLEFTEÅ</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42281-2022</t>
        </is>
      </c>
      <c r="B6679" s="1" t="n">
        <v>44830</v>
      </c>
      <c r="C6679" s="1" t="n">
        <v>45657</v>
      </c>
      <c r="D6679" t="inlineStr">
        <is>
          <t>VÄSTERNORRLANDS LÄN</t>
        </is>
      </c>
      <c r="E6679" t="inlineStr">
        <is>
          <t>TIMRÅ</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42302-2022</t>
        </is>
      </c>
      <c r="B6680" s="1" t="n">
        <v>44830</v>
      </c>
      <c r="C6680" s="1" t="n">
        <v>45657</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42366-2022</t>
        </is>
      </c>
      <c r="B6681" s="1" t="n">
        <v>44831</v>
      </c>
      <c r="C6681" s="1" t="n">
        <v>45657</v>
      </c>
      <c r="D6681" t="inlineStr">
        <is>
          <t>VÄSTERNORRLANDS LÄN</t>
        </is>
      </c>
      <c r="E6681" t="inlineStr">
        <is>
          <t>ÖRNSKÖLDSVIK</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42482-2022</t>
        </is>
      </c>
      <c r="B6682" s="1" t="n">
        <v>44831</v>
      </c>
      <c r="C6682" s="1" t="n">
        <v>45657</v>
      </c>
      <c r="D6682" t="inlineStr">
        <is>
          <t>VÄSTERNORRLANDS LÄN</t>
        </is>
      </c>
      <c r="E6682" t="inlineStr">
        <is>
          <t>SOLLEFTEÅ</t>
        </is>
      </c>
      <c r="F6682" t="inlineStr">
        <is>
          <t>Holmen skog AB</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42363-2022</t>
        </is>
      </c>
      <c r="B6683" s="1" t="n">
        <v>44831</v>
      </c>
      <c r="C6683" s="1" t="n">
        <v>45657</v>
      </c>
      <c r="D6683" t="inlineStr">
        <is>
          <t>VÄSTERNORRLANDS LÄN</t>
        </is>
      </c>
      <c r="E6683" t="inlineStr">
        <is>
          <t>ÖRNSKÖLDSVIK</t>
        </is>
      </c>
      <c r="F6683" t="inlineStr">
        <is>
          <t>Holmen skog AB</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42430-2022</t>
        </is>
      </c>
      <c r="B6684" s="1" t="n">
        <v>44831</v>
      </c>
      <c r="C6684" s="1" t="n">
        <v>45657</v>
      </c>
      <c r="D6684" t="inlineStr">
        <is>
          <t>VÄSTERNORRLANDS LÄN</t>
        </is>
      </c>
      <c r="E6684" t="inlineStr">
        <is>
          <t>SOLLEFTEÅ</t>
        </is>
      </c>
      <c r="F6684" t="inlineStr">
        <is>
          <t>Holmen skog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42320-2022</t>
        </is>
      </c>
      <c r="B6685" s="1" t="n">
        <v>44831</v>
      </c>
      <c r="C6685" s="1" t="n">
        <v>45657</v>
      </c>
      <c r="D6685" t="inlineStr">
        <is>
          <t>VÄSTERNORRLANDS LÄN</t>
        </is>
      </c>
      <c r="E6685" t="inlineStr">
        <is>
          <t>ÖRNSKÖLDSVIK</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42344-2022</t>
        </is>
      </c>
      <c r="B6686" s="1" t="n">
        <v>44831</v>
      </c>
      <c r="C6686" s="1" t="n">
        <v>45657</v>
      </c>
      <c r="D6686" t="inlineStr">
        <is>
          <t>VÄSTERNORRLANDS LÄN</t>
        </is>
      </c>
      <c r="E6686" t="inlineStr">
        <is>
          <t>ÖRNSKÖLDSVIK</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42365-2022</t>
        </is>
      </c>
      <c r="B6687" s="1" t="n">
        <v>44831</v>
      </c>
      <c r="C6687" s="1" t="n">
        <v>45657</v>
      </c>
      <c r="D6687" t="inlineStr">
        <is>
          <t>VÄSTERNORRLANDS LÄN</t>
        </is>
      </c>
      <c r="E6687" t="inlineStr">
        <is>
          <t>ÖRNSKÖLDSVIK</t>
        </is>
      </c>
      <c r="F6687" t="inlineStr">
        <is>
          <t>Holmen skog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42634-2022</t>
        </is>
      </c>
      <c r="B6688" s="1" t="n">
        <v>44832</v>
      </c>
      <c r="C6688" s="1" t="n">
        <v>45657</v>
      </c>
      <c r="D6688" t="inlineStr">
        <is>
          <t>VÄSTERNORRLANDS LÄN</t>
        </is>
      </c>
      <c r="E6688" t="inlineStr">
        <is>
          <t>SOLLEFTEÅ</t>
        </is>
      </c>
      <c r="F6688" t="inlineStr">
        <is>
          <t>SCA</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42663-2022</t>
        </is>
      </c>
      <c r="B6689" s="1" t="n">
        <v>44831</v>
      </c>
      <c r="C6689" s="1" t="n">
        <v>45657</v>
      </c>
      <c r="D6689" t="inlineStr">
        <is>
          <t>VÄSTERNORRLANDS LÄN</t>
        </is>
      </c>
      <c r="E6689" t="inlineStr">
        <is>
          <t>SOLLEFTEÅ</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42664-2022</t>
        </is>
      </c>
      <c r="B6690" s="1" t="n">
        <v>44831</v>
      </c>
      <c r="C6690" s="1" t="n">
        <v>45657</v>
      </c>
      <c r="D6690" t="inlineStr">
        <is>
          <t>VÄSTERNORRLANDS LÄN</t>
        </is>
      </c>
      <c r="E6690" t="inlineStr">
        <is>
          <t>SOLLEFTEÅ</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42654-2022</t>
        </is>
      </c>
      <c r="B6691" s="1" t="n">
        <v>44832</v>
      </c>
      <c r="C6691" s="1" t="n">
        <v>45657</v>
      </c>
      <c r="D6691" t="inlineStr">
        <is>
          <t>VÄSTERNORRLANDS LÄN</t>
        </is>
      </c>
      <c r="E6691" t="inlineStr">
        <is>
          <t>SOLLEFTEÅ</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42730-2022</t>
        </is>
      </c>
      <c r="B6692" s="1" t="n">
        <v>44832</v>
      </c>
      <c r="C6692" s="1" t="n">
        <v>45657</v>
      </c>
      <c r="D6692" t="inlineStr">
        <is>
          <t>VÄSTERNORRLANDS LÄN</t>
        </is>
      </c>
      <c r="E6692" t="inlineStr">
        <is>
          <t>ÖRNSKÖLDSVIK</t>
        </is>
      </c>
      <c r="F6692" t="inlineStr">
        <is>
          <t>Holmen skog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42762-2022</t>
        </is>
      </c>
      <c r="B6693" s="1" t="n">
        <v>44832</v>
      </c>
      <c r="C6693" s="1" t="n">
        <v>45657</v>
      </c>
      <c r="D6693" t="inlineStr">
        <is>
          <t>VÄSTERNORRLANDS LÄN</t>
        </is>
      </c>
      <c r="E6693" t="inlineStr">
        <is>
          <t>ÖRNSKÖLDSVIK</t>
        </is>
      </c>
      <c r="F6693" t="inlineStr">
        <is>
          <t>Holmen skog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42771-2022</t>
        </is>
      </c>
      <c r="B6694" s="1" t="n">
        <v>44832</v>
      </c>
      <c r="C6694" s="1" t="n">
        <v>45657</v>
      </c>
      <c r="D6694" t="inlineStr">
        <is>
          <t>VÄSTERNORRLANDS LÄN</t>
        </is>
      </c>
      <c r="E6694" t="inlineStr">
        <is>
          <t>SOLLEFTEÅ</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42818-2022</t>
        </is>
      </c>
      <c r="B6695" s="1" t="n">
        <v>44832</v>
      </c>
      <c r="C6695" s="1" t="n">
        <v>45657</v>
      </c>
      <c r="D6695" t="inlineStr">
        <is>
          <t>VÄSTERNORRLANDS LÄN</t>
        </is>
      </c>
      <c r="E6695" t="inlineStr">
        <is>
          <t>SUNDSVALL</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42726-2022</t>
        </is>
      </c>
      <c r="B6696" s="1" t="n">
        <v>44832</v>
      </c>
      <c r="C6696" s="1" t="n">
        <v>45657</v>
      </c>
      <c r="D6696" t="inlineStr">
        <is>
          <t>VÄSTERNORRLANDS LÄN</t>
        </is>
      </c>
      <c r="E6696" t="inlineStr">
        <is>
          <t>SUNDSVALL</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42755-2022</t>
        </is>
      </c>
      <c r="B6697" s="1" t="n">
        <v>44832</v>
      </c>
      <c r="C6697" s="1" t="n">
        <v>45657</v>
      </c>
      <c r="D6697" t="inlineStr">
        <is>
          <t>VÄSTERNORRLANDS LÄN</t>
        </is>
      </c>
      <c r="E6697" t="inlineStr">
        <is>
          <t>SOLLEFTEÅ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42705-2022</t>
        </is>
      </c>
      <c r="B6698" s="1" t="n">
        <v>44832</v>
      </c>
      <c r="C6698" s="1" t="n">
        <v>45657</v>
      </c>
      <c r="D6698" t="inlineStr">
        <is>
          <t>VÄSTERNORRLANDS LÄN</t>
        </is>
      </c>
      <c r="E6698" t="inlineStr">
        <is>
          <t>ÖRNSKÖLDSVIK</t>
        </is>
      </c>
      <c r="F6698" t="inlineStr">
        <is>
          <t>Holmen skog AB</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42715-2022</t>
        </is>
      </c>
      <c r="B6699" s="1" t="n">
        <v>44832</v>
      </c>
      <c r="C6699" s="1" t="n">
        <v>45657</v>
      </c>
      <c r="D6699" t="inlineStr">
        <is>
          <t>VÄSTERNORRLANDS LÄN</t>
        </is>
      </c>
      <c r="E6699" t="inlineStr">
        <is>
          <t>ÖRNSKÖLDSVIK</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42857-2022</t>
        </is>
      </c>
      <c r="B6700" s="1" t="n">
        <v>44832</v>
      </c>
      <c r="C6700" s="1" t="n">
        <v>45657</v>
      </c>
      <c r="D6700" t="inlineStr">
        <is>
          <t>VÄSTERNORRLANDS LÄN</t>
        </is>
      </c>
      <c r="E6700" t="inlineStr">
        <is>
          <t>ÅNGE</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42879-2022</t>
        </is>
      </c>
      <c r="B6701" s="1" t="n">
        <v>44832</v>
      </c>
      <c r="C6701" s="1" t="n">
        <v>45657</v>
      </c>
      <c r="D6701" t="inlineStr">
        <is>
          <t>VÄSTERNORRLANDS LÄN</t>
        </is>
      </c>
      <c r="E6701" t="inlineStr">
        <is>
          <t>SUNDSVALL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42852-2022</t>
        </is>
      </c>
      <c r="B6702" s="1" t="n">
        <v>44832</v>
      </c>
      <c r="C6702" s="1" t="n">
        <v>45657</v>
      </c>
      <c r="D6702" t="inlineStr">
        <is>
          <t>VÄSTERNORRLANDS LÄN</t>
        </is>
      </c>
      <c r="E6702" t="inlineStr">
        <is>
          <t>ÖRNSKÖLDSVIK</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42878-2022</t>
        </is>
      </c>
      <c r="B6703" s="1" t="n">
        <v>44833</v>
      </c>
      <c r="C6703" s="1" t="n">
        <v>45657</v>
      </c>
      <c r="D6703" t="inlineStr">
        <is>
          <t>VÄSTERNORRLANDS LÄN</t>
        </is>
      </c>
      <c r="E6703" t="inlineStr">
        <is>
          <t>SUNDSVALL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42885-2022</t>
        </is>
      </c>
      <c r="B6704" s="1" t="n">
        <v>44833</v>
      </c>
      <c r="C6704" s="1" t="n">
        <v>45657</v>
      </c>
      <c r="D6704" t="inlineStr">
        <is>
          <t>VÄSTERNORRLANDS LÄN</t>
        </is>
      </c>
      <c r="E6704" t="inlineStr">
        <is>
          <t>SOLLEFTEÅ</t>
        </is>
      </c>
      <c r="F6704" t="inlineStr">
        <is>
          <t>SCA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42891-2022</t>
        </is>
      </c>
      <c r="B6705" s="1" t="n">
        <v>44833</v>
      </c>
      <c r="C6705" s="1" t="n">
        <v>45657</v>
      </c>
      <c r="D6705" t="inlineStr">
        <is>
          <t>VÄSTERNORRLANDS LÄN</t>
        </is>
      </c>
      <c r="E6705" t="inlineStr">
        <is>
          <t>SOLLEFTEÅ</t>
        </is>
      </c>
      <c r="F6705" t="inlineStr">
        <is>
          <t>SCA</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43035-2022</t>
        </is>
      </c>
      <c r="B6706" s="1" t="n">
        <v>44833</v>
      </c>
      <c r="C6706" s="1" t="n">
        <v>45657</v>
      </c>
      <c r="D6706" t="inlineStr">
        <is>
          <t>VÄSTERNORRLANDS LÄN</t>
        </is>
      </c>
      <c r="E6706" t="inlineStr">
        <is>
          <t>SOLLEFTEÅ</t>
        </is>
      </c>
      <c r="F6706" t="inlineStr">
        <is>
          <t>Kommuner</t>
        </is>
      </c>
      <c r="G6706" t="n">
        <v>19.8</v>
      </c>
      <c r="H6706" t="n">
        <v>0</v>
      </c>
      <c r="I6706" t="n">
        <v>0</v>
      </c>
      <c r="J6706" t="n">
        <v>0</v>
      </c>
      <c r="K6706" t="n">
        <v>0</v>
      </c>
      <c r="L6706" t="n">
        <v>0</v>
      </c>
      <c r="M6706" t="n">
        <v>0</v>
      </c>
      <c r="N6706" t="n">
        <v>0</v>
      </c>
      <c r="O6706" t="n">
        <v>0</v>
      </c>
      <c r="P6706" t="n">
        <v>0</v>
      </c>
      <c r="Q6706" t="n">
        <v>0</v>
      </c>
      <c r="R6706" s="2" t="inlineStr"/>
    </row>
    <row r="6707" ht="15" customHeight="1">
      <c r="A6707" t="inlineStr">
        <is>
          <t>A 42912-2022</t>
        </is>
      </c>
      <c r="B6707" s="1" t="n">
        <v>44833</v>
      </c>
      <c r="C6707" s="1" t="n">
        <v>45657</v>
      </c>
      <c r="D6707" t="inlineStr">
        <is>
          <t>VÄSTERNORRLANDS LÄN</t>
        </is>
      </c>
      <c r="E6707" t="inlineStr">
        <is>
          <t>ÖRNSKÖLDSVIK</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42969-2022</t>
        </is>
      </c>
      <c r="B6708" s="1" t="n">
        <v>44833</v>
      </c>
      <c r="C6708" s="1" t="n">
        <v>45657</v>
      </c>
      <c r="D6708" t="inlineStr">
        <is>
          <t>VÄSTERNORRLANDS LÄN</t>
        </is>
      </c>
      <c r="E6708" t="inlineStr">
        <is>
          <t>SUNDSVALL</t>
        </is>
      </c>
      <c r="F6708" t="inlineStr">
        <is>
          <t>Holmen skog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43066-2022</t>
        </is>
      </c>
      <c r="B6709" s="1" t="n">
        <v>44833</v>
      </c>
      <c r="C6709" s="1" t="n">
        <v>45657</v>
      </c>
      <c r="D6709" t="inlineStr">
        <is>
          <t>VÄSTERNORRLANDS LÄN</t>
        </is>
      </c>
      <c r="E6709" t="inlineStr">
        <is>
          <t>ÅNGE</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43112-2022</t>
        </is>
      </c>
      <c r="B6710" s="1" t="n">
        <v>44833</v>
      </c>
      <c r="C6710" s="1" t="n">
        <v>45657</v>
      </c>
      <c r="D6710" t="inlineStr">
        <is>
          <t>VÄSTERNORRLANDS LÄN</t>
        </is>
      </c>
      <c r="E6710" t="inlineStr">
        <is>
          <t>SUNDSVALL</t>
        </is>
      </c>
      <c r="F6710" t="inlineStr">
        <is>
          <t>Kyrkan</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43130-2022</t>
        </is>
      </c>
      <c r="B6711" s="1" t="n">
        <v>44833</v>
      </c>
      <c r="C6711" s="1" t="n">
        <v>45657</v>
      </c>
      <c r="D6711" t="inlineStr">
        <is>
          <t>VÄSTERNORRLANDS LÄN</t>
        </is>
      </c>
      <c r="E6711" t="inlineStr">
        <is>
          <t>SOLLEFTEÅ</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43137-2022</t>
        </is>
      </c>
      <c r="B6712" s="1" t="n">
        <v>44834</v>
      </c>
      <c r="C6712" s="1" t="n">
        <v>45657</v>
      </c>
      <c r="D6712" t="inlineStr">
        <is>
          <t>VÄSTERNORRLANDS LÄN</t>
        </is>
      </c>
      <c r="E6712" t="inlineStr">
        <is>
          <t>SOLLEFTEÅ</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43124-2022</t>
        </is>
      </c>
      <c r="B6713" s="1" t="n">
        <v>44834</v>
      </c>
      <c r="C6713" s="1" t="n">
        <v>45657</v>
      </c>
      <c r="D6713" t="inlineStr">
        <is>
          <t>VÄSTERNORRLANDS LÄN</t>
        </is>
      </c>
      <c r="E6713" t="inlineStr">
        <is>
          <t>SOLLEFTEÅ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43122-2022</t>
        </is>
      </c>
      <c r="B6714" s="1" t="n">
        <v>44834</v>
      </c>
      <c r="C6714" s="1" t="n">
        <v>45657</v>
      </c>
      <c r="D6714" t="inlineStr">
        <is>
          <t>VÄSTERNORRLANDS LÄN</t>
        </is>
      </c>
      <c r="E6714" t="inlineStr">
        <is>
          <t>SOLLEFTEÅ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43148-2022</t>
        </is>
      </c>
      <c r="B6715" s="1" t="n">
        <v>44834</v>
      </c>
      <c r="C6715" s="1" t="n">
        <v>45657</v>
      </c>
      <c r="D6715" t="inlineStr">
        <is>
          <t>VÄSTERNORRLANDS LÄN</t>
        </is>
      </c>
      <c r="E6715" t="inlineStr">
        <is>
          <t>SOLLEFTEÅ</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43149-2022</t>
        </is>
      </c>
      <c r="B6716" s="1" t="n">
        <v>44834</v>
      </c>
      <c r="C6716" s="1" t="n">
        <v>45657</v>
      </c>
      <c r="D6716" t="inlineStr">
        <is>
          <t>VÄSTERNORRLANDS LÄN</t>
        </is>
      </c>
      <c r="E6716" t="inlineStr">
        <is>
          <t>SOLLEFTEÅ</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43233-2022</t>
        </is>
      </c>
      <c r="B6717" s="1" t="n">
        <v>44833</v>
      </c>
      <c r="C6717" s="1" t="n">
        <v>45657</v>
      </c>
      <c r="D6717" t="inlineStr">
        <is>
          <t>VÄSTERNORRLANDS LÄN</t>
        </is>
      </c>
      <c r="E6717" t="inlineStr">
        <is>
          <t>TIMRÅ</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43135-2022</t>
        </is>
      </c>
      <c r="B6718" s="1" t="n">
        <v>44833</v>
      </c>
      <c r="C6718" s="1" t="n">
        <v>45657</v>
      </c>
      <c r="D6718" t="inlineStr">
        <is>
          <t>VÄSTERNORRLANDS LÄN</t>
        </is>
      </c>
      <c r="E6718" t="inlineStr">
        <is>
          <t>TIMRÅ</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43162-2022</t>
        </is>
      </c>
      <c r="B6719" s="1" t="n">
        <v>44834</v>
      </c>
      <c r="C6719" s="1" t="n">
        <v>45657</v>
      </c>
      <c r="D6719" t="inlineStr">
        <is>
          <t>VÄSTERNORRLANDS LÄN</t>
        </is>
      </c>
      <c r="E6719" t="inlineStr">
        <is>
          <t>TIMRÅ</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43340-2022</t>
        </is>
      </c>
      <c r="B6720" s="1" t="n">
        <v>44833</v>
      </c>
      <c r="C6720" s="1" t="n">
        <v>45657</v>
      </c>
      <c r="D6720" t="inlineStr">
        <is>
          <t>VÄSTERNORRLANDS LÄN</t>
        </is>
      </c>
      <c r="E6720" t="inlineStr">
        <is>
          <t>KRAMFORS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43237-2022</t>
        </is>
      </c>
      <c r="B6721" s="1" t="n">
        <v>44833</v>
      </c>
      <c r="C6721" s="1" t="n">
        <v>45657</v>
      </c>
      <c r="D6721" t="inlineStr">
        <is>
          <t>VÄSTERNORRLANDS LÄN</t>
        </is>
      </c>
      <c r="E6721" t="inlineStr">
        <is>
          <t>TIMRÅ</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43151-2022</t>
        </is>
      </c>
      <c r="B6722" s="1" t="n">
        <v>44834</v>
      </c>
      <c r="C6722" s="1" t="n">
        <v>45657</v>
      </c>
      <c r="D6722" t="inlineStr">
        <is>
          <t>VÄSTERNORRLANDS LÄN</t>
        </is>
      </c>
      <c r="E6722" t="inlineStr">
        <is>
          <t>SUNDSVALL</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43238-2022</t>
        </is>
      </c>
      <c r="B6723" s="1" t="n">
        <v>44833</v>
      </c>
      <c r="C6723" s="1" t="n">
        <v>45657</v>
      </c>
      <c r="D6723" t="inlineStr">
        <is>
          <t>VÄSTERNORRLANDS LÄN</t>
        </is>
      </c>
      <c r="E6723" t="inlineStr">
        <is>
          <t>KRAMFORS</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43176-2022</t>
        </is>
      </c>
      <c r="B6724" s="1" t="n">
        <v>44834</v>
      </c>
      <c r="C6724" s="1" t="n">
        <v>45657</v>
      </c>
      <c r="D6724" t="inlineStr">
        <is>
          <t>VÄSTERNORRLANDS LÄN</t>
        </is>
      </c>
      <c r="E6724" t="inlineStr">
        <is>
          <t>ÖRNSKÖLDSVIK</t>
        </is>
      </c>
      <c r="F6724" t="inlineStr">
        <is>
          <t>Holmen skog AB</t>
        </is>
      </c>
      <c r="G6724" t="n">
        <v>19.8</v>
      </c>
      <c r="H6724" t="n">
        <v>0</v>
      </c>
      <c r="I6724" t="n">
        <v>0</v>
      </c>
      <c r="J6724" t="n">
        <v>0</v>
      </c>
      <c r="K6724" t="n">
        <v>0</v>
      </c>
      <c r="L6724" t="n">
        <v>0</v>
      </c>
      <c r="M6724" t="n">
        <v>0</v>
      </c>
      <c r="N6724" t="n">
        <v>0</v>
      </c>
      <c r="O6724" t="n">
        <v>0</v>
      </c>
      <c r="P6724" t="n">
        <v>0</v>
      </c>
      <c r="Q6724" t="n">
        <v>0</v>
      </c>
      <c r="R6724" s="2" t="inlineStr"/>
    </row>
    <row r="6725" ht="15" customHeight="1">
      <c r="A6725" t="inlineStr">
        <is>
          <t>A 43259-2022</t>
        </is>
      </c>
      <c r="B6725" s="1" t="n">
        <v>44834</v>
      </c>
      <c r="C6725" s="1" t="n">
        <v>45657</v>
      </c>
      <c r="D6725" t="inlineStr">
        <is>
          <t>VÄSTERNORRLANDS LÄN</t>
        </is>
      </c>
      <c r="E6725" t="inlineStr">
        <is>
          <t>ÖRNSKÖLDSVIK</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43415-2022</t>
        </is>
      </c>
      <c r="B6726" s="1" t="n">
        <v>44834</v>
      </c>
      <c r="C6726" s="1" t="n">
        <v>45657</v>
      </c>
      <c r="D6726" t="inlineStr">
        <is>
          <t>VÄSTERNORRLANDS LÄN</t>
        </is>
      </c>
      <c r="E6726" t="inlineStr">
        <is>
          <t>HÄRNÖSAND</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43435-2022</t>
        </is>
      </c>
      <c r="B6727" s="1" t="n">
        <v>44834</v>
      </c>
      <c r="C6727" s="1" t="n">
        <v>45657</v>
      </c>
      <c r="D6727" t="inlineStr">
        <is>
          <t>VÄSTERNORRLANDS LÄN</t>
        </is>
      </c>
      <c r="E6727" t="inlineStr">
        <is>
          <t>KRAMFORS</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43442-2022</t>
        </is>
      </c>
      <c r="B6728" s="1" t="n">
        <v>44834</v>
      </c>
      <c r="C6728" s="1" t="n">
        <v>45657</v>
      </c>
      <c r="D6728" t="inlineStr">
        <is>
          <t>VÄSTERNORRLANDS LÄN</t>
        </is>
      </c>
      <c r="E6728" t="inlineStr">
        <is>
          <t>SOLLEFTEÅ</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43413-2022</t>
        </is>
      </c>
      <c r="B6729" s="1" t="n">
        <v>44834</v>
      </c>
      <c r="C6729" s="1" t="n">
        <v>45657</v>
      </c>
      <c r="D6729" t="inlineStr">
        <is>
          <t>VÄSTERNORRLANDS LÄN</t>
        </is>
      </c>
      <c r="E6729" t="inlineStr">
        <is>
          <t>SUNDSVALL</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43554-2022</t>
        </is>
      </c>
      <c r="B6730" s="1" t="n">
        <v>44834</v>
      </c>
      <c r="C6730" s="1" t="n">
        <v>45657</v>
      </c>
      <c r="D6730" t="inlineStr">
        <is>
          <t>VÄSTERNORRLANDS LÄN</t>
        </is>
      </c>
      <c r="E6730" t="inlineStr">
        <is>
          <t>KRAMFORS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43439-2022</t>
        </is>
      </c>
      <c r="B6731" s="1" t="n">
        <v>44835</v>
      </c>
      <c r="C6731" s="1" t="n">
        <v>45657</v>
      </c>
      <c r="D6731" t="inlineStr">
        <is>
          <t>VÄSTERNORRLANDS LÄN</t>
        </is>
      </c>
      <c r="E6731" t="inlineStr">
        <is>
          <t>ÖRNSKÖLDSVIK</t>
        </is>
      </c>
      <c r="F6731" t="inlineStr">
        <is>
          <t>SCA</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43440-2022</t>
        </is>
      </c>
      <c r="B6732" s="1" t="n">
        <v>44835</v>
      </c>
      <c r="C6732" s="1" t="n">
        <v>45657</v>
      </c>
      <c r="D6732" t="inlineStr">
        <is>
          <t>VÄSTERNORRLANDS LÄN</t>
        </is>
      </c>
      <c r="E6732" t="inlineStr">
        <is>
          <t>KRAMFORS</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43414-2022</t>
        </is>
      </c>
      <c r="B6733" s="1" t="n">
        <v>44835</v>
      </c>
      <c r="C6733" s="1" t="n">
        <v>45657</v>
      </c>
      <c r="D6733" t="inlineStr">
        <is>
          <t>VÄSTERNORRLANDS LÄN</t>
        </is>
      </c>
      <c r="E6733" t="inlineStr">
        <is>
          <t>HÄRNÖSAND</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43436-2022</t>
        </is>
      </c>
      <c r="B6734" s="1" t="n">
        <v>44835</v>
      </c>
      <c r="C6734" s="1" t="n">
        <v>45657</v>
      </c>
      <c r="D6734" t="inlineStr">
        <is>
          <t>VÄSTERNORRLANDS LÄN</t>
        </is>
      </c>
      <c r="E6734" t="inlineStr">
        <is>
          <t>HÄRNÖSAND</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43576-2022</t>
        </is>
      </c>
      <c r="B6735" s="1" t="n">
        <v>44834</v>
      </c>
      <c r="C6735" s="1" t="n">
        <v>45657</v>
      </c>
      <c r="D6735" t="inlineStr">
        <is>
          <t>VÄSTERNORRLANDS LÄN</t>
        </is>
      </c>
      <c r="E6735" t="inlineStr">
        <is>
          <t>ÖRNSKÖLDSVIK</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43469-2022</t>
        </is>
      </c>
      <c r="B6736" s="1" t="n">
        <v>44836</v>
      </c>
      <c r="C6736" s="1" t="n">
        <v>45657</v>
      </c>
      <c r="D6736" t="inlineStr">
        <is>
          <t>VÄSTERNORRLANDS LÄN</t>
        </is>
      </c>
      <c r="E6736" t="inlineStr">
        <is>
          <t>SOLLEFTEÅ</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43539-2022</t>
        </is>
      </c>
      <c r="B6737" s="1" t="n">
        <v>44837</v>
      </c>
      <c r="C6737" s="1" t="n">
        <v>45657</v>
      </c>
      <c r="D6737" t="inlineStr">
        <is>
          <t>VÄSTERNORRLANDS LÄN</t>
        </is>
      </c>
      <c r="E6737" t="inlineStr">
        <is>
          <t>HÄRNÖSAND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43654-2022</t>
        </is>
      </c>
      <c r="B6738" s="1" t="n">
        <v>44837</v>
      </c>
      <c r="C6738" s="1" t="n">
        <v>45657</v>
      </c>
      <c r="D6738" t="inlineStr">
        <is>
          <t>VÄSTERNORRLANDS LÄN</t>
        </is>
      </c>
      <c r="E6738" t="inlineStr">
        <is>
          <t>ÖRNSKÖLDSVIK</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43541-2022</t>
        </is>
      </c>
      <c r="B6739" s="1" t="n">
        <v>44837</v>
      </c>
      <c r="C6739" s="1" t="n">
        <v>45657</v>
      </c>
      <c r="D6739" t="inlineStr">
        <is>
          <t>VÄSTERNORRLANDS LÄN</t>
        </is>
      </c>
      <c r="E6739" t="inlineStr">
        <is>
          <t>HÄRNÖSAND</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43660-2022</t>
        </is>
      </c>
      <c r="B6740" s="1" t="n">
        <v>44837</v>
      </c>
      <c r="C6740" s="1" t="n">
        <v>45657</v>
      </c>
      <c r="D6740" t="inlineStr">
        <is>
          <t>VÄSTERNORRLANDS LÄN</t>
        </is>
      </c>
      <c r="E6740" t="inlineStr">
        <is>
          <t>ÖRNSKÖLDSVIK</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43770-2022</t>
        </is>
      </c>
      <c r="B6741" s="1" t="n">
        <v>44837</v>
      </c>
      <c r="C6741" s="1" t="n">
        <v>45657</v>
      </c>
      <c r="D6741" t="inlineStr">
        <is>
          <t>VÄSTERNORRLANDS LÄN</t>
        </is>
      </c>
      <c r="E6741" t="inlineStr">
        <is>
          <t>SUNDSVALL</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43774-2022</t>
        </is>
      </c>
      <c r="B6742" s="1" t="n">
        <v>44837</v>
      </c>
      <c r="C6742" s="1" t="n">
        <v>45657</v>
      </c>
      <c r="D6742" t="inlineStr">
        <is>
          <t>VÄSTERNORRLANDS LÄN</t>
        </is>
      </c>
      <c r="E6742" t="inlineStr">
        <is>
          <t>SOLLEFTEÅ</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43772-2022</t>
        </is>
      </c>
      <c r="B6743" s="1" t="n">
        <v>44837</v>
      </c>
      <c r="C6743" s="1" t="n">
        <v>45657</v>
      </c>
      <c r="D6743" t="inlineStr">
        <is>
          <t>VÄSTERNORRLANDS LÄN</t>
        </is>
      </c>
      <c r="E6743" t="inlineStr">
        <is>
          <t>SOLLEFTEÅ</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43783-2022</t>
        </is>
      </c>
      <c r="B6744" s="1" t="n">
        <v>44837</v>
      </c>
      <c r="C6744" s="1" t="n">
        <v>45657</v>
      </c>
      <c r="D6744" t="inlineStr">
        <is>
          <t>VÄSTERNORRLANDS LÄN</t>
        </is>
      </c>
      <c r="E6744" t="inlineStr">
        <is>
          <t>ÖRNSKÖLDSVIK</t>
        </is>
      </c>
      <c r="F6744" t="inlineStr">
        <is>
          <t>SCA</t>
        </is>
      </c>
      <c r="G6744" t="n">
        <v>80</v>
      </c>
      <c r="H6744" t="n">
        <v>0</v>
      </c>
      <c r="I6744" t="n">
        <v>0</v>
      </c>
      <c r="J6744" t="n">
        <v>0</v>
      </c>
      <c r="K6744" t="n">
        <v>0</v>
      </c>
      <c r="L6744" t="n">
        <v>0</v>
      </c>
      <c r="M6744" t="n">
        <v>0</v>
      </c>
      <c r="N6744" t="n">
        <v>0</v>
      </c>
      <c r="O6744" t="n">
        <v>0</v>
      </c>
      <c r="P6744" t="n">
        <v>0</v>
      </c>
      <c r="Q6744" t="n">
        <v>0</v>
      </c>
      <c r="R6744" s="2" t="inlineStr"/>
    </row>
    <row r="6745" ht="15" customHeight="1">
      <c r="A6745" t="inlineStr">
        <is>
          <t>A 43642-2022</t>
        </is>
      </c>
      <c r="B6745" s="1" t="n">
        <v>44837</v>
      </c>
      <c r="C6745" s="1" t="n">
        <v>45657</v>
      </c>
      <c r="D6745" t="inlineStr">
        <is>
          <t>VÄSTERNORRLANDS LÄN</t>
        </is>
      </c>
      <c r="E6745" t="inlineStr">
        <is>
          <t>ÖRNSKÖLDSVIK</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43762-2022</t>
        </is>
      </c>
      <c r="B6746" s="1" t="n">
        <v>44838</v>
      </c>
      <c r="C6746" s="1" t="n">
        <v>45657</v>
      </c>
      <c r="D6746" t="inlineStr">
        <is>
          <t>VÄSTERNORRLANDS LÄN</t>
        </is>
      </c>
      <c r="E6746" t="inlineStr">
        <is>
          <t>SOLLEFTEÅ</t>
        </is>
      </c>
      <c r="F6746" t="inlineStr">
        <is>
          <t>Kyrkan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43766-2022</t>
        </is>
      </c>
      <c r="B6747" s="1" t="n">
        <v>44838</v>
      </c>
      <c r="C6747" s="1" t="n">
        <v>45657</v>
      </c>
      <c r="D6747" t="inlineStr">
        <is>
          <t>VÄSTERNORRLANDS LÄN</t>
        </is>
      </c>
      <c r="E6747" t="inlineStr">
        <is>
          <t>SOLLEFTEÅ</t>
        </is>
      </c>
      <c r="F6747" t="inlineStr">
        <is>
          <t>Kyrkan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43775-2022</t>
        </is>
      </c>
      <c r="B6748" s="1" t="n">
        <v>44838</v>
      </c>
      <c r="C6748" s="1" t="n">
        <v>45657</v>
      </c>
      <c r="D6748" t="inlineStr">
        <is>
          <t>VÄSTERNORRLANDS LÄN</t>
        </is>
      </c>
      <c r="E6748" t="inlineStr">
        <is>
          <t>ÅNGE</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43782-2022</t>
        </is>
      </c>
      <c r="B6749" s="1" t="n">
        <v>44838</v>
      </c>
      <c r="C6749" s="1" t="n">
        <v>45657</v>
      </c>
      <c r="D6749" t="inlineStr">
        <is>
          <t>VÄSTERNORRLANDS LÄN</t>
        </is>
      </c>
      <c r="E6749" t="inlineStr">
        <is>
          <t>SOLLEFTEÅ</t>
        </is>
      </c>
      <c r="F6749" t="inlineStr">
        <is>
          <t>SCA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43786-2022</t>
        </is>
      </c>
      <c r="B6750" s="1" t="n">
        <v>44837</v>
      </c>
      <c r="C6750" s="1" t="n">
        <v>45657</v>
      </c>
      <c r="D6750" t="inlineStr">
        <is>
          <t>VÄSTERNORRLANDS LÄN</t>
        </is>
      </c>
      <c r="E6750" t="inlineStr">
        <is>
          <t>SOLLEFTEÅ</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43892-2022</t>
        </is>
      </c>
      <c r="B6751" s="1" t="n">
        <v>44837</v>
      </c>
      <c r="C6751" s="1" t="n">
        <v>45657</v>
      </c>
      <c r="D6751" t="inlineStr">
        <is>
          <t>VÄSTERNORRLANDS LÄN</t>
        </is>
      </c>
      <c r="E6751" t="inlineStr">
        <is>
          <t>KRAMFORS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43814-2022</t>
        </is>
      </c>
      <c r="B6752" s="1" t="n">
        <v>44837</v>
      </c>
      <c r="C6752" s="1" t="n">
        <v>45657</v>
      </c>
      <c r="D6752" t="inlineStr">
        <is>
          <t>VÄSTERNORRLANDS LÄN</t>
        </is>
      </c>
      <c r="E6752" t="inlineStr">
        <is>
          <t>ÖRNSKÖLDSVIK</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43933-2022</t>
        </is>
      </c>
      <c r="B6753" s="1" t="n">
        <v>44837</v>
      </c>
      <c r="C6753" s="1" t="n">
        <v>45657</v>
      </c>
      <c r="D6753" t="inlineStr">
        <is>
          <t>VÄSTERNORRLANDS LÄN</t>
        </is>
      </c>
      <c r="E6753" t="inlineStr">
        <is>
          <t>ÖRNSKÖLDSVIK</t>
        </is>
      </c>
      <c r="G6753" t="n">
        <v>34.6</v>
      </c>
      <c r="H6753" t="n">
        <v>0</v>
      </c>
      <c r="I6753" t="n">
        <v>0</v>
      </c>
      <c r="J6753" t="n">
        <v>0</v>
      </c>
      <c r="K6753" t="n">
        <v>0</v>
      </c>
      <c r="L6753" t="n">
        <v>0</v>
      </c>
      <c r="M6753" t="n">
        <v>0</v>
      </c>
      <c r="N6753" t="n">
        <v>0</v>
      </c>
      <c r="O6753" t="n">
        <v>0</v>
      </c>
      <c r="P6753" t="n">
        <v>0</v>
      </c>
      <c r="Q6753" t="n">
        <v>0</v>
      </c>
      <c r="R6753" s="2" t="inlineStr"/>
    </row>
    <row r="6754" ht="15" customHeight="1">
      <c r="A6754" t="inlineStr">
        <is>
          <t>A 43788-2022</t>
        </is>
      </c>
      <c r="B6754" s="1" t="n">
        <v>44837</v>
      </c>
      <c r="C6754" s="1" t="n">
        <v>45657</v>
      </c>
      <c r="D6754" t="inlineStr">
        <is>
          <t>VÄSTERNORRLANDS LÄN</t>
        </is>
      </c>
      <c r="E6754" t="inlineStr">
        <is>
          <t>ÅNGE</t>
        </is>
      </c>
      <c r="F6754" t="inlineStr">
        <is>
          <t>SCA</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43894-2022</t>
        </is>
      </c>
      <c r="B6755" s="1" t="n">
        <v>44837</v>
      </c>
      <c r="C6755" s="1" t="n">
        <v>45657</v>
      </c>
      <c r="D6755" t="inlineStr">
        <is>
          <t>VÄSTERNORRLANDS LÄN</t>
        </is>
      </c>
      <c r="E6755" t="inlineStr">
        <is>
          <t>KRAMFORS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43881-2022</t>
        </is>
      </c>
      <c r="B6756" s="1" t="n">
        <v>44837</v>
      </c>
      <c r="C6756" s="1" t="n">
        <v>45657</v>
      </c>
      <c r="D6756" t="inlineStr">
        <is>
          <t>VÄSTERNORRLANDS LÄN</t>
        </is>
      </c>
      <c r="E6756" t="inlineStr">
        <is>
          <t>ÖRNSKÖLDSVIK</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43906-2022</t>
        </is>
      </c>
      <c r="B6757" s="1" t="n">
        <v>44837</v>
      </c>
      <c r="C6757" s="1" t="n">
        <v>45657</v>
      </c>
      <c r="D6757" t="inlineStr">
        <is>
          <t>VÄSTERNORRLANDS LÄN</t>
        </is>
      </c>
      <c r="E6757" t="inlineStr">
        <is>
          <t>ÖRNSKÖLDSVIK</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43985-2022</t>
        </is>
      </c>
      <c r="B6758" s="1" t="n">
        <v>44838</v>
      </c>
      <c r="C6758" s="1" t="n">
        <v>45657</v>
      </c>
      <c r="D6758" t="inlineStr">
        <is>
          <t>VÄSTERNORRLANDS LÄN</t>
        </is>
      </c>
      <c r="E6758" t="inlineStr">
        <is>
          <t>ÖRNSKÖLDSVIK</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44042-2022</t>
        </is>
      </c>
      <c r="B6759" s="1" t="n">
        <v>44839</v>
      </c>
      <c r="C6759" s="1" t="n">
        <v>45657</v>
      </c>
      <c r="D6759" t="inlineStr">
        <is>
          <t>VÄSTERNORRLANDS LÄN</t>
        </is>
      </c>
      <c r="E6759" t="inlineStr">
        <is>
          <t>SOLLEFTEÅ</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44404-2022</t>
        </is>
      </c>
      <c r="B6760" s="1" t="n">
        <v>44838</v>
      </c>
      <c r="C6760" s="1" t="n">
        <v>45657</v>
      </c>
      <c r="D6760" t="inlineStr">
        <is>
          <t>VÄSTERNORRLANDS LÄN</t>
        </is>
      </c>
      <c r="E6760" t="inlineStr">
        <is>
          <t>SUNDSVALL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44399-2022</t>
        </is>
      </c>
      <c r="B6761" s="1" t="n">
        <v>44838</v>
      </c>
      <c r="C6761" s="1" t="n">
        <v>45657</v>
      </c>
      <c r="D6761" t="inlineStr">
        <is>
          <t>VÄSTERNORRLANDS LÄN</t>
        </is>
      </c>
      <c r="E6761" t="inlineStr">
        <is>
          <t>SUNDSVALL</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44405-2022</t>
        </is>
      </c>
      <c r="B6762" s="1" t="n">
        <v>44838</v>
      </c>
      <c r="C6762" s="1" t="n">
        <v>45657</v>
      </c>
      <c r="D6762" t="inlineStr">
        <is>
          <t>VÄSTERNORRLANDS LÄN</t>
        </is>
      </c>
      <c r="E6762" t="inlineStr">
        <is>
          <t>SUNDSVALL</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44378-2022</t>
        </is>
      </c>
      <c r="B6763" s="1" t="n">
        <v>44838</v>
      </c>
      <c r="C6763" s="1" t="n">
        <v>45657</v>
      </c>
      <c r="D6763" t="inlineStr">
        <is>
          <t>VÄSTERNORRLANDS LÄN</t>
        </is>
      </c>
      <c r="E6763" t="inlineStr">
        <is>
          <t>SUNDSVALL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44406-2022</t>
        </is>
      </c>
      <c r="B6764" s="1" t="n">
        <v>44838</v>
      </c>
      <c r="C6764" s="1" t="n">
        <v>45657</v>
      </c>
      <c r="D6764" t="inlineStr">
        <is>
          <t>VÄSTERNORRLANDS LÄN</t>
        </is>
      </c>
      <c r="E6764" t="inlineStr">
        <is>
          <t>SUNDSVALL</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44081-2022</t>
        </is>
      </c>
      <c r="B6765" s="1" t="n">
        <v>44839</v>
      </c>
      <c r="C6765" s="1" t="n">
        <v>45657</v>
      </c>
      <c r="D6765" t="inlineStr">
        <is>
          <t>VÄSTERNORRLANDS LÄN</t>
        </is>
      </c>
      <c r="E6765" t="inlineStr">
        <is>
          <t>ÖRNSKÖLDSVIK</t>
        </is>
      </c>
      <c r="F6765" t="inlineStr">
        <is>
          <t>Holmen skog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44176-2022</t>
        </is>
      </c>
      <c r="B6766" s="1" t="n">
        <v>44839</v>
      </c>
      <c r="C6766" s="1" t="n">
        <v>45657</v>
      </c>
      <c r="D6766" t="inlineStr">
        <is>
          <t>VÄSTERNORRLANDS LÄN</t>
        </is>
      </c>
      <c r="E6766" t="inlineStr">
        <is>
          <t>ÖRNSKÖLDSVIK</t>
        </is>
      </c>
      <c r="G6766" t="n">
        <v>11.8</v>
      </c>
      <c r="H6766" t="n">
        <v>0</v>
      </c>
      <c r="I6766" t="n">
        <v>0</v>
      </c>
      <c r="J6766" t="n">
        <v>0</v>
      </c>
      <c r="K6766" t="n">
        <v>0</v>
      </c>
      <c r="L6766" t="n">
        <v>0</v>
      </c>
      <c r="M6766" t="n">
        <v>0</v>
      </c>
      <c r="N6766" t="n">
        <v>0</v>
      </c>
      <c r="O6766" t="n">
        <v>0</v>
      </c>
      <c r="P6766" t="n">
        <v>0</v>
      </c>
      <c r="Q6766" t="n">
        <v>0</v>
      </c>
      <c r="R6766" s="2" t="inlineStr"/>
    </row>
    <row r="6767" ht="15" customHeight="1">
      <c r="A6767" t="inlineStr">
        <is>
          <t>A 44094-2022</t>
        </is>
      </c>
      <c r="B6767" s="1" t="n">
        <v>44839</v>
      </c>
      <c r="C6767" s="1" t="n">
        <v>45657</v>
      </c>
      <c r="D6767" t="inlineStr">
        <is>
          <t>VÄSTERNORRLANDS LÄN</t>
        </is>
      </c>
      <c r="E6767" t="inlineStr">
        <is>
          <t>ÖRNSKÖLDSVIK</t>
        </is>
      </c>
      <c r="F6767" t="inlineStr">
        <is>
          <t>Holmen skog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44264-2022</t>
        </is>
      </c>
      <c r="B6768" s="1" t="n">
        <v>44839</v>
      </c>
      <c r="C6768" s="1" t="n">
        <v>45657</v>
      </c>
      <c r="D6768" t="inlineStr">
        <is>
          <t>VÄSTERNORRLANDS LÄN</t>
        </is>
      </c>
      <c r="E6768" t="inlineStr">
        <is>
          <t>HÄRNÖSAND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44412-2022</t>
        </is>
      </c>
      <c r="B6769" s="1" t="n">
        <v>44840</v>
      </c>
      <c r="C6769" s="1" t="n">
        <v>45657</v>
      </c>
      <c r="D6769" t="inlineStr">
        <is>
          <t>VÄSTERNORRLANDS LÄN</t>
        </is>
      </c>
      <c r="E6769" t="inlineStr">
        <is>
          <t>ÅNGE</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44416-2022</t>
        </is>
      </c>
      <c r="B6770" s="1" t="n">
        <v>44839</v>
      </c>
      <c r="C6770" s="1" t="n">
        <v>45657</v>
      </c>
      <c r="D6770" t="inlineStr">
        <is>
          <t>VÄSTERNORRLANDS LÄN</t>
        </is>
      </c>
      <c r="E6770" t="inlineStr">
        <is>
          <t>SUNDSVALL</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44083-2022</t>
        </is>
      </c>
      <c r="B6771" s="1" t="n">
        <v>44839</v>
      </c>
      <c r="C6771" s="1" t="n">
        <v>45657</v>
      </c>
      <c r="D6771" t="inlineStr">
        <is>
          <t>VÄSTERNORRLANDS LÄN</t>
        </is>
      </c>
      <c r="E6771" t="inlineStr">
        <is>
          <t>ÖRNSKÖLDSVIK</t>
        </is>
      </c>
      <c r="F6771" t="inlineStr">
        <is>
          <t>Holmen skog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44199-2022</t>
        </is>
      </c>
      <c r="B6772" s="1" t="n">
        <v>44839</v>
      </c>
      <c r="C6772" s="1" t="n">
        <v>45657</v>
      </c>
      <c r="D6772" t="inlineStr">
        <is>
          <t>VÄSTERNORRLANDS LÄN</t>
        </is>
      </c>
      <c r="E6772" t="inlineStr">
        <is>
          <t>ÖRNSKÖLDSVIK</t>
        </is>
      </c>
      <c r="F6772" t="inlineStr">
        <is>
          <t>Holmen skog AB</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44285-2022</t>
        </is>
      </c>
      <c r="B6773" s="1" t="n">
        <v>44839</v>
      </c>
      <c r="C6773" s="1" t="n">
        <v>45657</v>
      </c>
      <c r="D6773" t="inlineStr">
        <is>
          <t>VÄSTERNORRLANDS LÄN</t>
        </is>
      </c>
      <c r="E6773" t="inlineStr">
        <is>
          <t>SOLLEFTEÅ</t>
        </is>
      </c>
      <c r="F6773" t="inlineStr">
        <is>
          <t>Holmen skog AB</t>
        </is>
      </c>
      <c r="G6773" t="n">
        <v>13.9</v>
      </c>
      <c r="H6773" t="n">
        <v>0</v>
      </c>
      <c r="I6773" t="n">
        <v>0</v>
      </c>
      <c r="J6773" t="n">
        <v>0</v>
      </c>
      <c r="K6773" t="n">
        <v>0</v>
      </c>
      <c r="L6773" t="n">
        <v>0</v>
      </c>
      <c r="M6773" t="n">
        <v>0</v>
      </c>
      <c r="N6773" t="n">
        <v>0</v>
      </c>
      <c r="O6773" t="n">
        <v>0</v>
      </c>
      <c r="P6773" t="n">
        <v>0</v>
      </c>
      <c r="Q6773" t="n">
        <v>0</v>
      </c>
      <c r="R6773" s="2" t="inlineStr"/>
    </row>
    <row r="6774" ht="15" customHeight="1">
      <c r="A6774" t="inlineStr">
        <is>
          <t>A 44402-2022</t>
        </is>
      </c>
      <c r="B6774" s="1" t="n">
        <v>44839</v>
      </c>
      <c r="C6774" s="1" t="n">
        <v>45657</v>
      </c>
      <c r="D6774" t="inlineStr">
        <is>
          <t>VÄSTERNORRLANDS LÄN</t>
        </is>
      </c>
      <c r="E6774" t="inlineStr">
        <is>
          <t>SUNDSVALL</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44409-2022</t>
        </is>
      </c>
      <c r="B6775" s="1" t="n">
        <v>44839</v>
      </c>
      <c r="C6775" s="1" t="n">
        <v>45657</v>
      </c>
      <c r="D6775" t="inlineStr">
        <is>
          <t>VÄSTERNORRLANDS LÄN</t>
        </is>
      </c>
      <c r="E6775" t="inlineStr">
        <is>
          <t>SUNDSVALL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44414-2022</t>
        </is>
      </c>
      <c r="B6776" s="1" t="n">
        <v>44840</v>
      </c>
      <c r="C6776" s="1" t="n">
        <v>45657</v>
      </c>
      <c r="D6776" t="inlineStr">
        <is>
          <t>VÄSTERNORRLANDS LÄN</t>
        </is>
      </c>
      <c r="E6776" t="inlineStr">
        <is>
          <t>ÅNGE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44431-2022</t>
        </is>
      </c>
      <c r="B6777" s="1" t="n">
        <v>44839</v>
      </c>
      <c r="C6777" s="1" t="n">
        <v>45657</v>
      </c>
      <c r="D6777" t="inlineStr">
        <is>
          <t>VÄSTERNORRLANDS LÄN</t>
        </is>
      </c>
      <c r="E6777" t="inlineStr">
        <is>
          <t>ÖRNSKÖLDSVIK</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44438-2022</t>
        </is>
      </c>
      <c r="B6778" s="1" t="n">
        <v>44840</v>
      </c>
      <c r="C6778" s="1" t="n">
        <v>45657</v>
      </c>
      <c r="D6778" t="inlineStr">
        <is>
          <t>VÄSTERNORRLANDS LÄN</t>
        </is>
      </c>
      <c r="E6778" t="inlineStr">
        <is>
          <t>SOLLEFTEÅ</t>
        </is>
      </c>
      <c r="F6778" t="inlineStr">
        <is>
          <t>SCA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44330-2022</t>
        </is>
      </c>
      <c r="B6779" s="1" t="n">
        <v>44839</v>
      </c>
      <c r="C6779" s="1" t="n">
        <v>45657</v>
      </c>
      <c r="D6779" t="inlineStr">
        <is>
          <t>VÄSTERNORRLANDS LÄN</t>
        </is>
      </c>
      <c r="E6779" t="inlineStr">
        <is>
          <t>ÖRNSKÖLDSVIK</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44350-2022</t>
        </is>
      </c>
      <c r="B6780" s="1" t="n">
        <v>44839</v>
      </c>
      <c r="C6780" s="1" t="n">
        <v>45657</v>
      </c>
      <c r="D6780" t="inlineStr">
        <is>
          <t>VÄSTERNORRLANDS LÄN</t>
        </is>
      </c>
      <c r="E6780" t="inlineStr">
        <is>
          <t>SUNDSVALL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44357-2022</t>
        </is>
      </c>
      <c r="B6781" s="1" t="n">
        <v>44839</v>
      </c>
      <c r="C6781" s="1" t="n">
        <v>45657</v>
      </c>
      <c r="D6781" t="inlineStr">
        <is>
          <t>VÄSTERNORRLANDS LÄN</t>
        </is>
      </c>
      <c r="E6781" t="inlineStr">
        <is>
          <t>ÖRNSKÖLDSVIK</t>
        </is>
      </c>
      <c r="F6781" t="inlineStr">
        <is>
          <t>Holmen skog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44413-2022</t>
        </is>
      </c>
      <c r="B6782" s="1" t="n">
        <v>44840</v>
      </c>
      <c r="C6782" s="1" t="n">
        <v>45657</v>
      </c>
      <c r="D6782" t="inlineStr">
        <is>
          <t>VÄSTERNORRLANDS LÄN</t>
        </is>
      </c>
      <c r="E6782" t="inlineStr">
        <is>
          <t>ÅNGE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44417-2022</t>
        </is>
      </c>
      <c r="B6783" s="1" t="n">
        <v>44839</v>
      </c>
      <c r="C6783" s="1" t="n">
        <v>45657</v>
      </c>
      <c r="D6783" t="inlineStr">
        <is>
          <t>VÄSTERNORRLANDS LÄN</t>
        </is>
      </c>
      <c r="E6783" t="inlineStr">
        <is>
          <t>ÖRNSKÖLDSVIK</t>
        </is>
      </c>
      <c r="G6783" t="n">
        <v>8.5</v>
      </c>
      <c r="H6783" t="n">
        <v>0</v>
      </c>
      <c r="I6783" t="n">
        <v>0</v>
      </c>
      <c r="J6783" t="n">
        <v>0</v>
      </c>
      <c r="K6783" t="n">
        <v>0</v>
      </c>
      <c r="L6783" t="n">
        <v>0</v>
      </c>
      <c r="M6783" t="n">
        <v>0</v>
      </c>
      <c r="N6783" t="n">
        <v>0</v>
      </c>
      <c r="O6783" t="n">
        <v>0</v>
      </c>
      <c r="P6783" t="n">
        <v>0</v>
      </c>
      <c r="Q6783" t="n">
        <v>0</v>
      </c>
      <c r="R6783" s="2" t="inlineStr"/>
    </row>
    <row r="6784" ht="15" customHeight="1">
      <c r="A6784" t="inlineStr">
        <is>
          <t>A 44454-2022</t>
        </is>
      </c>
      <c r="B6784" s="1" t="n">
        <v>44840</v>
      </c>
      <c r="C6784" s="1" t="n">
        <v>45657</v>
      </c>
      <c r="D6784" t="inlineStr">
        <is>
          <t>VÄSTERNORRLANDS LÄN</t>
        </is>
      </c>
      <c r="E6784" t="inlineStr">
        <is>
          <t>SOLLEFTEÅ</t>
        </is>
      </c>
      <c r="F6784" t="inlineStr">
        <is>
          <t>SCA</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44603-2022</t>
        </is>
      </c>
      <c r="B6785" s="1" t="n">
        <v>44839</v>
      </c>
      <c r="C6785" s="1" t="n">
        <v>45657</v>
      </c>
      <c r="D6785" t="inlineStr">
        <is>
          <t>VÄSTERNORRLANDS LÄN</t>
        </is>
      </c>
      <c r="E6785" t="inlineStr">
        <is>
          <t>SUNDSVALL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44605-2022</t>
        </is>
      </c>
      <c r="B6786" s="1" t="n">
        <v>44839</v>
      </c>
      <c r="C6786" s="1" t="n">
        <v>45657</v>
      </c>
      <c r="D6786" t="inlineStr">
        <is>
          <t>VÄSTERNORRLANDS LÄN</t>
        </is>
      </c>
      <c r="E6786" t="inlineStr">
        <is>
          <t>SUNDSVALL</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44642-2022</t>
        </is>
      </c>
      <c r="B6787" s="1" t="n">
        <v>44839</v>
      </c>
      <c r="C6787" s="1" t="n">
        <v>45657</v>
      </c>
      <c r="D6787" t="inlineStr">
        <is>
          <t>VÄSTERNORRLANDS LÄN</t>
        </is>
      </c>
      <c r="E6787" t="inlineStr">
        <is>
          <t>ÖRNSKÖLDSVIK</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44208-2022</t>
        </is>
      </c>
      <c r="B6788" s="1" t="n">
        <v>44839</v>
      </c>
      <c r="C6788" s="1" t="n">
        <v>45657</v>
      </c>
      <c r="D6788" t="inlineStr">
        <is>
          <t>VÄSTERNORRLANDS LÄN</t>
        </is>
      </c>
      <c r="E6788" t="inlineStr">
        <is>
          <t>SOLLEFTEÅ</t>
        </is>
      </c>
      <c r="F6788" t="inlineStr">
        <is>
          <t>Holmen skog AB</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44322-2022</t>
        </is>
      </c>
      <c r="B6789" s="1" t="n">
        <v>44839</v>
      </c>
      <c r="C6789" s="1" t="n">
        <v>45657</v>
      </c>
      <c r="D6789" t="inlineStr">
        <is>
          <t>VÄSTERNORRLANDS LÄN</t>
        </is>
      </c>
      <c r="E6789" t="inlineStr">
        <is>
          <t>ÖRNSKÖLDSVIK</t>
        </is>
      </c>
      <c r="F6789" t="inlineStr">
        <is>
          <t>Holmen skog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44346-2022</t>
        </is>
      </c>
      <c r="B6790" s="1" t="n">
        <v>44839</v>
      </c>
      <c r="C6790" s="1" t="n">
        <v>45657</v>
      </c>
      <c r="D6790" t="inlineStr">
        <is>
          <t>VÄSTERNORRLANDS LÄN</t>
        </is>
      </c>
      <c r="E6790" t="inlineStr">
        <is>
          <t>SUNDSVALL</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44355-2022</t>
        </is>
      </c>
      <c r="B6791" s="1" t="n">
        <v>44839</v>
      </c>
      <c r="C6791" s="1" t="n">
        <v>45657</v>
      </c>
      <c r="D6791" t="inlineStr">
        <is>
          <t>VÄSTERNORRLANDS LÄN</t>
        </is>
      </c>
      <c r="E6791" t="inlineStr">
        <is>
          <t>ÖRNSKÖLDSVIK</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44843-2022</t>
        </is>
      </c>
      <c r="B6792" s="1" t="n">
        <v>44839</v>
      </c>
      <c r="C6792" s="1" t="n">
        <v>45657</v>
      </c>
      <c r="D6792" t="inlineStr">
        <is>
          <t>VÄSTERNORRLANDS LÄN</t>
        </is>
      </c>
      <c r="E6792" t="inlineStr">
        <is>
          <t>ÖRNSKÖLDSVIK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44415-2022</t>
        </is>
      </c>
      <c r="B6793" s="1" t="n">
        <v>44839</v>
      </c>
      <c r="C6793" s="1" t="n">
        <v>45657</v>
      </c>
      <c r="D6793" t="inlineStr">
        <is>
          <t>VÄSTERNORRLANDS LÄN</t>
        </is>
      </c>
      <c r="E6793" t="inlineStr">
        <is>
          <t>SUNDSVALL</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44419-2022</t>
        </is>
      </c>
      <c r="B6794" s="1" t="n">
        <v>44839</v>
      </c>
      <c r="C6794" s="1" t="n">
        <v>45657</v>
      </c>
      <c r="D6794" t="inlineStr">
        <is>
          <t>VÄSTERNORRLANDS LÄN</t>
        </is>
      </c>
      <c r="E6794" t="inlineStr">
        <is>
          <t>SUNDSVALL</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44432-2022</t>
        </is>
      </c>
      <c r="B6795" s="1" t="n">
        <v>44839</v>
      </c>
      <c r="C6795" s="1" t="n">
        <v>45657</v>
      </c>
      <c r="D6795" t="inlineStr">
        <is>
          <t>VÄSTERNORRLANDS LÄN</t>
        </is>
      </c>
      <c r="E6795" t="inlineStr">
        <is>
          <t>TIMRÅ</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44596-2022</t>
        </is>
      </c>
      <c r="B6796" s="1" t="n">
        <v>44839</v>
      </c>
      <c r="C6796" s="1" t="n">
        <v>45657</v>
      </c>
      <c r="D6796" t="inlineStr">
        <is>
          <t>VÄSTERNORRLANDS LÄN</t>
        </is>
      </c>
      <c r="E6796" t="inlineStr">
        <is>
          <t>SUNDSVALL</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44610-2022</t>
        </is>
      </c>
      <c r="B6797" s="1" t="n">
        <v>44839</v>
      </c>
      <c r="C6797" s="1" t="n">
        <v>45657</v>
      </c>
      <c r="D6797" t="inlineStr">
        <is>
          <t>VÄSTERNORRLANDS LÄN</t>
        </is>
      </c>
      <c r="E6797" t="inlineStr">
        <is>
          <t>SUNDSVALL</t>
        </is>
      </c>
      <c r="G6797" t="n">
        <v>15.2</v>
      </c>
      <c r="H6797" t="n">
        <v>0</v>
      </c>
      <c r="I6797" t="n">
        <v>0</v>
      </c>
      <c r="J6797" t="n">
        <v>0</v>
      </c>
      <c r="K6797" t="n">
        <v>0</v>
      </c>
      <c r="L6797" t="n">
        <v>0</v>
      </c>
      <c r="M6797" t="n">
        <v>0</v>
      </c>
      <c r="N6797" t="n">
        <v>0</v>
      </c>
      <c r="O6797" t="n">
        <v>0</v>
      </c>
      <c r="P6797" t="n">
        <v>0</v>
      </c>
      <c r="Q6797" t="n">
        <v>0</v>
      </c>
      <c r="R6797" s="2" t="inlineStr"/>
    </row>
    <row r="6798" ht="15" customHeight="1">
      <c r="A6798" t="inlineStr">
        <is>
          <t>A 44522-2022</t>
        </is>
      </c>
      <c r="B6798" s="1" t="n">
        <v>44840</v>
      </c>
      <c r="C6798" s="1" t="n">
        <v>45657</v>
      </c>
      <c r="D6798" t="inlineStr">
        <is>
          <t>VÄSTERNORRLANDS LÄN</t>
        </is>
      </c>
      <c r="E6798" t="inlineStr">
        <is>
          <t>ÖRNSKÖLDSVIK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44486-2022</t>
        </is>
      </c>
      <c r="B6799" s="1" t="n">
        <v>44840</v>
      </c>
      <c r="C6799" s="1" t="n">
        <v>45657</v>
      </c>
      <c r="D6799" t="inlineStr">
        <is>
          <t>VÄSTERNORRLANDS LÄN</t>
        </is>
      </c>
      <c r="E6799" t="inlineStr">
        <is>
          <t>KRAMFORS</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44755-2022</t>
        </is>
      </c>
      <c r="B6800" s="1" t="n">
        <v>44841</v>
      </c>
      <c r="C6800" s="1" t="n">
        <v>45657</v>
      </c>
      <c r="D6800" t="inlineStr">
        <is>
          <t>VÄSTERNORRLANDS LÄN</t>
        </is>
      </c>
      <c r="E6800" t="inlineStr">
        <is>
          <t>SOLLEFTEÅ</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44762-2022</t>
        </is>
      </c>
      <c r="B6801" s="1" t="n">
        <v>44840</v>
      </c>
      <c r="C6801" s="1" t="n">
        <v>45657</v>
      </c>
      <c r="D6801" t="inlineStr">
        <is>
          <t>VÄSTERNORRLANDS LÄN</t>
        </is>
      </c>
      <c r="E6801" t="inlineStr">
        <is>
          <t>SOLLEFTEÅ</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44490-2022</t>
        </is>
      </c>
      <c r="B6802" s="1" t="n">
        <v>44840</v>
      </c>
      <c r="C6802" s="1" t="n">
        <v>45657</v>
      </c>
      <c r="D6802" t="inlineStr">
        <is>
          <t>VÄSTERNORRLANDS LÄN</t>
        </is>
      </c>
      <c r="E6802" t="inlineStr">
        <is>
          <t>ÖRNSKÖLDSVIK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44759-2022</t>
        </is>
      </c>
      <c r="B6803" s="1" t="n">
        <v>44840</v>
      </c>
      <c r="C6803" s="1" t="n">
        <v>45657</v>
      </c>
      <c r="D6803" t="inlineStr">
        <is>
          <t>VÄSTERNORRLANDS LÄN</t>
        </is>
      </c>
      <c r="E6803" t="inlineStr">
        <is>
          <t>TIMRÅ</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44506-2022</t>
        </is>
      </c>
      <c r="B6804" s="1" t="n">
        <v>44840</v>
      </c>
      <c r="C6804" s="1" t="n">
        <v>45657</v>
      </c>
      <c r="D6804" t="inlineStr">
        <is>
          <t>VÄSTERNORRLANDS LÄN</t>
        </is>
      </c>
      <c r="E6804" t="inlineStr">
        <is>
          <t>SUNDSVALL</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44528-2022</t>
        </is>
      </c>
      <c r="B6805" s="1" t="n">
        <v>44840</v>
      </c>
      <c r="C6805" s="1" t="n">
        <v>45657</v>
      </c>
      <c r="D6805" t="inlineStr">
        <is>
          <t>VÄSTERNORRLANDS LÄN</t>
        </is>
      </c>
      <c r="E6805" t="inlineStr">
        <is>
          <t>ÖRNSKÖLDSVIK</t>
        </is>
      </c>
      <c r="F6805" t="inlineStr">
        <is>
          <t>Holmen skog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44761-2022</t>
        </is>
      </c>
      <c r="B6806" s="1" t="n">
        <v>44840</v>
      </c>
      <c r="C6806" s="1" t="n">
        <v>45657</v>
      </c>
      <c r="D6806" t="inlineStr">
        <is>
          <t>VÄSTERNORRLANDS LÄN</t>
        </is>
      </c>
      <c r="E6806" t="inlineStr">
        <is>
          <t>SOLLEFTEÅ</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44756-2022</t>
        </is>
      </c>
      <c r="B6807" s="1" t="n">
        <v>44841</v>
      </c>
      <c r="C6807" s="1" t="n">
        <v>45657</v>
      </c>
      <c r="D6807" t="inlineStr">
        <is>
          <t>VÄSTERNORRLANDS LÄN</t>
        </is>
      </c>
      <c r="E6807" t="inlineStr">
        <is>
          <t>SUNDSVALL</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44739-2022</t>
        </is>
      </c>
      <c r="B6808" s="1" t="n">
        <v>44840</v>
      </c>
      <c r="C6808" s="1" t="n">
        <v>45657</v>
      </c>
      <c r="D6808" t="inlineStr">
        <is>
          <t>VÄSTERNORRLANDS LÄN</t>
        </is>
      </c>
      <c r="E6808" t="inlineStr">
        <is>
          <t>ÖRNSKÖLDSVIK</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44773-2022</t>
        </is>
      </c>
      <c r="B6809" s="1" t="n">
        <v>44841</v>
      </c>
      <c r="C6809" s="1" t="n">
        <v>45657</v>
      </c>
      <c r="D6809" t="inlineStr">
        <is>
          <t>VÄSTERNORRLANDS LÄN</t>
        </is>
      </c>
      <c r="E6809" t="inlineStr">
        <is>
          <t>SUNDSVALL</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44799-2022</t>
        </is>
      </c>
      <c r="B6810" s="1" t="n">
        <v>44841</v>
      </c>
      <c r="C6810" s="1" t="n">
        <v>45657</v>
      </c>
      <c r="D6810" t="inlineStr">
        <is>
          <t>VÄSTERNORRLANDS LÄN</t>
        </is>
      </c>
      <c r="E6810" t="inlineStr">
        <is>
          <t>ÖRNSKÖLDSVIK</t>
        </is>
      </c>
      <c r="F6810" t="inlineStr">
        <is>
          <t>Holmen skog AB</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44805-2022</t>
        </is>
      </c>
      <c r="B6811" s="1" t="n">
        <v>44841</v>
      </c>
      <c r="C6811" s="1" t="n">
        <v>45657</v>
      </c>
      <c r="D6811" t="inlineStr">
        <is>
          <t>VÄSTERNORRLANDS LÄN</t>
        </is>
      </c>
      <c r="E6811" t="inlineStr">
        <is>
          <t>SOLLEFTEÅ</t>
        </is>
      </c>
      <c r="F6811" t="inlineStr">
        <is>
          <t>Holmen skog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44888-2022</t>
        </is>
      </c>
      <c r="B6812" s="1" t="n">
        <v>44841</v>
      </c>
      <c r="C6812" s="1" t="n">
        <v>45657</v>
      </c>
      <c r="D6812" t="inlineStr">
        <is>
          <t>VÄSTERNORRLANDS LÄN</t>
        </is>
      </c>
      <c r="E6812" t="inlineStr">
        <is>
          <t>ÖRNSKÖLDSVIK</t>
        </is>
      </c>
      <c r="F6812" t="inlineStr">
        <is>
          <t>Holmen skog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44774-2022</t>
        </is>
      </c>
      <c r="B6813" s="1" t="n">
        <v>44841</v>
      </c>
      <c r="C6813" s="1" t="n">
        <v>45657</v>
      </c>
      <c r="D6813" t="inlineStr">
        <is>
          <t>VÄSTERNORRLANDS LÄN</t>
        </is>
      </c>
      <c r="E6813" t="inlineStr">
        <is>
          <t>SUNDSVALL</t>
        </is>
      </c>
      <c r="F6813" t="inlineStr">
        <is>
          <t>Holmen skog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44800-2022</t>
        </is>
      </c>
      <c r="B6814" s="1" t="n">
        <v>44841</v>
      </c>
      <c r="C6814" s="1" t="n">
        <v>45657</v>
      </c>
      <c r="D6814" t="inlineStr">
        <is>
          <t>VÄSTERNORRLANDS LÄN</t>
        </is>
      </c>
      <c r="E6814" t="inlineStr">
        <is>
          <t>SUNDSVALL</t>
        </is>
      </c>
      <c r="F6814" t="inlineStr">
        <is>
          <t>Holmen skog AB</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44784-2022</t>
        </is>
      </c>
      <c r="B6815" s="1" t="n">
        <v>44841</v>
      </c>
      <c r="C6815" s="1" t="n">
        <v>45657</v>
      </c>
      <c r="D6815" t="inlineStr">
        <is>
          <t>VÄSTERNORRLANDS LÄN</t>
        </is>
      </c>
      <c r="E6815" t="inlineStr">
        <is>
          <t>ÖRNSKÖLDSVIK</t>
        </is>
      </c>
      <c r="F6815" t="inlineStr">
        <is>
          <t>Holmen skog AB</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44852-2022</t>
        </is>
      </c>
      <c r="B6816" s="1" t="n">
        <v>44841</v>
      </c>
      <c r="C6816" s="1" t="n">
        <v>45657</v>
      </c>
      <c r="D6816" t="inlineStr">
        <is>
          <t>VÄSTERNORRLANDS LÄN</t>
        </is>
      </c>
      <c r="E6816" t="inlineStr">
        <is>
          <t>ÖRNSKÖLDSVIK</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44961-2022</t>
        </is>
      </c>
      <c r="B6817" s="1" t="n">
        <v>44841</v>
      </c>
      <c r="C6817" s="1" t="n">
        <v>45657</v>
      </c>
      <c r="D6817" t="inlineStr">
        <is>
          <t>VÄSTERNORRLANDS LÄN</t>
        </is>
      </c>
      <c r="E6817" t="inlineStr">
        <is>
          <t>ÖRNSKÖLDSVIK</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45086-2022</t>
        </is>
      </c>
      <c r="B6818" s="1" t="n">
        <v>44841</v>
      </c>
      <c r="C6818" s="1" t="n">
        <v>45657</v>
      </c>
      <c r="D6818" t="inlineStr">
        <is>
          <t>VÄSTERNORRLANDS LÄN</t>
        </is>
      </c>
      <c r="E6818" t="inlineStr">
        <is>
          <t>ÅNGE</t>
        </is>
      </c>
      <c r="F6818" t="inlineStr">
        <is>
          <t>SCA</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45001-2022</t>
        </is>
      </c>
      <c r="B6819" s="1" t="n">
        <v>44841</v>
      </c>
      <c r="C6819" s="1" t="n">
        <v>45657</v>
      </c>
      <c r="D6819" t="inlineStr">
        <is>
          <t>VÄSTERNORRLANDS LÄN</t>
        </is>
      </c>
      <c r="E6819" t="inlineStr">
        <is>
          <t>ÖRNSKÖLDSVIK</t>
        </is>
      </c>
      <c r="F6819" t="inlineStr">
        <is>
          <t>Holmen skog AB</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44948-2022</t>
        </is>
      </c>
      <c r="B6820" s="1" t="n">
        <v>44841</v>
      </c>
      <c r="C6820" s="1" t="n">
        <v>45657</v>
      </c>
      <c r="D6820" t="inlineStr">
        <is>
          <t>VÄSTERNORRLANDS LÄN</t>
        </is>
      </c>
      <c r="E6820" t="inlineStr">
        <is>
          <t>ÖRNSKÖLDSVIK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45087-2022</t>
        </is>
      </c>
      <c r="B6821" s="1" t="n">
        <v>44841</v>
      </c>
      <c r="C6821" s="1" t="n">
        <v>45657</v>
      </c>
      <c r="D6821" t="inlineStr">
        <is>
          <t>VÄSTERNORRLANDS LÄN</t>
        </is>
      </c>
      <c r="E6821" t="inlineStr">
        <is>
          <t>ÅNGE</t>
        </is>
      </c>
      <c r="F6821" t="inlineStr">
        <is>
          <t>SCA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45085-2022</t>
        </is>
      </c>
      <c r="B6822" s="1" t="n">
        <v>44841</v>
      </c>
      <c r="C6822" s="1" t="n">
        <v>45657</v>
      </c>
      <c r="D6822" t="inlineStr">
        <is>
          <t>VÄSTERNORRLANDS LÄN</t>
        </is>
      </c>
      <c r="E6822" t="inlineStr">
        <is>
          <t>SOLLEFTEÅ</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45119-2022</t>
        </is>
      </c>
      <c r="B6823" s="1" t="n">
        <v>44843</v>
      </c>
      <c r="C6823" s="1" t="n">
        <v>45657</v>
      </c>
      <c r="D6823" t="inlineStr">
        <is>
          <t>VÄSTERNORRLANDS LÄN</t>
        </is>
      </c>
      <c r="E6823" t="inlineStr">
        <is>
          <t>SOLLEFTEÅ</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45112-2022</t>
        </is>
      </c>
      <c r="B6824" s="1" t="n">
        <v>44843</v>
      </c>
      <c r="C6824" s="1" t="n">
        <v>45657</v>
      </c>
      <c r="D6824" t="inlineStr">
        <is>
          <t>VÄSTERNORRLANDS LÄN</t>
        </is>
      </c>
      <c r="E6824" t="inlineStr">
        <is>
          <t>ÖRNSKÖLDSVIK</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45117-2022</t>
        </is>
      </c>
      <c r="B6825" s="1" t="n">
        <v>44844</v>
      </c>
      <c r="C6825" s="1" t="n">
        <v>45657</v>
      </c>
      <c r="D6825" t="inlineStr">
        <is>
          <t>VÄSTERNORRLANDS LÄN</t>
        </is>
      </c>
      <c r="E6825" t="inlineStr">
        <is>
          <t>SOLLEFTEÅ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45121-2022</t>
        </is>
      </c>
      <c r="B6826" s="1" t="n">
        <v>44844</v>
      </c>
      <c r="C6826" s="1" t="n">
        <v>45657</v>
      </c>
      <c r="D6826" t="inlineStr">
        <is>
          <t>VÄSTERNORRLANDS LÄN</t>
        </is>
      </c>
      <c r="E6826" t="inlineStr">
        <is>
          <t>SOLLEFTEÅ</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45120-2022</t>
        </is>
      </c>
      <c r="B6827" s="1" t="n">
        <v>44843</v>
      </c>
      <c r="C6827" s="1" t="n">
        <v>45657</v>
      </c>
      <c r="D6827" t="inlineStr">
        <is>
          <t>VÄSTERNORRLANDS LÄN</t>
        </is>
      </c>
      <c r="E6827" t="inlineStr">
        <is>
          <t>SOLLEFTEÅ</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45118-2022</t>
        </is>
      </c>
      <c r="B6828" s="1" t="n">
        <v>44843</v>
      </c>
      <c r="C6828" s="1" t="n">
        <v>45657</v>
      </c>
      <c r="D6828" t="inlineStr">
        <is>
          <t>VÄSTERNORRLANDS LÄN</t>
        </is>
      </c>
      <c r="E6828" t="inlineStr">
        <is>
          <t>SOLLEFTEÅ</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45169-2022</t>
        </is>
      </c>
      <c r="B6829" s="1" t="n">
        <v>44844</v>
      </c>
      <c r="C6829" s="1" t="n">
        <v>45657</v>
      </c>
      <c r="D6829" t="inlineStr">
        <is>
          <t>VÄSTERNORRLANDS LÄN</t>
        </is>
      </c>
      <c r="E6829" t="inlineStr">
        <is>
          <t>ÖRNSKÖLDSVIK</t>
        </is>
      </c>
      <c r="F6829" t="inlineStr">
        <is>
          <t>Holmen skog AB</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45142-2022</t>
        </is>
      </c>
      <c r="B6830" s="1" t="n">
        <v>44844</v>
      </c>
      <c r="C6830" s="1" t="n">
        <v>45657</v>
      </c>
      <c r="D6830" t="inlineStr">
        <is>
          <t>VÄSTERNORRLANDS LÄN</t>
        </is>
      </c>
      <c r="E6830" t="inlineStr">
        <is>
          <t>ÖRNSKÖLDSVIK</t>
        </is>
      </c>
      <c r="F6830" t="inlineStr">
        <is>
          <t>Holmen skog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45252-2022</t>
        </is>
      </c>
      <c r="B6831" s="1" t="n">
        <v>44844</v>
      </c>
      <c r="C6831" s="1" t="n">
        <v>45657</v>
      </c>
      <c r="D6831" t="inlineStr">
        <is>
          <t>VÄSTERNORRLANDS LÄN</t>
        </is>
      </c>
      <c r="E6831" t="inlineStr">
        <is>
          <t>ÖRNSKÖLDSVIK</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45251-2022</t>
        </is>
      </c>
      <c r="B6832" s="1" t="n">
        <v>44844</v>
      </c>
      <c r="C6832" s="1" t="n">
        <v>45657</v>
      </c>
      <c r="D6832" t="inlineStr">
        <is>
          <t>VÄSTERNORRLANDS LÄN</t>
        </is>
      </c>
      <c r="E6832" t="inlineStr">
        <is>
          <t>ÖRNSKÖLDSVIK</t>
        </is>
      </c>
      <c r="F6832" t="inlineStr">
        <is>
          <t>Holmen skog AB</t>
        </is>
      </c>
      <c r="G6832" t="n">
        <v>17.8</v>
      </c>
      <c r="H6832" t="n">
        <v>0</v>
      </c>
      <c r="I6832" t="n">
        <v>0</v>
      </c>
      <c r="J6832" t="n">
        <v>0</v>
      </c>
      <c r="K6832" t="n">
        <v>0</v>
      </c>
      <c r="L6832" t="n">
        <v>0</v>
      </c>
      <c r="M6832" t="n">
        <v>0</v>
      </c>
      <c r="N6832" t="n">
        <v>0</v>
      </c>
      <c r="O6832" t="n">
        <v>0</v>
      </c>
      <c r="P6832" t="n">
        <v>0</v>
      </c>
      <c r="Q6832" t="n">
        <v>0</v>
      </c>
      <c r="R6832" s="2" t="inlineStr"/>
    </row>
    <row r="6833" ht="15" customHeight="1">
      <c r="A6833" t="inlineStr">
        <is>
          <t>A 45128-2022</t>
        </is>
      </c>
      <c r="B6833" s="1" t="n">
        <v>44844</v>
      </c>
      <c r="C6833" s="1" t="n">
        <v>45657</v>
      </c>
      <c r="D6833" t="inlineStr">
        <is>
          <t>VÄSTERNORRLANDS LÄN</t>
        </is>
      </c>
      <c r="E6833" t="inlineStr">
        <is>
          <t>ÅNGE</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45148-2022</t>
        </is>
      </c>
      <c r="B6834" s="1" t="n">
        <v>44844</v>
      </c>
      <c r="C6834" s="1" t="n">
        <v>45657</v>
      </c>
      <c r="D6834" t="inlineStr">
        <is>
          <t>VÄSTERNORRLANDS LÄN</t>
        </is>
      </c>
      <c r="E6834" t="inlineStr">
        <is>
          <t>ÖRNSKÖLDSVIK</t>
        </is>
      </c>
      <c r="F6834" t="inlineStr">
        <is>
          <t>Holmen skog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45248-2022</t>
        </is>
      </c>
      <c r="B6835" s="1" t="n">
        <v>44844</v>
      </c>
      <c r="C6835" s="1" t="n">
        <v>45657</v>
      </c>
      <c r="D6835" t="inlineStr">
        <is>
          <t>VÄSTERNORRLANDS LÄN</t>
        </is>
      </c>
      <c r="E6835" t="inlineStr">
        <is>
          <t>ÖRNSKÖLDSVIK</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45254-2022</t>
        </is>
      </c>
      <c r="B6836" s="1" t="n">
        <v>44844</v>
      </c>
      <c r="C6836" s="1" t="n">
        <v>45657</v>
      </c>
      <c r="D6836" t="inlineStr">
        <is>
          <t>VÄSTERNORRLANDS LÄN</t>
        </is>
      </c>
      <c r="E6836" t="inlineStr">
        <is>
          <t>ÖRNSKÖLDSVIK</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45320-2022</t>
        </is>
      </c>
      <c r="B6837" s="1" t="n">
        <v>44844</v>
      </c>
      <c r="C6837" s="1" t="n">
        <v>45657</v>
      </c>
      <c r="D6837" t="inlineStr">
        <is>
          <t>VÄSTERNORRLANDS LÄN</t>
        </is>
      </c>
      <c r="E6837" t="inlineStr">
        <is>
          <t>ÖRNSKÖLDSVIK</t>
        </is>
      </c>
      <c r="F6837" t="inlineStr">
        <is>
          <t>Holmen skog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45419-2022</t>
        </is>
      </c>
      <c r="B6838" s="1" t="n">
        <v>44844</v>
      </c>
      <c r="C6838" s="1" t="n">
        <v>45657</v>
      </c>
      <c r="D6838" t="inlineStr">
        <is>
          <t>VÄSTERNORRLANDS LÄN</t>
        </is>
      </c>
      <c r="E6838" t="inlineStr">
        <is>
          <t>SOLLEFTEÅ</t>
        </is>
      </c>
      <c r="G6838" t="n">
        <v>12.7</v>
      </c>
      <c r="H6838" t="n">
        <v>0</v>
      </c>
      <c r="I6838" t="n">
        <v>0</v>
      </c>
      <c r="J6838" t="n">
        <v>0</v>
      </c>
      <c r="K6838" t="n">
        <v>0</v>
      </c>
      <c r="L6838" t="n">
        <v>0</v>
      </c>
      <c r="M6838" t="n">
        <v>0</v>
      </c>
      <c r="N6838" t="n">
        <v>0</v>
      </c>
      <c r="O6838" t="n">
        <v>0</v>
      </c>
      <c r="P6838" t="n">
        <v>0</v>
      </c>
      <c r="Q6838" t="n">
        <v>0</v>
      </c>
      <c r="R6838" s="2" t="inlineStr"/>
    </row>
    <row r="6839" ht="15" customHeight="1">
      <c r="A6839" t="inlineStr">
        <is>
          <t>A 45312-2022</t>
        </is>
      </c>
      <c r="B6839" s="1" t="n">
        <v>44844</v>
      </c>
      <c r="C6839" s="1" t="n">
        <v>45657</v>
      </c>
      <c r="D6839" t="inlineStr">
        <is>
          <t>VÄSTERNORRLANDS LÄN</t>
        </is>
      </c>
      <c r="E6839" t="inlineStr">
        <is>
          <t>ÖRNSKÖLDSVIK</t>
        </is>
      </c>
      <c r="G6839" t="n">
        <v>9.9</v>
      </c>
      <c r="H6839" t="n">
        <v>0</v>
      </c>
      <c r="I6839" t="n">
        <v>0</v>
      </c>
      <c r="J6839" t="n">
        <v>0</v>
      </c>
      <c r="K6839" t="n">
        <v>0</v>
      </c>
      <c r="L6839" t="n">
        <v>0</v>
      </c>
      <c r="M6839" t="n">
        <v>0</v>
      </c>
      <c r="N6839" t="n">
        <v>0</v>
      </c>
      <c r="O6839" t="n">
        <v>0</v>
      </c>
      <c r="P6839" t="n">
        <v>0</v>
      </c>
      <c r="Q6839" t="n">
        <v>0</v>
      </c>
      <c r="R6839" s="2" t="inlineStr"/>
    </row>
    <row r="6840" ht="15" customHeight="1">
      <c r="A6840" t="inlineStr">
        <is>
          <t>A 45423-2022</t>
        </is>
      </c>
      <c r="B6840" s="1" t="n">
        <v>44845</v>
      </c>
      <c r="C6840" s="1" t="n">
        <v>45657</v>
      </c>
      <c r="D6840" t="inlineStr">
        <is>
          <t>VÄSTERNORRLANDS LÄN</t>
        </is>
      </c>
      <c r="E6840" t="inlineStr">
        <is>
          <t>SOLLEFTEÅ</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45432-2022</t>
        </is>
      </c>
      <c r="B6841" s="1" t="n">
        <v>44844</v>
      </c>
      <c r="C6841" s="1" t="n">
        <v>45657</v>
      </c>
      <c r="D6841" t="inlineStr">
        <is>
          <t>VÄSTERNORRLANDS LÄN</t>
        </is>
      </c>
      <c r="E6841" t="inlineStr">
        <is>
          <t>ÅNGE</t>
        </is>
      </c>
      <c r="F6841" t="inlineStr">
        <is>
          <t>SCA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45440-2022</t>
        </is>
      </c>
      <c r="B6842" s="1" t="n">
        <v>44845</v>
      </c>
      <c r="C6842" s="1" t="n">
        <v>45657</v>
      </c>
      <c r="D6842" t="inlineStr">
        <is>
          <t>VÄSTERNORRLANDS LÄN</t>
        </is>
      </c>
      <c r="E6842" t="inlineStr">
        <is>
          <t>SUNDSVALL</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46130-2022</t>
        </is>
      </c>
      <c r="B6843" s="1" t="n">
        <v>44844</v>
      </c>
      <c r="C6843" s="1" t="n">
        <v>45657</v>
      </c>
      <c r="D6843" t="inlineStr">
        <is>
          <t>VÄSTERNORRLANDS LÄN</t>
        </is>
      </c>
      <c r="E6843" t="inlineStr">
        <is>
          <t>SOLLEFTEÅ</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45870-2022</t>
        </is>
      </c>
      <c r="B6844" s="1" t="n">
        <v>44844</v>
      </c>
      <c r="C6844" s="1" t="n">
        <v>45657</v>
      </c>
      <c r="D6844" t="inlineStr">
        <is>
          <t>VÄSTERNORRLANDS LÄN</t>
        </is>
      </c>
      <c r="E6844" t="inlineStr">
        <is>
          <t>SUNDSVALL</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45470-2022</t>
        </is>
      </c>
      <c r="B6845" s="1" t="n">
        <v>44845</v>
      </c>
      <c r="C6845" s="1" t="n">
        <v>45657</v>
      </c>
      <c r="D6845" t="inlineStr">
        <is>
          <t>VÄSTERNORRLANDS LÄN</t>
        </is>
      </c>
      <c r="E6845" t="inlineStr">
        <is>
          <t>ÖRNSKÖLDSVIK</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45459-2022</t>
        </is>
      </c>
      <c r="B6846" s="1" t="n">
        <v>44845</v>
      </c>
      <c r="C6846" s="1" t="n">
        <v>45657</v>
      </c>
      <c r="D6846" t="inlineStr">
        <is>
          <t>VÄSTERNORRLANDS LÄN</t>
        </is>
      </c>
      <c r="E6846" t="inlineStr">
        <is>
          <t>ÅNGE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45513-2022</t>
        </is>
      </c>
      <c r="B6847" s="1" t="n">
        <v>44845</v>
      </c>
      <c r="C6847" s="1" t="n">
        <v>45657</v>
      </c>
      <c r="D6847" t="inlineStr">
        <is>
          <t>VÄSTERNORRLANDS LÄN</t>
        </is>
      </c>
      <c r="E6847" t="inlineStr">
        <is>
          <t>ÖRNSKÖLDSVIK</t>
        </is>
      </c>
      <c r="F6847" t="inlineStr">
        <is>
          <t>Holmen skog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45610-2022</t>
        </is>
      </c>
      <c r="B6848" s="1" t="n">
        <v>44845</v>
      </c>
      <c r="C6848" s="1" t="n">
        <v>45657</v>
      </c>
      <c r="D6848" t="inlineStr">
        <is>
          <t>VÄSTERNORRLANDS LÄN</t>
        </is>
      </c>
      <c r="E6848" t="inlineStr">
        <is>
          <t>ÖRNSKÖLDSVIK</t>
        </is>
      </c>
      <c r="F6848" t="inlineStr">
        <is>
          <t>Holmen skog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45688-2022</t>
        </is>
      </c>
      <c r="B6849" s="1" t="n">
        <v>44845</v>
      </c>
      <c r="C6849" s="1" t="n">
        <v>45657</v>
      </c>
      <c r="D6849" t="inlineStr">
        <is>
          <t>VÄSTERNORRLANDS LÄN</t>
        </is>
      </c>
      <c r="E6849" t="inlineStr">
        <is>
          <t>TIMRÅ</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45696-2022</t>
        </is>
      </c>
      <c r="B6850" s="1" t="n">
        <v>44846</v>
      </c>
      <c r="C6850" s="1" t="n">
        <v>45657</v>
      </c>
      <c r="D6850" t="inlineStr">
        <is>
          <t>VÄSTERNORRLANDS LÄN</t>
        </is>
      </c>
      <c r="E6850" t="inlineStr">
        <is>
          <t>SUNDSVALL</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45703-2022</t>
        </is>
      </c>
      <c r="B6851" s="1" t="n">
        <v>44845</v>
      </c>
      <c r="C6851" s="1" t="n">
        <v>45657</v>
      </c>
      <c r="D6851" t="inlineStr">
        <is>
          <t>VÄSTERNORRLANDS LÄN</t>
        </is>
      </c>
      <c r="E6851" t="inlineStr">
        <is>
          <t>ÅNGE</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45719-2022</t>
        </is>
      </c>
      <c r="B6852" s="1" t="n">
        <v>44846</v>
      </c>
      <c r="C6852" s="1" t="n">
        <v>45657</v>
      </c>
      <c r="D6852" t="inlineStr">
        <is>
          <t>VÄSTERNORRLANDS LÄN</t>
        </is>
      </c>
      <c r="E6852" t="inlineStr">
        <is>
          <t>SOLLEFTEÅ</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45687-2022</t>
        </is>
      </c>
      <c r="B6853" s="1" t="n">
        <v>44846</v>
      </c>
      <c r="C6853" s="1" t="n">
        <v>45657</v>
      </c>
      <c r="D6853" t="inlineStr">
        <is>
          <t>VÄSTERNORRLANDS LÄN</t>
        </is>
      </c>
      <c r="E6853" t="inlineStr">
        <is>
          <t>HÄRNÖSAND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45700-2022</t>
        </is>
      </c>
      <c r="B6854" s="1" t="n">
        <v>44845</v>
      </c>
      <c r="C6854" s="1" t="n">
        <v>45657</v>
      </c>
      <c r="D6854" t="inlineStr">
        <is>
          <t>VÄSTERNORRLANDS LÄN</t>
        </is>
      </c>
      <c r="E6854" t="inlineStr">
        <is>
          <t>SUNDSVALL</t>
        </is>
      </c>
      <c r="F6854" t="inlineStr">
        <is>
          <t>SCA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45704-2022</t>
        </is>
      </c>
      <c r="B6855" s="1" t="n">
        <v>44846</v>
      </c>
      <c r="C6855" s="1" t="n">
        <v>45657</v>
      </c>
      <c r="D6855" t="inlineStr">
        <is>
          <t>VÄSTERNORRLANDS LÄN</t>
        </is>
      </c>
      <c r="E6855" t="inlineStr">
        <is>
          <t>SUNDSVALL</t>
        </is>
      </c>
      <c r="F6855" t="inlineStr">
        <is>
          <t>SCA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45695-2022</t>
        </is>
      </c>
      <c r="B6856" s="1" t="n">
        <v>44846</v>
      </c>
      <c r="C6856" s="1" t="n">
        <v>45657</v>
      </c>
      <c r="D6856" t="inlineStr">
        <is>
          <t>VÄSTERNORRLANDS LÄN</t>
        </is>
      </c>
      <c r="E6856" t="inlineStr">
        <is>
          <t>TIMRÅ</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45716-2022</t>
        </is>
      </c>
      <c r="B6857" s="1" t="n">
        <v>44845</v>
      </c>
      <c r="C6857" s="1" t="n">
        <v>45657</v>
      </c>
      <c r="D6857" t="inlineStr">
        <is>
          <t>VÄSTERNORRLANDS LÄN</t>
        </is>
      </c>
      <c r="E6857" t="inlineStr">
        <is>
          <t>SUNDSVALL</t>
        </is>
      </c>
      <c r="F6857" t="inlineStr">
        <is>
          <t>Naturvårdsverket</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45765-2022</t>
        </is>
      </c>
      <c r="B6858" s="1" t="n">
        <v>44846</v>
      </c>
      <c r="C6858" s="1" t="n">
        <v>45657</v>
      </c>
      <c r="D6858" t="inlineStr">
        <is>
          <t>VÄSTERNORRLANDS LÄN</t>
        </is>
      </c>
      <c r="E6858" t="inlineStr">
        <is>
          <t>ÖRNSKÖLDSVIK</t>
        </is>
      </c>
      <c r="G6858" t="n">
        <v>14.6</v>
      </c>
      <c r="H6858" t="n">
        <v>0</v>
      </c>
      <c r="I6858" t="n">
        <v>0</v>
      </c>
      <c r="J6858" t="n">
        <v>0</v>
      </c>
      <c r="K6858" t="n">
        <v>0</v>
      </c>
      <c r="L6858" t="n">
        <v>0</v>
      </c>
      <c r="M6858" t="n">
        <v>0</v>
      </c>
      <c r="N6858" t="n">
        <v>0</v>
      </c>
      <c r="O6858" t="n">
        <v>0</v>
      </c>
      <c r="P6858" t="n">
        <v>0</v>
      </c>
      <c r="Q6858" t="n">
        <v>0</v>
      </c>
      <c r="R6858" s="2" t="inlineStr"/>
    </row>
    <row r="6859" ht="15" customHeight="1">
      <c r="A6859" t="inlineStr">
        <is>
          <t>A 45812-2022</t>
        </is>
      </c>
      <c r="B6859" s="1" t="n">
        <v>44846</v>
      </c>
      <c r="C6859" s="1" t="n">
        <v>45657</v>
      </c>
      <c r="D6859" t="inlineStr">
        <is>
          <t>VÄSTERNORRLANDS LÄN</t>
        </is>
      </c>
      <c r="E6859" t="inlineStr">
        <is>
          <t>ÖRNSKÖLDSVIK</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45829-2022</t>
        </is>
      </c>
      <c r="B6860" s="1" t="n">
        <v>44846</v>
      </c>
      <c r="C6860" s="1" t="n">
        <v>45657</v>
      </c>
      <c r="D6860" t="inlineStr">
        <is>
          <t>VÄSTERNORRLANDS LÄN</t>
        </is>
      </c>
      <c r="E6860" t="inlineStr">
        <is>
          <t>ÖRNSKÖLDSVIK</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45894-2022</t>
        </is>
      </c>
      <c r="B6861" s="1" t="n">
        <v>44846</v>
      </c>
      <c r="C6861" s="1" t="n">
        <v>45657</v>
      </c>
      <c r="D6861" t="inlineStr">
        <is>
          <t>VÄSTERNORRLANDS LÄN</t>
        </is>
      </c>
      <c r="E6861" t="inlineStr">
        <is>
          <t>ÖRNSKÖLDSVIK</t>
        </is>
      </c>
      <c r="G6861" t="n">
        <v>8.5</v>
      </c>
      <c r="H6861" t="n">
        <v>0</v>
      </c>
      <c r="I6861" t="n">
        <v>0</v>
      </c>
      <c r="J6861" t="n">
        <v>0</v>
      </c>
      <c r="K6861" t="n">
        <v>0</v>
      </c>
      <c r="L6861" t="n">
        <v>0</v>
      </c>
      <c r="M6861" t="n">
        <v>0</v>
      </c>
      <c r="N6861" t="n">
        <v>0</v>
      </c>
      <c r="O6861" t="n">
        <v>0</v>
      </c>
      <c r="P6861" t="n">
        <v>0</v>
      </c>
      <c r="Q6861" t="n">
        <v>0</v>
      </c>
      <c r="R6861" s="2" t="inlineStr"/>
    </row>
    <row r="6862" ht="15" customHeight="1">
      <c r="A6862" t="inlineStr">
        <is>
          <t>A 46029-2022</t>
        </is>
      </c>
      <c r="B6862" s="1" t="n">
        <v>44847</v>
      </c>
      <c r="C6862" s="1" t="n">
        <v>45657</v>
      </c>
      <c r="D6862" t="inlineStr">
        <is>
          <t>VÄSTERNORRLANDS LÄN</t>
        </is>
      </c>
      <c r="E6862" t="inlineStr">
        <is>
          <t>ÖRNSKÖLDSVIK</t>
        </is>
      </c>
      <c r="G6862" t="n">
        <v>20.2</v>
      </c>
      <c r="H6862" t="n">
        <v>0</v>
      </c>
      <c r="I6862" t="n">
        <v>0</v>
      </c>
      <c r="J6862" t="n">
        <v>0</v>
      </c>
      <c r="K6862" t="n">
        <v>0</v>
      </c>
      <c r="L6862" t="n">
        <v>0</v>
      </c>
      <c r="M6862" t="n">
        <v>0</v>
      </c>
      <c r="N6862" t="n">
        <v>0</v>
      </c>
      <c r="O6862" t="n">
        <v>0</v>
      </c>
      <c r="P6862" t="n">
        <v>0</v>
      </c>
      <c r="Q6862" t="n">
        <v>0</v>
      </c>
      <c r="R6862" s="2" t="inlineStr"/>
    </row>
    <row r="6863" ht="15" customHeight="1">
      <c r="A6863" t="inlineStr">
        <is>
          <t>A 46039-2022</t>
        </is>
      </c>
      <c r="B6863" s="1" t="n">
        <v>44847</v>
      </c>
      <c r="C6863" s="1" t="n">
        <v>45657</v>
      </c>
      <c r="D6863" t="inlineStr">
        <is>
          <t>VÄSTERNORRLANDS LÄN</t>
        </is>
      </c>
      <c r="E6863" t="inlineStr">
        <is>
          <t>SOLLEFTEÅ</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45931-2022</t>
        </is>
      </c>
      <c r="B6864" s="1" t="n">
        <v>44846</v>
      </c>
      <c r="C6864" s="1" t="n">
        <v>45657</v>
      </c>
      <c r="D6864" t="inlineStr">
        <is>
          <t>VÄSTERNORRLANDS LÄN</t>
        </is>
      </c>
      <c r="E6864" t="inlineStr">
        <is>
          <t>ÅNGE</t>
        </is>
      </c>
      <c r="G6864" t="n">
        <v>27.6</v>
      </c>
      <c r="H6864" t="n">
        <v>0</v>
      </c>
      <c r="I6864" t="n">
        <v>0</v>
      </c>
      <c r="J6864" t="n">
        <v>0</v>
      </c>
      <c r="K6864" t="n">
        <v>0</v>
      </c>
      <c r="L6864" t="n">
        <v>0</v>
      </c>
      <c r="M6864" t="n">
        <v>0</v>
      </c>
      <c r="N6864" t="n">
        <v>0</v>
      </c>
      <c r="O6864" t="n">
        <v>0</v>
      </c>
      <c r="P6864" t="n">
        <v>0</v>
      </c>
      <c r="Q6864" t="n">
        <v>0</v>
      </c>
      <c r="R6864" s="2" t="inlineStr"/>
    </row>
    <row r="6865" ht="15" customHeight="1">
      <c r="A6865" t="inlineStr">
        <is>
          <t>A 46032-2022</t>
        </is>
      </c>
      <c r="B6865" s="1" t="n">
        <v>44846</v>
      </c>
      <c r="C6865" s="1" t="n">
        <v>45657</v>
      </c>
      <c r="D6865" t="inlineStr">
        <is>
          <t>VÄSTERNORRLANDS LÄN</t>
        </is>
      </c>
      <c r="E6865" t="inlineStr">
        <is>
          <t>SOLLEFTEÅ</t>
        </is>
      </c>
      <c r="F6865" t="inlineStr">
        <is>
          <t>SCA</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46021-2022</t>
        </is>
      </c>
      <c r="B6866" s="1" t="n">
        <v>44846</v>
      </c>
      <c r="C6866" s="1" t="n">
        <v>45657</v>
      </c>
      <c r="D6866" t="inlineStr">
        <is>
          <t>VÄSTERNORRLANDS LÄN</t>
        </is>
      </c>
      <c r="E6866" t="inlineStr">
        <is>
          <t>TIMRÅ</t>
        </is>
      </c>
      <c r="F6866" t="inlineStr">
        <is>
          <t>Kyrkan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46028-2022</t>
        </is>
      </c>
      <c r="B6867" s="1" t="n">
        <v>44846</v>
      </c>
      <c r="C6867" s="1" t="n">
        <v>45657</v>
      </c>
      <c r="D6867" t="inlineStr">
        <is>
          <t>VÄSTERNORRLANDS LÄN</t>
        </is>
      </c>
      <c r="E6867" t="inlineStr">
        <is>
          <t>TIMRÅ</t>
        </is>
      </c>
      <c r="F6867" t="inlineStr">
        <is>
          <t>Kyrkan</t>
        </is>
      </c>
      <c r="G6867" t="n">
        <v>7.9</v>
      </c>
      <c r="H6867" t="n">
        <v>0</v>
      </c>
      <c r="I6867" t="n">
        <v>0</v>
      </c>
      <c r="J6867" t="n">
        <v>0</v>
      </c>
      <c r="K6867" t="n">
        <v>0</v>
      </c>
      <c r="L6867" t="n">
        <v>0</v>
      </c>
      <c r="M6867" t="n">
        <v>0</v>
      </c>
      <c r="N6867" t="n">
        <v>0</v>
      </c>
      <c r="O6867" t="n">
        <v>0</v>
      </c>
      <c r="P6867" t="n">
        <v>0</v>
      </c>
      <c r="Q6867" t="n">
        <v>0</v>
      </c>
      <c r="R6867" s="2" t="inlineStr"/>
    </row>
    <row r="6868" ht="15" customHeight="1">
      <c r="A6868" t="inlineStr">
        <is>
          <t>A 46036-2022</t>
        </is>
      </c>
      <c r="B6868" s="1" t="n">
        <v>44846</v>
      </c>
      <c r="C6868" s="1" t="n">
        <v>45657</v>
      </c>
      <c r="D6868" t="inlineStr">
        <is>
          <t>VÄSTERNORRLANDS LÄN</t>
        </is>
      </c>
      <c r="E6868" t="inlineStr">
        <is>
          <t>SOLLEFTEÅ</t>
        </is>
      </c>
      <c r="F6868" t="inlineStr">
        <is>
          <t>SCA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46052-2022</t>
        </is>
      </c>
      <c r="B6869" s="1" t="n">
        <v>44846</v>
      </c>
      <c r="C6869" s="1" t="n">
        <v>45657</v>
      </c>
      <c r="D6869" t="inlineStr">
        <is>
          <t>VÄSTERNORRLANDS LÄN</t>
        </is>
      </c>
      <c r="E6869" t="inlineStr">
        <is>
          <t>SOLLEFTEÅ</t>
        </is>
      </c>
      <c r="F6869" t="inlineStr">
        <is>
          <t>SCA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46045-2022</t>
        </is>
      </c>
      <c r="B6870" s="1" t="n">
        <v>44846</v>
      </c>
      <c r="C6870" s="1" t="n">
        <v>45657</v>
      </c>
      <c r="D6870" t="inlineStr">
        <is>
          <t>VÄSTERNORRLANDS LÄN</t>
        </is>
      </c>
      <c r="E6870" t="inlineStr">
        <is>
          <t>HÄRNÖSAND</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46044-2022</t>
        </is>
      </c>
      <c r="B6871" s="1" t="n">
        <v>44846</v>
      </c>
      <c r="C6871" s="1" t="n">
        <v>45657</v>
      </c>
      <c r="D6871" t="inlineStr">
        <is>
          <t>VÄSTERNORRLANDS LÄN</t>
        </is>
      </c>
      <c r="E6871" t="inlineStr">
        <is>
          <t>SUNDSVALL</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46053-2022</t>
        </is>
      </c>
      <c r="B6872" s="1" t="n">
        <v>44846</v>
      </c>
      <c r="C6872" s="1" t="n">
        <v>45657</v>
      </c>
      <c r="D6872" t="inlineStr">
        <is>
          <t>VÄSTERNORRLANDS LÄN</t>
        </is>
      </c>
      <c r="E6872" t="inlineStr">
        <is>
          <t>SOLLEFTEÅ</t>
        </is>
      </c>
      <c r="F6872" t="inlineStr">
        <is>
          <t>SCA</t>
        </is>
      </c>
      <c r="G6872" t="n">
        <v>9.5</v>
      </c>
      <c r="H6872" t="n">
        <v>0</v>
      </c>
      <c r="I6872" t="n">
        <v>0</v>
      </c>
      <c r="J6872" t="n">
        <v>0</v>
      </c>
      <c r="K6872" t="n">
        <v>0</v>
      </c>
      <c r="L6872" t="n">
        <v>0</v>
      </c>
      <c r="M6872" t="n">
        <v>0</v>
      </c>
      <c r="N6872" t="n">
        <v>0</v>
      </c>
      <c r="O6872" t="n">
        <v>0</v>
      </c>
      <c r="P6872" t="n">
        <v>0</v>
      </c>
      <c r="Q6872" t="n">
        <v>0</v>
      </c>
      <c r="R6872" s="2" t="inlineStr"/>
    </row>
    <row r="6873" ht="15" customHeight="1">
      <c r="A6873" t="inlineStr">
        <is>
          <t>A 46247-2022</t>
        </is>
      </c>
      <c r="B6873" s="1" t="n">
        <v>44846</v>
      </c>
      <c r="C6873" s="1" t="n">
        <v>45657</v>
      </c>
      <c r="D6873" t="inlineStr">
        <is>
          <t>VÄSTERNORRLANDS LÄN</t>
        </is>
      </c>
      <c r="E6873" t="inlineStr">
        <is>
          <t>SUNDSVALL</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46134-2022</t>
        </is>
      </c>
      <c r="B6874" s="1" t="n">
        <v>44847</v>
      </c>
      <c r="C6874" s="1" t="n">
        <v>45657</v>
      </c>
      <c r="D6874" t="inlineStr">
        <is>
          <t>VÄSTERNORRLANDS LÄN</t>
        </is>
      </c>
      <c r="E6874" t="inlineStr">
        <is>
          <t>ÖRNSKÖLDSVIK</t>
        </is>
      </c>
      <c r="F6874" t="inlineStr">
        <is>
          <t>Holmen skog AB</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46230-2022</t>
        </is>
      </c>
      <c r="B6875" s="1" t="n">
        <v>44847</v>
      </c>
      <c r="C6875" s="1" t="n">
        <v>45657</v>
      </c>
      <c r="D6875" t="inlineStr">
        <is>
          <t>VÄSTERNORRLANDS LÄN</t>
        </is>
      </c>
      <c r="E6875" t="inlineStr">
        <is>
          <t>ÖRNSKÖLDSVIK</t>
        </is>
      </c>
      <c r="F6875" t="inlineStr">
        <is>
          <t>Holmen skog AB</t>
        </is>
      </c>
      <c r="G6875" t="n">
        <v>15.7</v>
      </c>
      <c r="H6875" t="n">
        <v>0</v>
      </c>
      <c r="I6875" t="n">
        <v>0</v>
      </c>
      <c r="J6875" t="n">
        <v>0</v>
      </c>
      <c r="K6875" t="n">
        <v>0</v>
      </c>
      <c r="L6875" t="n">
        <v>0</v>
      </c>
      <c r="M6875" t="n">
        <v>0</v>
      </c>
      <c r="N6875" t="n">
        <v>0</v>
      </c>
      <c r="O6875" t="n">
        <v>0</v>
      </c>
      <c r="P6875" t="n">
        <v>0</v>
      </c>
      <c r="Q6875" t="n">
        <v>0</v>
      </c>
      <c r="R6875" s="2" t="inlineStr"/>
    </row>
    <row r="6876" ht="15" customHeight="1">
      <c r="A6876" t="inlineStr">
        <is>
          <t>A 46224-2022</t>
        </is>
      </c>
      <c r="B6876" s="1" t="n">
        <v>44847</v>
      </c>
      <c r="C6876" s="1" t="n">
        <v>45657</v>
      </c>
      <c r="D6876" t="inlineStr">
        <is>
          <t>VÄSTERNORRLANDS LÄN</t>
        </is>
      </c>
      <c r="E6876" t="inlineStr">
        <is>
          <t>ÖRNSKÖLDSVIK</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46334-2022</t>
        </is>
      </c>
      <c r="B6877" s="1" t="n">
        <v>44848</v>
      </c>
      <c r="C6877" s="1" t="n">
        <v>45657</v>
      </c>
      <c r="D6877" t="inlineStr">
        <is>
          <t>VÄSTERNORRLANDS LÄN</t>
        </is>
      </c>
      <c r="E6877" t="inlineStr">
        <is>
          <t>ÅNGE</t>
        </is>
      </c>
      <c r="F6877" t="inlineStr">
        <is>
          <t>SCA</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46320-2022</t>
        </is>
      </c>
      <c r="B6878" s="1" t="n">
        <v>44847</v>
      </c>
      <c r="C6878" s="1" t="n">
        <v>45657</v>
      </c>
      <c r="D6878" t="inlineStr">
        <is>
          <t>VÄSTERNORRLANDS LÄN</t>
        </is>
      </c>
      <c r="E6878" t="inlineStr">
        <is>
          <t>HÄRNÖSAND</t>
        </is>
      </c>
      <c r="F6878" t="inlineStr">
        <is>
          <t>Kyrkan</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46352-2022</t>
        </is>
      </c>
      <c r="B6879" s="1" t="n">
        <v>44848</v>
      </c>
      <c r="C6879" s="1" t="n">
        <v>45657</v>
      </c>
      <c r="D6879" t="inlineStr">
        <is>
          <t>VÄSTERNORRLANDS LÄN</t>
        </is>
      </c>
      <c r="E6879" t="inlineStr">
        <is>
          <t>ÅNGE</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46319-2022</t>
        </is>
      </c>
      <c r="B6880" s="1" t="n">
        <v>44847</v>
      </c>
      <c r="C6880" s="1" t="n">
        <v>45657</v>
      </c>
      <c r="D6880" t="inlineStr">
        <is>
          <t>VÄSTERNORRLANDS LÄN</t>
        </is>
      </c>
      <c r="E6880" t="inlineStr">
        <is>
          <t>HÄRNÖSAND</t>
        </is>
      </c>
      <c r="F6880" t="inlineStr">
        <is>
          <t>Kyrkan</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46324-2022</t>
        </is>
      </c>
      <c r="B6881" s="1" t="n">
        <v>44847</v>
      </c>
      <c r="C6881" s="1" t="n">
        <v>45657</v>
      </c>
      <c r="D6881" t="inlineStr">
        <is>
          <t>VÄSTERNORRLANDS LÄN</t>
        </is>
      </c>
      <c r="E6881" t="inlineStr">
        <is>
          <t>SOLLEFTEÅ</t>
        </is>
      </c>
      <c r="F6881" t="inlineStr">
        <is>
          <t>SCA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46351-2022</t>
        </is>
      </c>
      <c r="B6882" s="1" t="n">
        <v>44847</v>
      </c>
      <c r="C6882" s="1" t="n">
        <v>45657</v>
      </c>
      <c r="D6882" t="inlineStr">
        <is>
          <t>VÄSTERNORRLANDS LÄN</t>
        </is>
      </c>
      <c r="E6882" t="inlineStr">
        <is>
          <t>ÅNGE</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46213-2022</t>
        </is>
      </c>
      <c r="B6883" s="1" t="n">
        <v>44847</v>
      </c>
      <c r="C6883" s="1" t="n">
        <v>45657</v>
      </c>
      <c r="D6883" t="inlineStr">
        <is>
          <t>VÄSTERNORRLANDS LÄN</t>
        </is>
      </c>
      <c r="E6883" t="inlineStr">
        <is>
          <t>ÖRNSKÖLDSVIK</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46350-2022</t>
        </is>
      </c>
      <c r="B6884" s="1" t="n">
        <v>44848</v>
      </c>
      <c r="C6884" s="1" t="n">
        <v>45657</v>
      </c>
      <c r="D6884" t="inlineStr">
        <is>
          <t>VÄSTERNORRLANDS LÄN</t>
        </is>
      </c>
      <c r="E6884" t="inlineStr">
        <is>
          <t>ÅNGE</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46512-2022</t>
        </is>
      </c>
      <c r="B6885" s="1" t="n">
        <v>44847</v>
      </c>
      <c r="C6885" s="1" t="n">
        <v>45657</v>
      </c>
      <c r="D6885" t="inlineStr">
        <is>
          <t>VÄSTERNORRLANDS LÄN</t>
        </is>
      </c>
      <c r="E6885" t="inlineStr">
        <is>
          <t>KRAMFORS</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46372-2022</t>
        </is>
      </c>
      <c r="B6886" s="1" t="n">
        <v>44848</v>
      </c>
      <c r="C6886" s="1" t="n">
        <v>45657</v>
      </c>
      <c r="D6886" t="inlineStr">
        <is>
          <t>VÄSTERNORRLANDS LÄN</t>
        </is>
      </c>
      <c r="E6886" t="inlineStr">
        <is>
          <t>ÖRNSKÖLDSVIK</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46427-2022</t>
        </is>
      </c>
      <c r="B6887" s="1" t="n">
        <v>44848</v>
      </c>
      <c r="C6887" s="1" t="n">
        <v>45657</v>
      </c>
      <c r="D6887" t="inlineStr">
        <is>
          <t>VÄSTERNORRLANDS LÄN</t>
        </is>
      </c>
      <c r="E6887" t="inlineStr">
        <is>
          <t>ÖRNSKÖLDSVIK</t>
        </is>
      </c>
      <c r="G6887" t="n">
        <v>11.4</v>
      </c>
      <c r="H6887" t="n">
        <v>0</v>
      </c>
      <c r="I6887" t="n">
        <v>0</v>
      </c>
      <c r="J6887" t="n">
        <v>0</v>
      </c>
      <c r="K6887" t="n">
        <v>0</v>
      </c>
      <c r="L6887" t="n">
        <v>0</v>
      </c>
      <c r="M6887" t="n">
        <v>0</v>
      </c>
      <c r="N6887" t="n">
        <v>0</v>
      </c>
      <c r="O6887" t="n">
        <v>0</v>
      </c>
      <c r="P6887" t="n">
        <v>0</v>
      </c>
      <c r="Q6887" t="n">
        <v>0</v>
      </c>
      <c r="R6887" s="2" t="inlineStr"/>
    </row>
    <row r="6888" ht="15" customHeight="1">
      <c r="A6888" t="inlineStr">
        <is>
          <t>A 46501-2022</t>
        </is>
      </c>
      <c r="B6888" s="1" t="n">
        <v>44848</v>
      </c>
      <c r="C6888" s="1" t="n">
        <v>45657</v>
      </c>
      <c r="D6888" t="inlineStr">
        <is>
          <t>VÄSTERNORRLANDS LÄN</t>
        </is>
      </c>
      <c r="E6888" t="inlineStr">
        <is>
          <t>ÖRNSKÖLDSVIK</t>
        </is>
      </c>
      <c r="F6888" t="inlineStr">
        <is>
          <t>Holmen skog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46493-2022</t>
        </is>
      </c>
      <c r="B6889" s="1" t="n">
        <v>44848</v>
      </c>
      <c r="C6889" s="1" t="n">
        <v>45657</v>
      </c>
      <c r="D6889" t="inlineStr">
        <is>
          <t>VÄSTERNORRLANDS LÄN</t>
        </is>
      </c>
      <c r="E6889" t="inlineStr">
        <is>
          <t>ÖRNSKÖLDSVIK</t>
        </is>
      </c>
      <c r="F6889" t="inlineStr">
        <is>
          <t>Holmen skog AB</t>
        </is>
      </c>
      <c r="G6889" t="n">
        <v>11.5</v>
      </c>
      <c r="H6889" t="n">
        <v>0</v>
      </c>
      <c r="I6889" t="n">
        <v>0</v>
      </c>
      <c r="J6889" t="n">
        <v>0</v>
      </c>
      <c r="K6889" t="n">
        <v>0</v>
      </c>
      <c r="L6889" t="n">
        <v>0</v>
      </c>
      <c r="M6889" t="n">
        <v>0</v>
      </c>
      <c r="N6889" t="n">
        <v>0</v>
      </c>
      <c r="O6889" t="n">
        <v>0</v>
      </c>
      <c r="P6889" t="n">
        <v>0</v>
      </c>
      <c r="Q6889" t="n">
        <v>0</v>
      </c>
      <c r="R6889" s="2" t="inlineStr"/>
    </row>
    <row r="6890" ht="15" customHeight="1">
      <c r="A6890" t="inlineStr">
        <is>
          <t>A 46461-2022</t>
        </is>
      </c>
      <c r="B6890" s="1" t="n">
        <v>44848</v>
      </c>
      <c r="C6890" s="1" t="n">
        <v>45657</v>
      </c>
      <c r="D6890" t="inlineStr">
        <is>
          <t>VÄSTERNORRLANDS LÄN</t>
        </is>
      </c>
      <c r="E6890" t="inlineStr">
        <is>
          <t>ÖRNSKÖLDSVIK</t>
        </is>
      </c>
      <c r="F6890" t="inlineStr">
        <is>
          <t>Holmen skog AB</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46528-2022</t>
        </is>
      </c>
      <c r="B6891" s="1" t="n">
        <v>44848</v>
      </c>
      <c r="C6891" s="1" t="n">
        <v>45657</v>
      </c>
      <c r="D6891" t="inlineStr">
        <is>
          <t>VÄSTERNORRLANDS LÄN</t>
        </is>
      </c>
      <c r="E6891" t="inlineStr">
        <is>
          <t>ÖRNSKÖLDSVIK</t>
        </is>
      </c>
      <c r="F6891" t="inlineStr">
        <is>
          <t>Holmen skog AB</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46532-2022</t>
        </is>
      </c>
      <c r="B6892" s="1" t="n">
        <v>44848</v>
      </c>
      <c r="C6892" s="1" t="n">
        <v>45657</v>
      </c>
      <c r="D6892" t="inlineStr">
        <is>
          <t>VÄSTERNORRLANDS LÄN</t>
        </is>
      </c>
      <c r="E6892" t="inlineStr">
        <is>
          <t>ÖRNSKÖLDSVIK</t>
        </is>
      </c>
      <c r="F6892" t="inlineStr">
        <is>
          <t>Holmen skog AB</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46626-2022</t>
        </is>
      </c>
      <c r="B6893" s="1" t="n">
        <v>44848</v>
      </c>
      <c r="C6893" s="1" t="n">
        <v>45657</v>
      </c>
      <c r="D6893" t="inlineStr">
        <is>
          <t>VÄSTERNORRLANDS LÄN</t>
        </is>
      </c>
      <c r="E6893" t="inlineStr">
        <is>
          <t>SOLLEFTEÅ</t>
        </is>
      </c>
      <c r="F6893" t="inlineStr">
        <is>
          <t>SCA</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46632-2022</t>
        </is>
      </c>
      <c r="B6894" s="1" t="n">
        <v>44849</v>
      </c>
      <c r="C6894" s="1" t="n">
        <v>45657</v>
      </c>
      <c r="D6894" t="inlineStr">
        <is>
          <t>VÄSTERNORRLANDS LÄN</t>
        </is>
      </c>
      <c r="E6894" t="inlineStr">
        <is>
          <t>SUNDSVALL</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46837-2022</t>
        </is>
      </c>
      <c r="B6895" s="1" t="n">
        <v>44848</v>
      </c>
      <c r="C6895" s="1" t="n">
        <v>45657</v>
      </c>
      <c r="D6895" t="inlineStr">
        <is>
          <t>VÄSTERNORRLANDS LÄN</t>
        </is>
      </c>
      <c r="E6895" t="inlineStr">
        <is>
          <t>HÄRNÖSAND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46616-2022</t>
        </is>
      </c>
      <c r="B6896" s="1" t="n">
        <v>44848</v>
      </c>
      <c r="C6896" s="1" t="n">
        <v>45657</v>
      </c>
      <c r="D6896" t="inlineStr">
        <is>
          <t>VÄSTERNORRLANDS LÄN</t>
        </is>
      </c>
      <c r="E6896" t="inlineStr">
        <is>
          <t>SOLLEFTEÅ</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46827-2022</t>
        </is>
      </c>
      <c r="B6897" s="1" t="n">
        <v>44848</v>
      </c>
      <c r="C6897" s="1" t="n">
        <v>45657</v>
      </c>
      <c r="D6897" t="inlineStr">
        <is>
          <t>VÄSTERNORRLANDS LÄN</t>
        </is>
      </c>
      <c r="E6897" t="inlineStr">
        <is>
          <t>HÄRNÖSAND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46840-2022</t>
        </is>
      </c>
      <c r="B6898" s="1" t="n">
        <v>44848</v>
      </c>
      <c r="C6898" s="1" t="n">
        <v>45657</v>
      </c>
      <c r="D6898" t="inlineStr">
        <is>
          <t>VÄSTERNORRLANDS LÄN</t>
        </is>
      </c>
      <c r="E6898" t="inlineStr">
        <is>
          <t>HÄRNÖSAND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46650-2022</t>
        </is>
      </c>
      <c r="B6899" s="1" t="n">
        <v>44849</v>
      </c>
      <c r="C6899" s="1" t="n">
        <v>45657</v>
      </c>
      <c r="D6899" t="inlineStr">
        <is>
          <t>VÄSTERNORRLANDS LÄN</t>
        </is>
      </c>
      <c r="E6899" t="inlineStr">
        <is>
          <t>TIMRÅ</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46664-2022</t>
        </is>
      </c>
      <c r="B6900" s="1" t="n">
        <v>44851</v>
      </c>
      <c r="C6900" s="1" t="n">
        <v>45657</v>
      </c>
      <c r="D6900" t="inlineStr">
        <is>
          <t>VÄSTERNORRLANDS LÄN</t>
        </is>
      </c>
      <c r="E6900" t="inlineStr">
        <is>
          <t>SOLLEFTEÅ</t>
        </is>
      </c>
      <c r="F6900" t="inlineStr">
        <is>
          <t>SCA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46702-2022</t>
        </is>
      </c>
      <c r="B6901" s="1" t="n">
        <v>44851</v>
      </c>
      <c r="C6901" s="1" t="n">
        <v>45657</v>
      </c>
      <c r="D6901" t="inlineStr">
        <is>
          <t>VÄSTERNORRLANDS LÄN</t>
        </is>
      </c>
      <c r="E6901" t="inlineStr">
        <is>
          <t>ÖRNSKÖLDSVIK</t>
        </is>
      </c>
      <c r="F6901" t="inlineStr">
        <is>
          <t>Holmen skog AB</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46711-2022</t>
        </is>
      </c>
      <c r="B6902" s="1" t="n">
        <v>44851</v>
      </c>
      <c r="C6902" s="1" t="n">
        <v>45657</v>
      </c>
      <c r="D6902" t="inlineStr">
        <is>
          <t>VÄSTERNORRLANDS LÄN</t>
        </is>
      </c>
      <c r="E6902" t="inlineStr">
        <is>
          <t>ÖRNSKÖLDSVIK</t>
        </is>
      </c>
      <c r="F6902" t="inlineStr">
        <is>
          <t>Holmen skog AB</t>
        </is>
      </c>
      <c r="G6902" t="n">
        <v>9.1</v>
      </c>
      <c r="H6902" t="n">
        <v>0</v>
      </c>
      <c r="I6902" t="n">
        <v>0</v>
      </c>
      <c r="J6902" t="n">
        <v>0</v>
      </c>
      <c r="K6902" t="n">
        <v>0</v>
      </c>
      <c r="L6902" t="n">
        <v>0</v>
      </c>
      <c r="M6902" t="n">
        <v>0</v>
      </c>
      <c r="N6902" t="n">
        <v>0</v>
      </c>
      <c r="O6902" t="n">
        <v>0</v>
      </c>
      <c r="P6902" t="n">
        <v>0</v>
      </c>
      <c r="Q6902" t="n">
        <v>0</v>
      </c>
      <c r="R6902" s="2" t="inlineStr"/>
    </row>
    <row r="6903" ht="15" customHeight="1">
      <c r="A6903" t="inlineStr">
        <is>
          <t>A 46760-2022</t>
        </is>
      </c>
      <c r="B6903" s="1" t="n">
        <v>44851</v>
      </c>
      <c r="C6903" s="1" t="n">
        <v>45657</v>
      </c>
      <c r="D6903" t="inlineStr">
        <is>
          <t>VÄSTERNORRLANDS LÄN</t>
        </is>
      </c>
      <c r="E6903" t="inlineStr">
        <is>
          <t>ÖRNSKÖLDSVIK</t>
        </is>
      </c>
      <c r="F6903" t="inlineStr">
        <is>
          <t>Holmen skog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46735-2022</t>
        </is>
      </c>
      <c r="B6904" s="1" t="n">
        <v>44851</v>
      </c>
      <c r="C6904" s="1" t="n">
        <v>45657</v>
      </c>
      <c r="D6904" t="inlineStr">
        <is>
          <t>VÄSTERNORRLANDS LÄN</t>
        </is>
      </c>
      <c r="E6904" t="inlineStr">
        <is>
          <t>SUNDSVALL</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46712-2022</t>
        </is>
      </c>
      <c r="B6905" s="1" t="n">
        <v>44851</v>
      </c>
      <c r="C6905" s="1" t="n">
        <v>45657</v>
      </c>
      <c r="D6905" t="inlineStr">
        <is>
          <t>VÄSTERNORRLANDS LÄN</t>
        </is>
      </c>
      <c r="E6905" t="inlineStr">
        <is>
          <t>ÖRNSKÖLDSVIK</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46716-2022</t>
        </is>
      </c>
      <c r="B6906" s="1" t="n">
        <v>44851</v>
      </c>
      <c r="C6906" s="1" t="n">
        <v>45657</v>
      </c>
      <c r="D6906" t="inlineStr">
        <is>
          <t>VÄSTERNORRLANDS LÄN</t>
        </is>
      </c>
      <c r="E6906" t="inlineStr">
        <is>
          <t>SUNDSVALL</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46700-2022</t>
        </is>
      </c>
      <c r="B6907" s="1" t="n">
        <v>44851</v>
      </c>
      <c r="C6907" s="1" t="n">
        <v>45657</v>
      </c>
      <c r="D6907" t="inlineStr">
        <is>
          <t>VÄSTERNORRLANDS LÄN</t>
        </is>
      </c>
      <c r="E6907" t="inlineStr">
        <is>
          <t>ÖRNSKÖLDSVIK</t>
        </is>
      </c>
      <c r="F6907" t="inlineStr">
        <is>
          <t>Holmen skog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46747-2022</t>
        </is>
      </c>
      <c r="B6908" s="1" t="n">
        <v>44851</v>
      </c>
      <c r="C6908" s="1" t="n">
        <v>45657</v>
      </c>
      <c r="D6908" t="inlineStr">
        <is>
          <t>VÄSTERNORRLANDS LÄN</t>
        </is>
      </c>
      <c r="E6908" t="inlineStr">
        <is>
          <t>ÖRNSKÖLDSVIK</t>
        </is>
      </c>
      <c r="F6908" t="inlineStr">
        <is>
          <t>Holmen skog AB</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46954-2022</t>
        </is>
      </c>
      <c r="B6909" s="1" t="n">
        <v>44851</v>
      </c>
      <c r="C6909" s="1" t="n">
        <v>45657</v>
      </c>
      <c r="D6909" t="inlineStr">
        <is>
          <t>VÄSTERNORRLANDS LÄN</t>
        </is>
      </c>
      <c r="E6909" t="inlineStr">
        <is>
          <t>SUNDSVALL</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46871-2022</t>
        </is>
      </c>
      <c r="B6910" s="1" t="n">
        <v>44851</v>
      </c>
      <c r="C6910" s="1" t="n">
        <v>45657</v>
      </c>
      <c r="D6910" t="inlineStr">
        <is>
          <t>VÄSTERNORRLANDS LÄN</t>
        </is>
      </c>
      <c r="E6910" t="inlineStr">
        <is>
          <t>SOLLEFTEÅ</t>
        </is>
      </c>
      <c r="F6910" t="inlineStr">
        <is>
          <t>Kyrkan</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46880-2022</t>
        </is>
      </c>
      <c r="B6911" s="1" t="n">
        <v>44851</v>
      </c>
      <c r="C6911" s="1" t="n">
        <v>45657</v>
      </c>
      <c r="D6911" t="inlineStr">
        <is>
          <t>VÄSTERNORRLANDS LÄN</t>
        </is>
      </c>
      <c r="E6911" t="inlineStr">
        <is>
          <t>SOLLEFTEÅ</t>
        </is>
      </c>
      <c r="F6911" t="inlineStr">
        <is>
          <t>Kyrkan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46949-2022</t>
        </is>
      </c>
      <c r="B6912" s="1" t="n">
        <v>44851</v>
      </c>
      <c r="C6912" s="1" t="n">
        <v>45657</v>
      </c>
      <c r="D6912" t="inlineStr">
        <is>
          <t>VÄSTERNORRLANDS LÄN</t>
        </is>
      </c>
      <c r="E6912" t="inlineStr">
        <is>
          <t>SUNDSVALL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46956-2022</t>
        </is>
      </c>
      <c r="B6913" s="1" t="n">
        <v>44851</v>
      </c>
      <c r="C6913" s="1" t="n">
        <v>45657</v>
      </c>
      <c r="D6913" t="inlineStr">
        <is>
          <t>VÄSTERNORRLANDS LÄN</t>
        </is>
      </c>
      <c r="E6913" t="inlineStr">
        <is>
          <t>SUNDSVALL</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46970-2022</t>
        </is>
      </c>
      <c r="B6914" s="1" t="n">
        <v>44852</v>
      </c>
      <c r="C6914" s="1" t="n">
        <v>45657</v>
      </c>
      <c r="D6914" t="inlineStr">
        <is>
          <t>VÄSTERNORRLANDS LÄN</t>
        </is>
      </c>
      <c r="E6914" t="inlineStr">
        <is>
          <t>SUNDSVALL</t>
        </is>
      </c>
      <c r="F6914" t="inlineStr">
        <is>
          <t>SCA</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47197-2022</t>
        </is>
      </c>
      <c r="B6915" s="1" t="n">
        <v>44851</v>
      </c>
      <c r="C6915" s="1" t="n">
        <v>45657</v>
      </c>
      <c r="D6915" t="inlineStr">
        <is>
          <t>VÄSTERNORRLANDS LÄN</t>
        </is>
      </c>
      <c r="E6915" t="inlineStr">
        <is>
          <t>SUNDSVALL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46986-2022</t>
        </is>
      </c>
      <c r="B6916" s="1" t="n">
        <v>44851</v>
      </c>
      <c r="C6916" s="1" t="n">
        <v>45657</v>
      </c>
      <c r="D6916" t="inlineStr">
        <is>
          <t>VÄSTERNORRLANDS LÄN</t>
        </is>
      </c>
      <c r="E6916" t="inlineStr">
        <is>
          <t>SOLLEFTEÅ</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47057-2022</t>
        </is>
      </c>
      <c r="B6917" s="1" t="n">
        <v>44851</v>
      </c>
      <c r="C6917" s="1" t="n">
        <v>45657</v>
      </c>
      <c r="D6917" t="inlineStr">
        <is>
          <t>VÄSTERNORRLANDS LÄN</t>
        </is>
      </c>
      <c r="E6917" t="inlineStr">
        <is>
          <t>HÄRNÖSAND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47059-2022</t>
        </is>
      </c>
      <c r="B6918" s="1" t="n">
        <v>44851</v>
      </c>
      <c r="C6918" s="1" t="n">
        <v>45657</v>
      </c>
      <c r="D6918" t="inlineStr">
        <is>
          <t>VÄSTERNORRLANDS LÄN</t>
        </is>
      </c>
      <c r="E6918" t="inlineStr">
        <is>
          <t>HÄRNÖSAND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46971-2022</t>
        </is>
      </c>
      <c r="B6919" s="1" t="n">
        <v>44852</v>
      </c>
      <c r="C6919" s="1" t="n">
        <v>45657</v>
      </c>
      <c r="D6919" t="inlineStr">
        <is>
          <t>VÄSTERNORRLANDS LÄN</t>
        </is>
      </c>
      <c r="E6919" t="inlineStr">
        <is>
          <t>TIMRÅ</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46985-2022</t>
        </is>
      </c>
      <c r="B6920" s="1" t="n">
        <v>44851</v>
      </c>
      <c r="C6920" s="1" t="n">
        <v>45657</v>
      </c>
      <c r="D6920" t="inlineStr">
        <is>
          <t>VÄSTERNORRLANDS LÄN</t>
        </is>
      </c>
      <c r="E6920" t="inlineStr">
        <is>
          <t>SOLLEFTEÅ</t>
        </is>
      </c>
      <c r="F6920" t="inlineStr">
        <is>
          <t>Kyrkan</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47192-2022</t>
        </is>
      </c>
      <c r="B6921" s="1" t="n">
        <v>44852</v>
      </c>
      <c r="C6921" s="1" t="n">
        <v>45657</v>
      </c>
      <c r="D6921" t="inlineStr">
        <is>
          <t>VÄSTERNORRLANDS LÄN</t>
        </is>
      </c>
      <c r="E6921" t="inlineStr">
        <is>
          <t>KRAMFORS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47171-2022</t>
        </is>
      </c>
      <c r="B6922" s="1" t="n">
        <v>44852</v>
      </c>
      <c r="C6922" s="1" t="n">
        <v>45657</v>
      </c>
      <c r="D6922" t="inlineStr">
        <is>
          <t>VÄSTERNORRLANDS LÄN</t>
        </is>
      </c>
      <c r="E6922" t="inlineStr">
        <is>
          <t>KRAMFORS</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47189-2022</t>
        </is>
      </c>
      <c r="B6923" s="1" t="n">
        <v>44852</v>
      </c>
      <c r="C6923" s="1" t="n">
        <v>45657</v>
      </c>
      <c r="D6923" t="inlineStr">
        <is>
          <t>VÄSTERNORRLANDS LÄN</t>
        </is>
      </c>
      <c r="E6923" t="inlineStr">
        <is>
          <t>KRAMFORS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47250-2022</t>
        </is>
      </c>
      <c r="B6924" s="1" t="n">
        <v>44852</v>
      </c>
      <c r="C6924" s="1" t="n">
        <v>45657</v>
      </c>
      <c r="D6924" t="inlineStr">
        <is>
          <t>VÄSTERNORRLANDS LÄN</t>
        </is>
      </c>
      <c r="E6924" t="inlineStr">
        <is>
          <t>SOLLEFTEÅ</t>
        </is>
      </c>
      <c r="F6924" t="inlineStr">
        <is>
          <t>SCA</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47268-2022</t>
        </is>
      </c>
      <c r="B6925" s="1" t="n">
        <v>44853</v>
      </c>
      <c r="C6925" s="1" t="n">
        <v>45657</v>
      </c>
      <c r="D6925" t="inlineStr">
        <is>
          <t>VÄSTERNORRLANDS LÄN</t>
        </is>
      </c>
      <c r="E6925" t="inlineStr">
        <is>
          <t>SOLLEFTEÅ</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47269-2022</t>
        </is>
      </c>
      <c r="B6926" s="1" t="n">
        <v>44853</v>
      </c>
      <c r="C6926" s="1" t="n">
        <v>45657</v>
      </c>
      <c r="D6926" t="inlineStr">
        <is>
          <t>VÄSTERNORRLANDS LÄN</t>
        </is>
      </c>
      <c r="E6926" t="inlineStr">
        <is>
          <t>SOLLEFTEÅ</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47282-2022</t>
        </is>
      </c>
      <c r="B6927" s="1" t="n">
        <v>44853</v>
      </c>
      <c r="C6927" s="1" t="n">
        <v>45657</v>
      </c>
      <c r="D6927" t="inlineStr">
        <is>
          <t>VÄSTERNORRLANDS LÄN</t>
        </is>
      </c>
      <c r="E6927" t="inlineStr">
        <is>
          <t>ÅNGE</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47293-2022</t>
        </is>
      </c>
      <c r="B6928" s="1" t="n">
        <v>44853</v>
      </c>
      <c r="C6928" s="1" t="n">
        <v>45657</v>
      </c>
      <c r="D6928" t="inlineStr">
        <is>
          <t>VÄSTERNORRLANDS LÄN</t>
        </is>
      </c>
      <c r="E6928" t="inlineStr">
        <is>
          <t>TIMRÅ</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47449-2022</t>
        </is>
      </c>
      <c r="B6929" s="1" t="n">
        <v>44852</v>
      </c>
      <c r="C6929" s="1" t="n">
        <v>45657</v>
      </c>
      <c r="D6929" t="inlineStr">
        <is>
          <t>VÄSTERNORRLANDS LÄN</t>
        </is>
      </c>
      <c r="E6929" t="inlineStr">
        <is>
          <t>ÖRNSKÖLDSVIK</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47512-2022</t>
        </is>
      </c>
      <c r="B6930" s="1" t="n">
        <v>44852</v>
      </c>
      <c r="C6930" s="1" t="n">
        <v>45657</v>
      </c>
      <c r="D6930" t="inlineStr">
        <is>
          <t>VÄSTERNORRLANDS LÄN</t>
        </is>
      </c>
      <c r="E6930" t="inlineStr">
        <is>
          <t>SUNDSVALL</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47606-2022</t>
        </is>
      </c>
      <c r="B6931" s="1" t="n">
        <v>44852</v>
      </c>
      <c r="C6931" s="1" t="n">
        <v>45657</v>
      </c>
      <c r="D6931" t="inlineStr">
        <is>
          <t>VÄSTERNORRLANDS LÄN</t>
        </is>
      </c>
      <c r="E6931" t="inlineStr">
        <is>
          <t>ÖRNSKÖLDSVIK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47631-2022</t>
        </is>
      </c>
      <c r="B6932" s="1" t="n">
        <v>44852</v>
      </c>
      <c r="C6932" s="1" t="n">
        <v>45657</v>
      </c>
      <c r="D6932" t="inlineStr">
        <is>
          <t>VÄSTERNORRLANDS LÄN</t>
        </is>
      </c>
      <c r="E6932" t="inlineStr">
        <is>
          <t>ÖRNSKÖLDSVIK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47272-2022</t>
        </is>
      </c>
      <c r="B6933" s="1" t="n">
        <v>44853</v>
      </c>
      <c r="C6933" s="1" t="n">
        <v>45657</v>
      </c>
      <c r="D6933" t="inlineStr">
        <is>
          <t>VÄSTERNORRLANDS LÄN</t>
        </is>
      </c>
      <c r="E6933" t="inlineStr">
        <is>
          <t>SOLLEFTEÅ</t>
        </is>
      </c>
      <c r="G6933" t="n">
        <v>12.2</v>
      </c>
      <c r="H6933" t="n">
        <v>0</v>
      </c>
      <c r="I6933" t="n">
        <v>0</v>
      </c>
      <c r="J6933" t="n">
        <v>0</v>
      </c>
      <c r="K6933" t="n">
        <v>0</v>
      </c>
      <c r="L6933" t="n">
        <v>0</v>
      </c>
      <c r="M6933" t="n">
        <v>0</v>
      </c>
      <c r="N6933" t="n">
        <v>0</v>
      </c>
      <c r="O6933" t="n">
        <v>0</v>
      </c>
      <c r="P6933" t="n">
        <v>0</v>
      </c>
      <c r="Q6933" t="n">
        <v>0</v>
      </c>
      <c r="R6933" s="2" t="inlineStr"/>
    </row>
    <row r="6934" ht="15" customHeight="1">
      <c r="A6934" t="inlineStr">
        <is>
          <t>A 47044-2022</t>
        </is>
      </c>
      <c r="B6934" s="1" t="n">
        <v>44852</v>
      </c>
      <c r="C6934" s="1" t="n">
        <v>45657</v>
      </c>
      <c r="D6934" t="inlineStr">
        <is>
          <t>VÄSTERNORRLANDS LÄN</t>
        </is>
      </c>
      <c r="E6934" t="inlineStr">
        <is>
          <t>ÖRNSKÖLDSVIK</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47058-2022</t>
        </is>
      </c>
      <c r="B6935" s="1" t="n">
        <v>44852</v>
      </c>
      <c r="C6935" s="1" t="n">
        <v>45657</v>
      </c>
      <c r="D6935" t="inlineStr">
        <is>
          <t>VÄSTERNORRLANDS LÄN</t>
        </is>
      </c>
      <c r="E6935" t="inlineStr">
        <is>
          <t>ÖRNSKÖLDSVIK</t>
        </is>
      </c>
      <c r="F6935" t="inlineStr">
        <is>
          <t>Holmen skog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47347-2022</t>
        </is>
      </c>
      <c r="B6936" s="1" t="n">
        <v>44852</v>
      </c>
      <c r="C6936" s="1" t="n">
        <v>45657</v>
      </c>
      <c r="D6936" t="inlineStr">
        <is>
          <t>VÄSTERNORRLANDS LÄN</t>
        </is>
      </c>
      <c r="E6936" t="inlineStr">
        <is>
          <t>TIMRÅ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47066-2022</t>
        </is>
      </c>
      <c r="B6937" s="1" t="n">
        <v>44852</v>
      </c>
      <c r="C6937" s="1" t="n">
        <v>45657</v>
      </c>
      <c r="D6937" t="inlineStr">
        <is>
          <t>VÄSTERNORRLANDS LÄN</t>
        </is>
      </c>
      <c r="E6937" t="inlineStr">
        <is>
          <t>ÖRNSKÖLDSVIK</t>
        </is>
      </c>
      <c r="F6937" t="inlineStr">
        <is>
          <t>Holmen skog AB</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47106-2022</t>
        </is>
      </c>
      <c r="B6938" s="1" t="n">
        <v>44852</v>
      </c>
      <c r="C6938" s="1" t="n">
        <v>45657</v>
      </c>
      <c r="D6938" t="inlineStr">
        <is>
          <t>VÄSTERNORRLANDS LÄN</t>
        </is>
      </c>
      <c r="E6938" t="inlineStr">
        <is>
          <t>ÅNGE</t>
        </is>
      </c>
      <c r="G6938" t="n">
        <v>11.9</v>
      </c>
      <c r="H6938" t="n">
        <v>0</v>
      </c>
      <c r="I6938" t="n">
        <v>0</v>
      </c>
      <c r="J6938" t="n">
        <v>0</v>
      </c>
      <c r="K6938" t="n">
        <v>0</v>
      </c>
      <c r="L6938" t="n">
        <v>0</v>
      </c>
      <c r="M6938" t="n">
        <v>0</v>
      </c>
      <c r="N6938" t="n">
        <v>0</v>
      </c>
      <c r="O6938" t="n">
        <v>0</v>
      </c>
      <c r="P6938" t="n">
        <v>0</v>
      </c>
      <c r="Q6938" t="n">
        <v>0</v>
      </c>
      <c r="R6938" s="2" t="inlineStr"/>
    </row>
    <row r="6939" ht="15" customHeight="1">
      <c r="A6939" t="inlineStr">
        <is>
          <t>A 47249-2022</t>
        </is>
      </c>
      <c r="B6939" s="1" t="n">
        <v>44852</v>
      </c>
      <c r="C6939" s="1" t="n">
        <v>45657</v>
      </c>
      <c r="D6939" t="inlineStr">
        <is>
          <t>VÄSTERNORRLANDS LÄN</t>
        </is>
      </c>
      <c r="E6939" t="inlineStr">
        <is>
          <t>SUNDSVALL</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47552-2022</t>
        </is>
      </c>
      <c r="B6940" s="1" t="n">
        <v>44853</v>
      </c>
      <c r="C6940" s="1" t="n">
        <v>45657</v>
      </c>
      <c r="D6940" t="inlineStr">
        <is>
          <t>VÄSTERNORRLANDS LÄN</t>
        </is>
      </c>
      <c r="E6940" t="inlineStr">
        <is>
          <t>HÄRNÖSAND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47443-2022</t>
        </is>
      </c>
      <c r="B6941" s="1" t="n">
        <v>44853</v>
      </c>
      <c r="C6941" s="1" t="n">
        <v>45657</v>
      </c>
      <c r="D6941" t="inlineStr">
        <is>
          <t>VÄSTERNORRLANDS LÄN</t>
        </is>
      </c>
      <c r="E6941" t="inlineStr">
        <is>
          <t>ÅNGE</t>
        </is>
      </c>
      <c r="F6941" t="inlineStr">
        <is>
          <t>Sveaskog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47361-2022</t>
        </is>
      </c>
      <c r="B6942" s="1" t="n">
        <v>44853</v>
      </c>
      <c r="C6942" s="1" t="n">
        <v>45657</v>
      </c>
      <c r="D6942" t="inlineStr">
        <is>
          <t>VÄSTERNORRLANDS LÄN</t>
        </is>
      </c>
      <c r="E6942" t="inlineStr">
        <is>
          <t>ÖRNSKÖLDSVIK</t>
        </is>
      </c>
      <c r="F6942" t="inlineStr">
        <is>
          <t>Holmen skog AB</t>
        </is>
      </c>
      <c r="G6942" t="n">
        <v>9.699999999999999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47550-2022</t>
        </is>
      </c>
      <c r="B6943" s="1" t="n">
        <v>44853</v>
      </c>
      <c r="C6943" s="1" t="n">
        <v>45657</v>
      </c>
      <c r="D6943" t="inlineStr">
        <is>
          <t>VÄSTERNORRLANDS LÄN</t>
        </is>
      </c>
      <c r="E6943" t="inlineStr">
        <is>
          <t>HÄRNÖSAND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47564-2022</t>
        </is>
      </c>
      <c r="B6944" s="1" t="n">
        <v>44854</v>
      </c>
      <c r="C6944" s="1" t="n">
        <v>45657</v>
      </c>
      <c r="D6944" t="inlineStr">
        <is>
          <t>VÄSTERNORRLANDS LÄN</t>
        </is>
      </c>
      <c r="E6944" t="inlineStr">
        <is>
          <t>SOLLEFTEÅ</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47562-2022</t>
        </is>
      </c>
      <c r="B6945" s="1" t="n">
        <v>44853</v>
      </c>
      <c r="C6945" s="1" t="n">
        <v>45657</v>
      </c>
      <c r="D6945" t="inlineStr">
        <is>
          <t>VÄSTERNORRLANDS LÄN</t>
        </is>
      </c>
      <c r="E6945" t="inlineStr">
        <is>
          <t>TIMRÅ</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47944-2022</t>
        </is>
      </c>
      <c r="B6946" s="1" t="n">
        <v>44853</v>
      </c>
      <c r="C6946" s="1" t="n">
        <v>45657</v>
      </c>
      <c r="D6946" t="inlineStr">
        <is>
          <t>VÄSTERNORRLANDS LÄN</t>
        </is>
      </c>
      <c r="E6946" t="inlineStr">
        <is>
          <t>HÄRNÖSAND</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47424-2022</t>
        </is>
      </c>
      <c r="B6947" s="1" t="n">
        <v>44853</v>
      </c>
      <c r="C6947" s="1" t="n">
        <v>45657</v>
      </c>
      <c r="D6947" t="inlineStr">
        <is>
          <t>VÄSTERNORRLANDS LÄN</t>
        </is>
      </c>
      <c r="E6947" t="inlineStr">
        <is>
          <t>ÖRNSKÖLDSVIK</t>
        </is>
      </c>
      <c r="F6947" t="inlineStr">
        <is>
          <t>Holmen skog AB</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47551-2022</t>
        </is>
      </c>
      <c r="B6948" s="1" t="n">
        <v>44854</v>
      </c>
      <c r="C6948" s="1" t="n">
        <v>45657</v>
      </c>
      <c r="D6948" t="inlineStr">
        <is>
          <t>VÄSTERNORRLANDS LÄN</t>
        </is>
      </c>
      <c r="E6948" t="inlineStr">
        <is>
          <t>HÄRNÖSAND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47576-2022</t>
        </is>
      </c>
      <c r="B6949" s="1" t="n">
        <v>44854</v>
      </c>
      <c r="C6949" s="1" t="n">
        <v>45657</v>
      </c>
      <c r="D6949" t="inlineStr">
        <is>
          <t>VÄSTERNORRLANDS LÄN</t>
        </is>
      </c>
      <c r="E6949" t="inlineStr">
        <is>
          <t>ÅNGE</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47650-2022</t>
        </is>
      </c>
      <c r="B6950" s="1" t="n">
        <v>44853</v>
      </c>
      <c r="C6950" s="1" t="n">
        <v>45657</v>
      </c>
      <c r="D6950" t="inlineStr">
        <is>
          <t>VÄSTERNORRLANDS LÄN</t>
        </is>
      </c>
      <c r="E6950" t="inlineStr">
        <is>
          <t>KRAMFORS</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47588-2022</t>
        </is>
      </c>
      <c r="B6951" s="1" t="n">
        <v>44854</v>
      </c>
      <c r="C6951" s="1" t="n">
        <v>45657</v>
      </c>
      <c r="D6951" t="inlineStr">
        <is>
          <t>VÄSTERNORRLANDS LÄN</t>
        </is>
      </c>
      <c r="E6951" t="inlineStr">
        <is>
          <t>TIMRÅ</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47580-2022</t>
        </is>
      </c>
      <c r="B6952" s="1" t="n">
        <v>44854</v>
      </c>
      <c r="C6952" s="1" t="n">
        <v>45657</v>
      </c>
      <c r="D6952" t="inlineStr">
        <is>
          <t>VÄSTERNORRLANDS LÄN</t>
        </is>
      </c>
      <c r="E6952" t="inlineStr">
        <is>
          <t>SOLLEFTEÅ</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47939-2022</t>
        </is>
      </c>
      <c r="B6953" s="1" t="n">
        <v>44853</v>
      </c>
      <c r="C6953" s="1" t="n">
        <v>45657</v>
      </c>
      <c r="D6953" t="inlineStr">
        <is>
          <t>VÄSTERNORRLANDS LÄN</t>
        </is>
      </c>
      <c r="E6953" t="inlineStr">
        <is>
          <t>HÄRNÖSAND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47592-2022</t>
        </is>
      </c>
      <c r="B6954" s="1" t="n">
        <v>44854</v>
      </c>
      <c r="C6954" s="1" t="n">
        <v>45657</v>
      </c>
      <c r="D6954" t="inlineStr">
        <is>
          <t>VÄSTERNORRLANDS LÄN</t>
        </is>
      </c>
      <c r="E6954" t="inlineStr">
        <is>
          <t>ÖRNSKÖLDSVIK</t>
        </is>
      </c>
      <c r="F6954" t="inlineStr">
        <is>
          <t>Holmen skog AB</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47605-2022</t>
        </is>
      </c>
      <c r="B6955" s="1" t="n">
        <v>44854</v>
      </c>
      <c r="C6955" s="1" t="n">
        <v>45657</v>
      </c>
      <c r="D6955" t="inlineStr">
        <is>
          <t>VÄSTERNORRLANDS LÄN</t>
        </is>
      </c>
      <c r="E6955" t="inlineStr">
        <is>
          <t>ÅNGE</t>
        </is>
      </c>
      <c r="F6955" t="inlineStr">
        <is>
          <t>Holmen skog AB</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47660-2022</t>
        </is>
      </c>
      <c r="B6956" s="1" t="n">
        <v>44854</v>
      </c>
      <c r="C6956" s="1" t="n">
        <v>45657</v>
      </c>
      <c r="D6956" t="inlineStr">
        <is>
          <t>VÄSTERNORRLANDS LÄN</t>
        </is>
      </c>
      <c r="E6956" t="inlineStr">
        <is>
          <t>ÅNGE</t>
        </is>
      </c>
      <c r="F6956" t="inlineStr">
        <is>
          <t>Holmen skog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47666-2022</t>
        </is>
      </c>
      <c r="B6957" s="1" t="n">
        <v>44854</v>
      </c>
      <c r="C6957" s="1" t="n">
        <v>45657</v>
      </c>
      <c r="D6957" t="inlineStr">
        <is>
          <t>VÄSTERNORRLANDS LÄN</t>
        </is>
      </c>
      <c r="E6957" t="inlineStr">
        <is>
          <t>ÖRNSKÖLDSVIK</t>
        </is>
      </c>
      <c r="F6957" t="inlineStr">
        <is>
          <t>Holmen skog AB</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47598-2022</t>
        </is>
      </c>
      <c r="B6958" s="1" t="n">
        <v>44854</v>
      </c>
      <c r="C6958" s="1" t="n">
        <v>45657</v>
      </c>
      <c r="D6958" t="inlineStr">
        <is>
          <t>VÄSTERNORRLANDS LÄN</t>
        </is>
      </c>
      <c r="E6958" t="inlineStr">
        <is>
          <t>ÖRNSKÖLDSVIK</t>
        </is>
      </c>
      <c r="F6958" t="inlineStr">
        <is>
          <t>Holmen skog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47671-2022</t>
        </is>
      </c>
      <c r="B6959" s="1" t="n">
        <v>44854</v>
      </c>
      <c r="C6959" s="1" t="n">
        <v>45657</v>
      </c>
      <c r="D6959" t="inlineStr">
        <is>
          <t>VÄSTERNORRLANDS LÄN</t>
        </is>
      </c>
      <c r="E6959" t="inlineStr">
        <is>
          <t>ÖRNSKÖLDSVIK</t>
        </is>
      </c>
      <c r="F6959" t="inlineStr">
        <is>
          <t>Holmen skog AB</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47678-2022</t>
        </is>
      </c>
      <c r="B6960" s="1" t="n">
        <v>44854</v>
      </c>
      <c r="C6960" s="1" t="n">
        <v>45657</v>
      </c>
      <c r="D6960" t="inlineStr">
        <is>
          <t>VÄSTERNORRLANDS LÄN</t>
        </is>
      </c>
      <c r="E6960" t="inlineStr">
        <is>
          <t>ÖRNSKÖLDSVIK</t>
        </is>
      </c>
      <c r="F6960" t="inlineStr">
        <is>
          <t>Holmen skog AB</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47697-2022</t>
        </is>
      </c>
      <c r="B6961" s="1" t="n">
        <v>44854</v>
      </c>
      <c r="C6961" s="1" t="n">
        <v>45657</v>
      </c>
      <c r="D6961" t="inlineStr">
        <is>
          <t>VÄSTERNORRLANDS LÄN</t>
        </is>
      </c>
      <c r="E6961" t="inlineStr">
        <is>
          <t>TIMRÅ</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47654-2022</t>
        </is>
      </c>
      <c r="B6962" s="1" t="n">
        <v>44854</v>
      </c>
      <c r="C6962" s="1" t="n">
        <v>45657</v>
      </c>
      <c r="D6962" t="inlineStr">
        <is>
          <t>VÄSTERNORRLANDS LÄN</t>
        </is>
      </c>
      <c r="E6962" t="inlineStr">
        <is>
          <t>ÅNGE</t>
        </is>
      </c>
      <c r="F6962" t="inlineStr">
        <is>
          <t>Holmen skog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47662-2022</t>
        </is>
      </c>
      <c r="B6963" s="1" t="n">
        <v>44854</v>
      </c>
      <c r="C6963" s="1" t="n">
        <v>45657</v>
      </c>
      <c r="D6963" t="inlineStr">
        <is>
          <t>VÄSTERNORRLANDS LÄN</t>
        </is>
      </c>
      <c r="E6963" t="inlineStr">
        <is>
          <t>SUNDSVALL</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47787-2022</t>
        </is>
      </c>
      <c r="B6964" s="1" t="n">
        <v>44855</v>
      </c>
      <c r="C6964" s="1" t="n">
        <v>45657</v>
      </c>
      <c r="D6964" t="inlineStr">
        <is>
          <t>VÄSTERNORRLANDS LÄN</t>
        </is>
      </c>
      <c r="E6964" t="inlineStr">
        <is>
          <t>SOLLEFTEÅ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47809-2022</t>
        </is>
      </c>
      <c r="B6965" s="1" t="n">
        <v>44854</v>
      </c>
      <c r="C6965" s="1" t="n">
        <v>45657</v>
      </c>
      <c r="D6965" t="inlineStr">
        <is>
          <t>VÄSTERNORRLANDS LÄN</t>
        </is>
      </c>
      <c r="E6965" t="inlineStr">
        <is>
          <t>SUNDSVALL</t>
        </is>
      </c>
      <c r="F6965" t="inlineStr">
        <is>
          <t>SCA</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47813-2022</t>
        </is>
      </c>
      <c r="B6966" s="1" t="n">
        <v>44855</v>
      </c>
      <c r="C6966" s="1" t="n">
        <v>45657</v>
      </c>
      <c r="D6966" t="inlineStr">
        <is>
          <t>VÄSTERNORRLANDS LÄN</t>
        </is>
      </c>
      <c r="E6966" t="inlineStr">
        <is>
          <t>HÄRNÖSAND</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47785-2022</t>
        </is>
      </c>
      <c r="B6967" s="1" t="n">
        <v>44855</v>
      </c>
      <c r="C6967" s="1" t="n">
        <v>45657</v>
      </c>
      <c r="D6967" t="inlineStr">
        <is>
          <t>VÄSTERNORRLANDS LÄN</t>
        </is>
      </c>
      <c r="E6967" t="inlineStr">
        <is>
          <t>ÅNGE</t>
        </is>
      </c>
      <c r="F6967" t="inlineStr">
        <is>
          <t>SCA</t>
        </is>
      </c>
      <c r="G6967" t="n">
        <v>12.6</v>
      </c>
      <c r="H6967" t="n">
        <v>0</v>
      </c>
      <c r="I6967" t="n">
        <v>0</v>
      </c>
      <c r="J6967" t="n">
        <v>0</v>
      </c>
      <c r="K6967" t="n">
        <v>0</v>
      </c>
      <c r="L6967" t="n">
        <v>0</v>
      </c>
      <c r="M6967" t="n">
        <v>0</v>
      </c>
      <c r="N6967" t="n">
        <v>0</v>
      </c>
      <c r="O6967" t="n">
        <v>0</v>
      </c>
      <c r="P6967" t="n">
        <v>0</v>
      </c>
      <c r="Q6967" t="n">
        <v>0</v>
      </c>
      <c r="R6967" s="2" t="inlineStr"/>
    </row>
    <row r="6968" ht="15" customHeight="1">
      <c r="A6968" t="inlineStr">
        <is>
          <t>A 47792-2022</t>
        </is>
      </c>
      <c r="B6968" s="1" t="n">
        <v>44855</v>
      </c>
      <c r="C6968" s="1" t="n">
        <v>45657</v>
      </c>
      <c r="D6968" t="inlineStr">
        <is>
          <t>VÄSTERNORRLANDS LÄN</t>
        </is>
      </c>
      <c r="E6968" t="inlineStr">
        <is>
          <t>ÅNGE</t>
        </is>
      </c>
      <c r="F6968" t="inlineStr">
        <is>
          <t>SCA</t>
        </is>
      </c>
      <c r="G6968" t="n">
        <v>10.9</v>
      </c>
      <c r="H6968" t="n">
        <v>0</v>
      </c>
      <c r="I6968" t="n">
        <v>0</v>
      </c>
      <c r="J6968" t="n">
        <v>0</v>
      </c>
      <c r="K6968" t="n">
        <v>0</v>
      </c>
      <c r="L6968" t="n">
        <v>0</v>
      </c>
      <c r="M6968" t="n">
        <v>0</v>
      </c>
      <c r="N6968" t="n">
        <v>0</v>
      </c>
      <c r="O6968" t="n">
        <v>0</v>
      </c>
      <c r="P6968" t="n">
        <v>0</v>
      </c>
      <c r="Q6968" t="n">
        <v>0</v>
      </c>
      <c r="R6968" s="2" t="inlineStr"/>
    </row>
    <row r="6969" ht="15" customHeight="1">
      <c r="A6969" t="inlineStr">
        <is>
          <t>A 47814-2022</t>
        </is>
      </c>
      <c r="B6969" s="1" t="n">
        <v>44855</v>
      </c>
      <c r="C6969" s="1" t="n">
        <v>45657</v>
      </c>
      <c r="D6969" t="inlineStr">
        <is>
          <t>VÄSTERNORRLANDS LÄN</t>
        </is>
      </c>
      <c r="E6969" t="inlineStr">
        <is>
          <t>SOLLEFTEÅ</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48424-2022</t>
        </is>
      </c>
      <c r="B6970" s="1" t="n">
        <v>44854</v>
      </c>
      <c r="C6970" s="1" t="n">
        <v>45657</v>
      </c>
      <c r="D6970" t="inlineStr">
        <is>
          <t>VÄSTERNORRLANDS LÄN</t>
        </is>
      </c>
      <c r="E6970" t="inlineStr">
        <is>
          <t>ÖRNSKÖLDSVIK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47812-2022</t>
        </is>
      </c>
      <c r="B6971" s="1" t="n">
        <v>44855</v>
      </c>
      <c r="C6971" s="1" t="n">
        <v>45657</v>
      </c>
      <c r="D6971" t="inlineStr">
        <is>
          <t>VÄSTERNORRLANDS LÄN</t>
        </is>
      </c>
      <c r="E6971" t="inlineStr">
        <is>
          <t>SOLLEFTEÅ</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48360-2022</t>
        </is>
      </c>
      <c r="B6972" s="1" t="n">
        <v>44854</v>
      </c>
      <c r="C6972" s="1" t="n">
        <v>45657</v>
      </c>
      <c r="D6972" t="inlineStr">
        <is>
          <t>VÄSTERNORRLANDS LÄN</t>
        </is>
      </c>
      <c r="E6972" t="inlineStr">
        <is>
          <t>KRAMFORS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48612-2022</t>
        </is>
      </c>
      <c r="B6973" s="1" t="n">
        <v>44854</v>
      </c>
      <c r="C6973" s="1" t="n">
        <v>45657</v>
      </c>
      <c r="D6973" t="inlineStr">
        <is>
          <t>VÄSTERNORRLANDS LÄN</t>
        </is>
      </c>
      <c r="E6973" t="inlineStr">
        <is>
          <t>ÖRNSKÖLDSVIK</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47791-2022</t>
        </is>
      </c>
      <c r="B6974" s="1" t="n">
        <v>44855</v>
      </c>
      <c r="C6974" s="1" t="n">
        <v>45657</v>
      </c>
      <c r="D6974" t="inlineStr">
        <is>
          <t>VÄSTERNORRLANDS LÄN</t>
        </is>
      </c>
      <c r="E6974" t="inlineStr">
        <is>
          <t>ÅNGE</t>
        </is>
      </c>
      <c r="F6974" t="inlineStr">
        <is>
          <t>SCA</t>
        </is>
      </c>
      <c r="G6974" t="n">
        <v>15.2</v>
      </c>
      <c r="H6974" t="n">
        <v>0</v>
      </c>
      <c r="I6974" t="n">
        <v>0</v>
      </c>
      <c r="J6974" t="n">
        <v>0</v>
      </c>
      <c r="K6974" t="n">
        <v>0</v>
      </c>
      <c r="L6974" t="n">
        <v>0</v>
      </c>
      <c r="M6974" t="n">
        <v>0</v>
      </c>
      <c r="N6974" t="n">
        <v>0</v>
      </c>
      <c r="O6974" t="n">
        <v>0</v>
      </c>
      <c r="P6974" t="n">
        <v>0</v>
      </c>
      <c r="Q6974" t="n">
        <v>0</v>
      </c>
      <c r="R6974" s="2" t="inlineStr"/>
    </row>
    <row r="6975" ht="15" customHeight="1">
      <c r="A6975" t="inlineStr">
        <is>
          <t>A 47815-2022</t>
        </is>
      </c>
      <c r="B6975" s="1" t="n">
        <v>44854</v>
      </c>
      <c r="C6975" s="1" t="n">
        <v>45657</v>
      </c>
      <c r="D6975" t="inlineStr">
        <is>
          <t>VÄSTERNORRLANDS LÄN</t>
        </is>
      </c>
      <c r="E6975" t="inlineStr">
        <is>
          <t>TIMRÅ</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47851-2022</t>
        </is>
      </c>
      <c r="B6976" s="1" t="n">
        <v>44855</v>
      </c>
      <c r="C6976" s="1" t="n">
        <v>45657</v>
      </c>
      <c r="D6976" t="inlineStr">
        <is>
          <t>VÄSTERNORRLANDS LÄN</t>
        </is>
      </c>
      <c r="E6976" t="inlineStr">
        <is>
          <t>ÖRNSKÖLDSVIK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47875-2022</t>
        </is>
      </c>
      <c r="B6977" s="1" t="n">
        <v>44855</v>
      </c>
      <c r="C6977" s="1" t="n">
        <v>45657</v>
      </c>
      <c r="D6977" t="inlineStr">
        <is>
          <t>VÄSTERNORRLANDS LÄN</t>
        </is>
      </c>
      <c r="E6977" t="inlineStr">
        <is>
          <t>SOLLEFTEÅ</t>
        </is>
      </c>
      <c r="F6977" t="inlineStr">
        <is>
          <t>Holmen skog AB</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48047-2022</t>
        </is>
      </c>
      <c r="B6978" s="1" t="n">
        <v>44856</v>
      </c>
      <c r="C6978" s="1" t="n">
        <v>45657</v>
      </c>
      <c r="D6978" t="inlineStr">
        <is>
          <t>VÄSTERNORRLANDS LÄN</t>
        </is>
      </c>
      <c r="E6978" t="inlineStr">
        <is>
          <t>HÄRNÖSAND</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48056-2022</t>
        </is>
      </c>
      <c r="B6979" s="1" t="n">
        <v>44856</v>
      </c>
      <c r="C6979" s="1" t="n">
        <v>45657</v>
      </c>
      <c r="D6979" t="inlineStr">
        <is>
          <t>VÄSTERNORRLANDS LÄN</t>
        </is>
      </c>
      <c r="E6979" t="inlineStr">
        <is>
          <t>SOLLEFTEÅ</t>
        </is>
      </c>
      <c r="F6979" t="inlineStr">
        <is>
          <t>SCA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48064-2022</t>
        </is>
      </c>
      <c r="B6980" s="1" t="n">
        <v>44856</v>
      </c>
      <c r="C6980" s="1" t="n">
        <v>45657</v>
      </c>
      <c r="D6980" t="inlineStr">
        <is>
          <t>VÄSTERNORRLANDS LÄN</t>
        </is>
      </c>
      <c r="E6980" t="inlineStr">
        <is>
          <t>SOLLEFTEÅ</t>
        </is>
      </c>
      <c r="F6980" t="inlineStr">
        <is>
          <t>SCA</t>
        </is>
      </c>
      <c r="G6980" t="n">
        <v>13.1</v>
      </c>
      <c r="H6980" t="n">
        <v>0</v>
      </c>
      <c r="I6980" t="n">
        <v>0</v>
      </c>
      <c r="J6980" t="n">
        <v>0</v>
      </c>
      <c r="K6980" t="n">
        <v>0</v>
      </c>
      <c r="L6980" t="n">
        <v>0</v>
      </c>
      <c r="M6980" t="n">
        <v>0</v>
      </c>
      <c r="N6980" t="n">
        <v>0</v>
      </c>
      <c r="O6980" t="n">
        <v>0</v>
      </c>
      <c r="P6980" t="n">
        <v>0</v>
      </c>
      <c r="Q6980" t="n">
        <v>0</v>
      </c>
      <c r="R6980" s="2" t="inlineStr"/>
    </row>
    <row r="6981" ht="15" customHeight="1">
      <c r="A6981" t="inlineStr">
        <is>
          <t>A 47830-2022</t>
        </is>
      </c>
      <c r="B6981" s="1" t="n">
        <v>44855</v>
      </c>
      <c r="C6981" s="1" t="n">
        <v>45657</v>
      </c>
      <c r="D6981" t="inlineStr">
        <is>
          <t>VÄSTERNORRLANDS LÄN</t>
        </is>
      </c>
      <c r="E6981" t="inlineStr">
        <is>
          <t>ÖRNSKÖLDSVIK</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48046-2022</t>
        </is>
      </c>
      <c r="B6982" s="1" t="n">
        <v>44856</v>
      </c>
      <c r="C6982" s="1" t="n">
        <v>45657</v>
      </c>
      <c r="D6982" t="inlineStr">
        <is>
          <t>VÄSTERNORRLANDS LÄN</t>
        </is>
      </c>
      <c r="E6982" t="inlineStr">
        <is>
          <t>KRAMFORS</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48067-2022</t>
        </is>
      </c>
      <c r="B6983" s="1" t="n">
        <v>44855</v>
      </c>
      <c r="C6983" s="1" t="n">
        <v>45657</v>
      </c>
      <c r="D6983" t="inlineStr">
        <is>
          <t>VÄSTERNORRLANDS LÄN</t>
        </is>
      </c>
      <c r="E6983" t="inlineStr">
        <is>
          <t>SOLLEFTEÅ</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47879-2022</t>
        </is>
      </c>
      <c r="B6984" s="1" t="n">
        <v>44855</v>
      </c>
      <c r="C6984" s="1" t="n">
        <v>45657</v>
      </c>
      <c r="D6984" t="inlineStr">
        <is>
          <t>VÄSTERNORRLANDS LÄN</t>
        </is>
      </c>
      <c r="E6984" t="inlineStr">
        <is>
          <t>ÖRNSKÖLDSVIK</t>
        </is>
      </c>
      <c r="F6984" t="inlineStr">
        <is>
          <t>Holmen skog AB</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47897-2022</t>
        </is>
      </c>
      <c r="B6985" s="1" t="n">
        <v>44855</v>
      </c>
      <c r="C6985" s="1" t="n">
        <v>45657</v>
      </c>
      <c r="D6985" t="inlineStr">
        <is>
          <t>VÄSTERNORRLANDS LÄN</t>
        </is>
      </c>
      <c r="E6985" t="inlineStr">
        <is>
          <t>SUNDSVALL</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47905-2022</t>
        </is>
      </c>
      <c r="B6986" s="1" t="n">
        <v>44855</v>
      </c>
      <c r="C6986" s="1" t="n">
        <v>45657</v>
      </c>
      <c r="D6986" t="inlineStr">
        <is>
          <t>VÄSTERNORRLANDS LÄN</t>
        </is>
      </c>
      <c r="E6986" t="inlineStr">
        <is>
          <t>SUNDSVALL</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47922-2022</t>
        </is>
      </c>
      <c r="B6987" s="1" t="n">
        <v>44855</v>
      </c>
      <c r="C6987" s="1" t="n">
        <v>45657</v>
      </c>
      <c r="D6987" t="inlineStr">
        <is>
          <t>VÄSTERNORRLANDS LÄN</t>
        </is>
      </c>
      <c r="E6987" t="inlineStr">
        <is>
          <t>ÖRNSKÖLDSVIK</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47972-2022</t>
        </is>
      </c>
      <c r="B6988" s="1" t="n">
        <v>44855</v>
      </c>
      <c r="C6988" s="1" t="n">
        <v>45657</v>
      </c>
      <c r="D6988" t="inlineStr">
        <is>
          <t>VÄSTERNORRLANDS LÄN</t>
        </is>
      </c>
      <c r="E6988" t="inlineStr">
        <is>
          <t>ÖRNSKÖLDSVIK</t>
        </is>
      </c>
      <c r="F6988" t="inlineStr">
        <is>
          <t>Holmen skog AB</t>
        </is>
      </c>
      <c r="G6988" t="n">
        <v>14.8</v>
      </c>
      <c r="H6988" t="n">
        <v>0</v>
      </c>
      <c r="I6988" t="n">
        <v>0</v>
      </c>
      <c r="J6988" t="n">
        <v>0</v>
      </c>
      <c r="K6988" t="n">
        <v>0</v>
      </c>
      <c r="L6988" t="n">
        <v>0</v>
      </c>
      <c r="M6988" t="n">
        <v>0</v>
      </c>
      <c r="N6988" t="n">
        <v>0</v>
      </c>
      <c r="O6988" t="n">
        <v>0</v>
      </c>
      <c r="P6988" t="n">
        <v>0</v>
      </c>
      <c r="Q6988" t="n">
        <v>0</v>
      </c>
      <c r="R6988" s="2" t="inlineStr"/>
    </row>
    <row r="6989" ht="15" customHeight="1">
      <c r="A6989" t="inlineStr">
        <is>
          <t>A 48004-2022</t>
        </is>
      </c>
      <c r="B6989" s="1" t="n">
        <v>44855</v>
      </c>
      <c r="C6989" s="1" t="n">
        <v>45657</v>
      </c>
      <c r="D6989" t="inlineStr">
        <is>
          <t>VÄSTERNORRLANDS LÄN</t>
        </is>
      </c>
      <c r="E6989" t="inlineStr">
        <is>
          <t>ÖRNSKÖLDSVIK</t>
        </is>
      </c>
      <c r="F6989" t="inlineStr">
        <is>
          <t>Holmen skog AB</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48062-2022</t>
        </is>
      </c>
      <c r="B6990" s="1" t="n">
        <v>44856</v>
      </c>
      <c r="C6990" s="1" t="n">
        <v>45657</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48083-2022</t>
        </is>
      </c>
      <c r="B6991" s="1" t="n">
        <v>44855</v>
      </c>
      <c r="C6991" s="1" t="n">
        <v>45657</v>
      </c>
      <c r="D6991" t="inlineStr">
        <is>
          <t>VÄSTERNORRLANDS LÄN</t>
        </is>
      </c>
      <c r="E6991" t="inlineStr">
        <is>
          <t>TIMRÅ</t>
        </is>
      </c>
      <c r="F6991" t="inlineStr">
        <is>
          <t>SCA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47826-2022</t>
        </is>
      </c>
      <c r="B6992" s="1" t="n">
        <v>44855</v>
      </c>
      <c r="C6992" s="1" t="n">
        <v>45657</v>
      </c>
      <c r="D6992" t="inlineStr">
        <is>
          <t>VÄSTERNORRLANDS LÄN</t>
        </is>
      </c>
      <c r="E6992" t="inlineStr">
        <is>
          <t>SOLLEFTEÅ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47836-2022</t>
        </is>
      </c>
      <c r="B6993" s="1" t="n">
        <v>44855</v>
      </c>
      <c r="C6993" s="1" t="n">
        <v>45657</v>
      </c>
      <c r="D6993" t="inlineStr">
        <is>
          <t>VÄSTERNORRLANDS LÄN</t>
        </is>
      </c>
      <c r="E6993" t="inlineStr">
        <is>
          <t>ÖRNSKÖLDSVIK</t>
        </is>
      </c>
      <c r="F6993" t="inlineStr">
        <is>
          <t>Holmen skog AB</t>
        </is>
      </c>
      <c r="G6993" t="n">
        <v>10.2</v>
      </c>
      <c r="H6993" t="n">
        <v>0</v>
      </c>
      <c r="I6993" t="n">
        <v>0</v>
      </c>
      <c r="J6993" t="n">
        <v>0</v>
      </c>
      <c r="K6993" t="n">
        <v>0</v>
      </c>
      <c r="L6993" t="n">
        <v>0</v>
      </c>
      <c r="M6993" t="n">
        <v>0</v>
      </c>
      <c r="N6993" t="n">
        <v>0</v>
      </c>
      <c r="O6993" t="n">
        <v>0</v>
      </c>
      <c r="P6993" t="n">
        <v>0</v>
      </c>
      <c r="Q6993" t="n">
        <v>0</v>
      </c>
      <c r="R6993" s="2" t="inlineStr"/>
    </row>
    <row r="6994" ht="15" customHeight="1">
      <c r="A6994" t="inlineStr">
        <is>
          <t>A 48057-2022</t>
        </is>
      </c>
      <c r="B6994" s="1" t="n">
        <v>44856</v>
      </c>
      <c r="C6994" s="1" t="n">
        <v>45657</v>
      </c>
      <c r="D6994" t="inlineStr">
        <is>
          <t>VÄSTERNORRLANDS LÄN</t>
        </is>
      </c>
      <c r="E6994" t="inlineStr">
        <is>
          <t>SOLLEFTEÅ</t>
        </is>
      </c>
      <c r="F6994" t="inlineStr">
        <is>
          <t>SCA</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48065-2022</t>
        </is>
      </c>
      <c r="B6995" s="1" t="n">
        <v>44856</v>
      </c>
      <c r="C6995" s="1" t="n">
        <v>45657</v>
      </c>
      <c r="D6995" t="inlineStr">
        <is>
          <t>VÄSTERNORRLANDS LÄN</t>
        </is>
      </c>
      <c r="E6995" t="inlineStr">
        <is>
          <t>SOLLEFTEÅ</t>
        </is>
      </c>
      <c r="F6995" t="inlineStr">
        <is>
          <t>SCA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48738-2022</t>
        </is>
      </c>
      <c r="B6996" s="1" t="n">
        <v>44855</v>
      </c>
      <c r="C6996" s="1" t="n">
        <v>45657</v>
      </c>
      <c r="D6996" t="inlineStr">
        <is>
          <t>VÄSTERNORRLANDS LÄN</t>
        </is>
      </c>
      <c r="E6996" t="inlineStr">
        <is>
          <t>SOLLEFTEÅ</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48121-2022</t>
        </is>
      </c>
      <c r="B6997" s="1" t="n">
        <v>44857</v>
      </c>
      <c r="C6997" s="1" t="n">
        <v>45657</v>
      </c>
      <c r="D6997" t="inlineStr">
        <is>
          <t>VÄSTERNORRLANDS LÄN</t>
        </is>
      </c>
      <c r="E6997" t="inlineStr">
        <is>
          <t>ÖRNSKÖLDSVIK</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48220-2022</t>
        </is>
      </c>
      <c r="B6998" s="1" t="n">
        <v>44858</v>
      </c>
      <c r="C6998" s="1" t="n">
        <v>45657</v>
      </c>
      <c r="D6998" t="inlineStr">
        <is>
          <t>VÄSTERNORRLANDS LÄN</t>
        </is>
      </c>
      <c r="E6998" t="inlineStr">
        <is>
          <t>ÖRNSKÖLDSVIK</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48240-2022</t>
        </is>
      </c>
      <c r="B6999" s="1" t="n">
        <v>44858</v>
      </c>
      <c r="C6999" s="1" t="n">
        <v>45657</v>
      </c>
      <c r="D6999" t="inlineStr">
        <is>
          <t>VÄSTERNORRLANDS LÄN</t>
        </is>
      </c>
      <c r="E6999" t="inlineStr">
        <is>
          <t>SOLLEFTEÅ</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48457-2022</t>
        </is>
      </c>
      <c r="B7000" s="1" t="n">
        <v>44858</v>
      </c>
      <c r="C7000" s="1" t="n">
        <v>45657</v>
      </c>
      <c r="D7000" t="inlineStr">
        <is>
          <t>VÄSTERNORRLANDS LÄN</t>
        </is>
      </c>
      <c r="E7000" t="inlineStr">
        <is>
          <t>ÖRNSKÖLDSVIK</t>
        </is>
      </c>
      <c r="F7000" t="inlineStr">
        <is>
          <t>Holmen skog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48511-2022</t>
        </is>
      </c>
      <c r="B7001" s="1" t="n">
        <v>44859</v>
      </c>
      <c r="C7001" s="1" t="n">
        <v>45657</v>
      </c>
      <c r="D7001" t="inlineStr">
        <is>
          <t>VÄSTERNORRLANDS LÄN</t>
        </is>
      </c>
      <c r="E7001" t="inlineStr">
        <is>
          <t>SOLLEFTEÅ</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48512-2022</t>
        </is>
      </c>
      <c r="B7002" s="1" t="n">
        <v>44859</v>
      </c>
      <c r="C7002" s="1" t="n">
        <v>45657</v>
      </c>
      <c r="D7002" t="inlineStr">
        <is>
          <t>VÄSTERNORRLANDS LÄN</t>
        </is>
      </c>
      <c r="E7002" t="inlineStr">
        <is>
          <t>SOLLEFTEÅ</t>
        </is>
      </c>
      <c r="F7002" t="inlineStr">
        <is>
          <t>SCA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48519-2022</t>
        </is>
      </c>
      <c r="B7003" s="1" t="n">
        <v>44858</v>
      </c>
      <c r="C7003" s="1" t="n">
        <v>45657</v>
      </c>
      <c r="D7003" t="inlineStr">
        <is>
          <t>VÄSTERNORRLANDS LÄN</t>
        </is>
      </c>
      <c r="E7003" t="inlineStr">
        <is>
          <t>SOLLEFTEÅ</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48252-2022</t>
        </is>
      </c>
      <c r="B7004" s="1" t="n">
        <v>44858</v>
      </c>
      <c r="C7004" s="1" t="n">
        <v>45657</v>
      </c>
      <c r="D7004" t="inlineStr">
        <is>
          <t>VÄSTERNORRLANDS LÄN</t>
        </is>
      </c>
      <c r="E7004" t="inlineStr">
        <is>
          <t>ÖRNSKÖLDSVIK</t>
        </is>
      </c>
      <c r="F7004" t="inlineStr">
        <is>
          <t>Holmen skog AB</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48296-2022</t>
        </is>
      </c>
      <c r="B7005" s="1" t="n">
        <v>44858</v>
      </c>
      <c r="C7005" s="1" t="n">
        <v>45657</v>
      </c>
      <c r="D7005" t="inlineStr">
        <is>
          <t>VÄSTERNORRLANDS LÄN</t>
        </is>
      </c>
      <c r="E7005" t="inlineStr">
        <is>
          <t>SOLLEFTEÅ</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48510-2022</t>
        </is>
      </c>
      <c r="B7006" s="1" t="n">
        <v>44858</v>
      </c>
      <c r="C7006" s="1" t="n">
        <v>45657</v>
      </c>
      <c r="D7006" t="inlineStr">
        <is>
          <t>VÄSTERNORRLANDS LÄN</t>
        </is>
      </c>
      <c r="E7006" t="inlineStr">
        <is>
          <t>SOLLEFTEÅ</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48535-2022</t>
        </is>
      </c>
      <c r="B7007" s="1" t="n">
        <v>44859</v>
      </c>
      <c r="C7007" s="1" t="n">
        <v>45657</v>
      </c>
      <c r="D7007" t="inlineStr">
        <is>
          <t>VÄSTERNORRLANDS LÄN</t>
        </is>
      </c>
      <c r="E7007" t="inlineStr">
        <is>
          <t>SOLLEFTEÅ</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48541-2022</t>
        </is>
      </c>
      <c r="B7008" s="1" t="n">
        <v>44859</v>
      </c>
      <c r="C7008" s="1" t="n">
        <v>45657</v>
      </c>
      <c r="D7008" t="inlineStr">
        <is>
          <t>VÄSTERNORRLANDS LÄN</t>
        </is>
      </c>
      <c r="E7008" t="inlineStr">
        <is>
          <t>SUNDSVALL</t>
        </is>
      </c>
      <c r="F7008" t="inlineStr">
        <is>
          <t>SCA</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48552-2022</t>
        </is>
      </c>
      <c r="B7009" s="1" t="n">
        <v>44858</v>
      </c>
      <c r="C7009" s="1" t="n">
        <v>45657</v>
      </c>
      <c r="D7009" t="inlineStr">
        <is>
          <t>VÄSTERNORRLANDS LÄN</t>
        </is>
      </c>
      <c r="E7009" t="inlineStr">
        <is>
          <t>SUNDSVALL</t>
        </is>
      </c>
      <c r="F7009" t="inlineStr">
        <is>
          <t>SCA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48513-2022</t>
        </is>
      </c>
      <c r="B7010" s="1" t="n">
        <v>44859</v>
      </c>
      <c r="C7010" s="1" t="n">
        <v>45657</v>
      </c>
      <c r="D7010" t="inlineStr">
        <is>
          <t>VÄSTERNORRLANDS LÄN</t>
        </is>
      </c>
      <c r="E7010" t="inlineStr">
        <is>
          <t>SOLLEFTEÅ</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48521-2022</t>
        </is>
      </c>
      <c r="B7011" s="1" t="n">
        <v>44858</v>
      </c>
      <c r="C7011" s="1" t="n">
        <v>45657</v>
      </c>
      <c r="D7011" t="inlineStr">
        <is>
          <t>VÄSTERNORRLANDS LÄN</t>
        </is>
      </c>
      <c r="E7011" t="inlineStr">
        <is>
          <t>ÅNGE</t>
        </is>
      </c>
      <c r="F7011" t="inlineStr">
        <is>
          <t>SCA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48540-2022</t>
        </is>
      </c>
      <c r="B7012" s="1" t="n">
        <v>44859</v>
      </c>
      <c r="C7012" s="1" t="n">
        <v>45657</v>
      </c>
      <c r="D7012" t="inlineStr">
        <is>
          <t>VÄSTERNORRLANDS LÄN</t>
        </is>
      </c>
      <c r="E7012" t="inlineStr">
        <is>
          <t>SUNDSVALL</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48550-2022</t>
        </is>
      </c>
      <c r="B7013" s="1" t="n">
        <v>44858</v>
      </c>
      <c r="C7013" s="1" t="n">
        <v>45657</v>
      </c>
      <c r="D7013" t="inlineStr">
        <is>
          <t>VÄSTERNORRLANDS LÄN</t>
        </is>
      </c>
      <c r="E7013" t="inlineStr">
        <is>
          <t>SUNDSVALL</t>
        </is>
      </c>
      <c r="F7013" t="inlineStr">
        <is>
          <t>Naturvårdsverket</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49261-2022</t>
        </is>
      </c>
      <c r="B7014" s="1" t="n">
        <v>44858</v>
      </c>
      <c r="C7014" s="1" t="n">
        <v>45657</v>
      </c>
      <c r="D7014" t="inlineStr">
        <is>
          <t>VÄSTERNORRLANDS LÄN</t>
        </is>
      </c>
      <c r="E7014" t="inlineStr">
        <is>
          <t>HÄRNÖSAND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48611-2022</t>
        </is>
      </c>
      <c r="B7015" s="1" t="n">
        <v>44859</v>
      </c>
      <c r="C7015" s="1" t="n">
        <v>45657</v>
      </c>
      <c r="D7015" t="inlineStr">
        <is>
          <t>VÄSTERNORRLANDS LÄN</t>
        </is>
      </c>
      <c r="E7015" t="inlineStr">
        <is>
          <t>ÖRNSKÖLDSVIK</t>
        </is>
      </c>
      <c r="F7015" t="inlineStr">
        <is>
          <t>Holmen skog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48587-2022</t>
        </is>
      </c>
      <c r="B7016" s="1" t="n">
        <v>44859</v>
      </c>
      <c r="C7016" s="1" t="n">
        <v>45657</v>
      </c>
      <c r="D7016" t="inlineStr">
        <is>
          <t>VÄSTERNORRLANDS LÄN</t>
        </is>
      </c>
      <c r="E7016" t="inlineStr">
        <is>
          <t>ÖRNSKÖLDSVIK</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48579-2022</t>
        </is>
      </c>
      <c r="B7017" s="1" t="n">
        <v>44859</v>
      </c>
      <c r="C7017" s="1" t="n">
        <v>45657</v>
      </c>
      <c r="D7017" t="inlineStr">
        <is>
          <t>VÄSTERNORRLANDS LÄN</t>
        </is>
      </c>
      <c r="E7017" t="inlineStr">
        <is>
          <t>ÖRNSKÖLDSVIK</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48607-2022</t>
        </is>
      </c>
      <c r="B7018" s="1" t="n">
        <v>44859</v>
      </c>
      <c r="C7018" s="1" t="n">
        <v>45657</v>
      </c>
      <c r="D7018" t="inlineStr">
        <is>
          <t>VÄSTERNORRLANDS LÄN</t>
        </is>
      </c>
      <c r="E7018" t="inlineStr">
        <is>
          <t>ÖRNSKÖLDSVIK</t>
        </is>
      </c>
      <c r="F7018" t="inlineStr">
        <is>
          <t>Holmen skog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48633-2022</t>
        </is>
      </c>
      <c r="B7019" s="1" t="n">
        <v>44859</v>
      </c>
      <c r="C7019" s="1" t="n">
        <v>45657</v>
      </c>
      <c r="D7019" t="inlineStr">
        <is>
          <t>VÄSTERNORRLANDS LÄN</t>
        </is>
      </c>
      <c r="E7019" t="inlineStr">
        <is>
          <t>ÖRNSKÖLDSVIK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48760-2022</t>
        </is>
      </c>
      <c r="B7020" s="1" t="n">
        <v>44859</v>
      </c>
      <c r="C7020" s="1" t="n">
        <v>45657</v>
      </c>
      <c r="D7020" t="inlineStr">
        <is>
          <t>VÄSTERNORRLANDS LÄN</t>
        </is>
      </c>
      <c r="E7020" t="inlineStr">
        <is>
          <t>ÖRNSKÖLDSVIK</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48905-2022</t>
        </is>
      </c>
      <c r="B7021" s="1" t="n">
        <v>44859</v>
      </c>
      <c r="C7021" s="1" t="n">
        <v>45657</v>
      </c>
      <c r="D7021" t="inlineStr">
        <is>
          <t>VÄSTERNORRLANDS LÄN</t>
        </is>
      </c>
      <c r="E7021" t="inlineStr">
        <is>
          <t>SOLLEFTEÅ</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48915-2022</t>
        </is>
      </c>
      <c r="B7022" s="1" t="n">
        <v>44860</v>
      </c>
      <c r="C7022" s="1" t="n">
        <v>45657</v>
      </c>
      <c r="D7022" t="inlineStr">
        <is>
          <t>VÄSTERNORRLANDS LÄN</t>
        </is>
      </c>
      <c r="E7022" t="inlineStr">
        <is>
          <t>SOLLEFTEÅ</t>
        </is>
      </c>
      <c r="F7022" t="inlineStr">
        <is>
          <t>SCA</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48919-2022</t>
        </is>
      </c>
      <c r="B7023" s="1" t="n">
        <v>44859</v>
      </c>
      <c r="C7023" s="1" t="n">
        <v>45657</v>
      </c>
      <c r="D7023" t="inlineStr">
        <is>
          <t>VÄSTERNORRLANDS LÄN</t>
        </is>
      </c>
      <c r="E7023" t="inlineStr">
        <is>
          <t>SOLLEFTEÅ</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48810-2022</t>
        </is>
      </c>
      <c r="B7024" s="1" t="n">
        <v>44859</v>
      </c>
      <c r="C7024" s="1" t="n">
        <v>45657</v>
      </c>
      <c r="D7024" t="inlineStr">
        <is>
          <t>VÄSTERNORRLANDS LÄN</t>
        </is>
      </c>
      <c r="E7024" t="inlineStr">
        <is>
          <t>ÖRNSKÖLDSVIK</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48901-2022</t>
        </is>
      </c>
      <c r="B7025" s="1" t="n">
        <v>44860</v>
      </c>
      <c r="C7025" s="1" t="n">
        <v>45657</v>
      </c>
      <c r="D7025" t="inlineStr">
        <is>
          <t>VÄSTERNORRLANDS LÄN</t>
        </is>
      </c>
      <c r="E7025" t="inlineStr">
        <is>
          <t>SOLLEFTEÅ</t>
        </is>
      </c>
      <c r="F7025" t="inlineStr">
        <is>
          <t>SCA</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48913-2022</t>
        </is>
      </c>
      <c r="B7026" s="1" t="n">
        <v>44860</v>
      </c>
      <c r="C7026" s="1" t="n">
        <v>45657</v>
      </c>
      <c r="D7026" t="inlineStr">
        <is>
          <t>VÄSTERNORRLANDS LÄN</t>
        </is>
      </c>
      <c r="E7026" t="inlineStr">
        <is>
          <t>SOLLEFTEÅ</t>
        </is>
      </c>
      <c r="F7026" t="inlineStr">
        <is>
          <t>SCA</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48917-2022</t>
        </is>
      </c>
      <c r="B7027" s="1" t="n">
        <v>44860</v>
      </c>
      <c r="C7027" s="1" t="n">
        <v>45657</v>
      </c>
      <c r="D7027" t="inlineStr">
        <is>
          <t>VÄSTERNORRLANDS LÄN</t>
        </is>
      </c>
      <c r="E7027" t="inlineStr">
        <is>
          <t>HÄRNÖSAND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48931-2022</t>
        </is>
      </c>
      <c r="B7028" s="1" t="n">
        <v>44860</v>
      </c>
      <c r="C7028" s="1" t="n">
        <v>45657</v>
      </c>
      <c r="D7028" t="inlineStr">
        <is>
          <t>VÄSTERNORRLANDS LÄN</t>
        </is>
      </c>
      <c r="E7028" t="inlineStr">
        <is>
          <t>SUNDSVALL</t>
        </is>
      </c>
      <c r="F7028" t="inlineStr">
        <is>
          <t>SCA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48916-2022</t>
        </is>
      </c>
      <c r="B7029" s="1" t="n">
        <v>44860</v>
      </c>
      <c r="C7029" s="1" t="n">
        <v>45657</v>
      </c>
      <c r="D7029" t="inlineStr">
        <is>
          <t>VÄSTERNORRLANDS LÄN</t>
        </is>
      </c>
      <c r="E7029" t="inlineStr">
        <is>
          <t>TIMRÅ</t>
        </is>
      </c>
      <c r="F7029" t="inlineStr">
        <is>
          <t>SCA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48923-2022</t>
        </is>
      </c>
      <c r="B7030" s="1" t="n">
        <v>44860</v>
      </c>
      <c r="C7030" s="1" t="n">
        <v>45657</v>
      </c>
      <c r="D7030" t="inlineStr">
        <is>
          <t>VÄSTERNORRLANDS LÄN</t>
        </is>
      </c>
      <c r="E7030" t="inlineStr">
        <is>
          <t>SOLLEFTEÅ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48902-2022</t>
        </is>
      </c>
      <c r="B7031" s="1" t="n">
        <v>44859</v>
      </c>
      <c r="C7031" s="1" t="n">
        <v>45657</v>
      </c>
      <c r="D7031" t="inlineStr">
        <is>
          <t>VÄSTERNORRLANDS LÄN</t>
        </is>
      </c>
      <c r="E7031" t="inlineStr">
        <is>
          <t>SOLLEFTEÅ</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48914-2022</t>
        </is>
      </c>
      <c r="B7032" s="1" t="n">
        <v>44860</v>
      </c>
      <c r="C7032" s="1" t="n">
        <v>45657</v>
      </c>
      <c r="D7032" t="inlineStr">
        <is>
          <t>VÄSTERNORRLANDS LÄN</t>
        </is>
      </c>
      <c r="E7032" t="inlineStr">
        <is>
          <t>SOLLEFTEÅ</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48918-2022</t>
        </is>
      </c>
      <c r="B7033" s="1" t="n">
        <v>44859</v>
      </c>
      <c r="C7033" s="1" t="n">
        <v>45657</v>
      </c>
      <c r="D7033" t="inlineStr">
        <is>
          <t>VÄSTERNORRLANDS LÄN</t>
        </is>
      </c>
      <c r="E7033" t="inlineStr">
        <is>
          <t>TIMRÅ</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49434-2022</t>
        </is>
      </c>
      <c r="B7034" s="1" t="n">
        <v>44859</v>
      </c>
      <c r="C7034" s="1" t="n">
        <v>45657</v>
      </c>
      <c r="D7034" t="inlineStr">
        <is>
          <t>VÄSTERNORRLANDS LÄN</t>
        </is>
      </c>
      <c r="E7034" t="inlineStr">
        <is>
          <t>KRAMFORS</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49583-2022</t>
        </is>
      </c>
      <c r="B7035" s="1" t="n">
        <v>44859</v>
      </c>
      <c r="C7035" s="1" t="n">
        <v>45657</v>
      </c>
      <c r="D7035" t="inlineStr">
        <is>
          <t>VÄSTERNORRLANDS LÄN</t>
        </is>
      </c>
      <c r="E7035" t="inlineStr">
        <is>
          <t>KRAMFORS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49694-2022</t>
        </is>
      </c>
      <c r="B7036" s="1" t="n">
        <v>44859</v>
      </c>
      <c r="C7036" s="1" t="n">
        <v>45657</v>
      </c>
      <c r="D7036" t="inlineStr">
        <is>
          <t>VÄSTERNORRLANDS LÄN</t>
        </is>
      </c>
      <c r="E7036" t="inlineStr">
        <is>
          <t>SOLLEFTEÅ</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49708-2022</t>
        </is>
      </c>
      <c r="B7037" s="1" t="n">
        <v>44859</v>
      </c>
      <c r="C7037" s="1" t="n">
        <v>45657</v>
      </c>
      <c r="D7037" t="inlineStr">
        <is>
          <t>VÄSTERNORRLANDS LÄN</t>
        </is>
      </c>
      <c r="E7037" t="inlineStr">
        <is>
          <t>SOLLEFTEÅ</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49984-2022</t>
        </is>
      </c>
      <c r="B7038" s="1" t="n">
        <v>44859</v>
      </c>
      <c r="C7038" s="1" t="n">
        <v>45657</v>
      </c>
      <c r="D7038" t="inlineStr">
        <is>
          <t>VÄSTERNORRLANDS LÄN</t>
        </is>
      </c>
      <c r="E7038" t="inlineStr">
        <is>
          <t>SUNDSVALL</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49438-2022</t>
        </is>
      </c>
      <c r="B7039" s="1" t="n">
        <v>44859</v>
      </c>
      <c r="C7039" s="1" t="n">
        <v>45657</v>
      </c>
      <c r="D7039" t="inlineStr">
        <is>
          <t>VÄSTERNORRLANDS LÄN</t>
        </is>
      </c>
      <c r="E7039" t="inlineStr">
        <is>
          <t>KRAMFORS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48996-2022</t>
        </is>
      </c>
      <c r="B7040" s="1" t="n">
        <v>44860</v>
      </c>
      <c r="C7040" s="1" t="n">
        <v>45657</v>
      </c>
      <c r="D7040" t="inlineStr">
        <is>
          <t>VÄSTERNORRLANDS LÄN</t>
        </is>
      </c>
      <c r="E7040" t="inlineStr">
        <is>
          <t>ÖRNSKÖLDSVIK</t>
        </is>
      </c>
      <c r="F7040" t="inlineStr">
        <is>
          <t>Holmen skog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48992-2022</t>
        </is>
      </c>
      <c r="B7041" s="1" t="n">
        <v>44860</v>
      </c>
      <c r="C7041" s="1" t="n">
        <v>45657</v>
      </c>
      <c r="D7041" t="inlineStr">
        <is>
          <t>VÄSTERNORRLANDS LÄN</t>
        </is>
      </c>
      <c r="E7041" t="inlineStr">
        <is>
          <t>ÖRNSKÖLDSVIK</t>
        </is>
      </c>
      <c r="F7041" t="inlineStr">
        <is>
          <t>Holmen skog AB</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48993-2022</t>
        </is>
      </c>
      <c r="B7042" s="1" t="n">
        <v>44860</v>
      </c>
      <c r="C7042" s="1" t="n">
        <v>45657</v>
      </c>
      <c r="D7042" t="inlineStr">
        <is>
          <t>VÄSTERNORRLANDS LÄN</t>
        </is>
      </c>
      <c r="E7042" t="inlineStr">
        <is>
          <t>SUNDSVALL</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49001-2022</t>
        </is>
      </c>
      <c r="B7043" s="1" t="n">
        <v>44860</v>
      </c>
      <c r="C7043" s="1" t="n">
        <v>45657</v>
      </c>
      <c r="D7043" t="inlineStr">
        <is>
          <t>VÄSTERNORRLANDS LÄN</t>
        </is>
      </c>
      <c r="E7043" t="inlineStr">
        <is>
          <t>ÖRNSKÖLDSVIK</t>
        </is>
      </c>
      <c r="F7043" t="inlineStr">
        <is>
          <t>Holmen skog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49095-2022</t>
        </is>
      </c>
      <c r="B7044" s="1" t="n">
        <v>44860</v>
      </c>
      <c r="C7044" s="1" t="n">
        <v>45657</v>
      </c>
      <c r="D7044" t="inlineStr">
        <is>
          <t>VÄSTERNORRLANDS LÄN</t>
        </is>
      </c>
      <c r="E7044" t="inlineStr">
        <is>
          <t>KRAMFORS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49025-2022</t>
        </is>
      </c>
      <c r="B7045" s="1" t="n">
        <v>44860</v>
      </c>
      <c r="C7045" s="1" t="n">
        <v>45657</v>
      </c>
      <c r="D7045" t="inlineStr">
        <is>
          <t>VÄSTERNORRLANDS LÄN</t>
        </is>
      </c>
      <c r="E7045" t="inlineStr">
        <is>
          <t>ÖRNSKÖLDSVIK</t>
        </is>
      </c>
      <c r="F7045" t="inlineStr">
        <is>
          <t>Holmen skog AB</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49056-2022</t>
        </is>
      </c>
      <c r="B7046" s="1" t="n">
        <v>44860</v>
      </c>
      <c r="C7046" s="1" t="n">
        <v>45657</v>
      </c>
      <c r="D7046" t="inlineStr">
        <is>
          <t>VÄSTERNORRLANDS LÄN</t>
        </is>
      </c>
      <c r="E7046" t="inlineStr">
        <is>
          <t>ÖRNSKÖLDSVIK</t>
        </is>
      </c>
      <c r="F7046" t="inlineStr">
        <is>
          <t>Holmen skog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49176-2022</t>
        </is>
      </c>
      <c r="B7047" s="1" t="n">
        <v>44861</v>
      </c>
      <c r="C7047" s="1" t="n">
        <v>45657</v>
      </c>
      <c r="D7047" t="inlineStr">
        <is>
          <t>VÄSTERNORRLANDS LÄN</t>
        </is>
      </c>
      <c r="E7047" t="inlineStr">
        <is>
          <t>SOLLEFTEÅ</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49181-2022</t>
        </is>
      </c>
      <c r="B7048" s="1" t="n">
        <v>44861</v>
      </c>
      <c r="C7048" s="1" t="n">
        <v>45657</v>
      </c>
      <c r="D7048" t="inlineStr">
        <is>
          <t>VÄSTERNORRLANDS LÄN</t>
        </is>
      </c>
      <c r="E7048" t="inlineStr">
        <is>
          <t>SOLLEFTEÅ</t>
        </is>
      </c>
      <c r="F7048" t="inlineStr">
        <is>
          <t>SCA</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49170-2022</t>
        </is>
      </c>
      <c r="B7049" s="1" t="n">
        <v>44861</v>
      </c>
      <c r="C7049" s="1" t="n">
        <v>45657</v>
      </c>
      <c r="D7049" t="inlineStr">
        <is>
          <t>VÄSTERNORRLANDS LÄN</t>
        </is>
      </c>
      <c r="E7049" t="inlineStr">
        <is>
          <t>SOLLEFTEÅ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49198-2022</t>
        </is>
      </c>
      <c r="B7050" s="1" t="n">
        <v>44860</v>
      </c>
      <c r="C7050" s="1" t="n">
        <v>45657</v>
      </c>
      <c r="D7050" t="inlineStr">
        <is>
          <t>VÄSTERNORRLANDS LÄN</t>
        </is>
      </c>
      <c r="E7050" t="inlineStr">
        <is>
          <t>SOLLEFTEÅ</t>
        </is>
      </c>
      <c r="F7050" t="inlineStr">
        <is>
          <t>SCA</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49168-2022</t>
        </is>
      </c>
      <c r="B7051" s="1" t="n">
        <v>44860</v>
      </c>
      <c r="C7051" s="1" t="n">
        <v>45657</v>
      </c>
      <c r="D7051" t="inlineStr">
        <is>
          <t>VÄSTERNORRLANDS LÄN</t>
        </is>
      </c>
      <c r="E7051" t="inlineStr">
        <is>
          <t>HÄRNÖSAND</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49177-2022</t>
        </is>
      </c>
      <c r="B7052" s="1" t="n">
        <v>44861</v>
      </c>
      <c r="C7052" s="1" t="n">
        <v>45657</v>
      </c>
      <c r="D7052" t="inlineStr">
        <is>
          <t>VÄSTERNORRLANDS LÄN</t>
        </is>
      </c>
      <c r="E7052" t="inlineStr">
        <is>
          <t>SOLLEFTEÅ</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49186-2022</t>
        </is>
      </c>
      <c r="B7053" s="1" t="n">
        <v>44860</v>
      </c>
      <c r="C7053" s="1" t="n">
        <v>45657</v>
      </c>
      <c r="D7053" t="inlineStr">
        <is>
          <t>VÄSTERNORRLANDS LÄN</t>
        </is>
      </c>
      <c r="E7053" t="inlineStr">
        <is>
          <t>SUNDSVALL</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49171-2022</t>
        </is>
      </c>
      <c r="B7054" s="1" t="n">
        <v>44861</v>
      </c>
      <c r="C7054" s="1" t="n">
        <v>45657</v>
      </c>
      <c r="D7054" t="inlineStr">
        <is>
          <t>VÄSTERNORRLANDS LÄN</t>
        </is>
      </c>
      <c r="E7054" t="inlineStr">
        <is>
          <t>SOLLEFTEÅ</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49175-2022</t>
        </is>
      </c>
      <c r="B7055" s="1" t="n">
        <v>44861</v>
      </c>
      <c r="C7055" s="1" t="n">
        <v>45657</v>
      </c>
      <c r="D7055" t="inlineStr">
        <is>
          <t>VÄSTERNORRLANDS LÄN</t>
        </is>
      </c>
      <c r="E7055" t="inlineStr">
        <is>
          <t>SOLLEFTEÅ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49200-2022</t>
        </is>
      </c>
      <c r="B7056" s="1" t="n">
        <v>44861</v>
      </c>
      <c r="C7056" s="1" t="n">
        <v>45657</v>
      </c>
      <c r="D7056" t="inlineStr">
        <is>
          <t>VÄSTERNORRLANDS LÄN</t>
        </is>
      </c>
      <c r="E7056" t="inlineStr">
        <is>
          <t>SOLLEFTEÅ</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49203-2022</t>
        </is>
      </c>
      <c r="B7057" s="1" t="n">
        <v>44860</v>
      </c>
      <c r="C7057" s="1" t="n">
        <v>45657</v>
      </c>
      <c r="D7057" t="inlineStr">
        <is>
          <t>VÄSTERNORRLANDS LÄN</t>
        </is>
      </c>
      <c r="E7057" t="inlineStr">
        <is>
          <t>TIMRÅ</t>
        </is>
      </c>
      <c r="F7057" t="inlineStr">
        <is>
          <t>SCA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50357-2022</t>
        </is>
      </c>
      <c r="B7058" s="1" t="n">
        <v>44860</v>
      </c>
      <c r="C7058" s="1" t="n">
        <v>45657</v>
      </c>
      <c r="D7058" t="inlineStr">
        <is>
          <t>VÄSTERNORRLANDS LÄN</t>
        </is>
      </c>
      <c r="E7058" t="inlineStr">
        <is>
          <t>ÅNGE</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49235-2022</t>
        </is>
      </c>
      <c r="B7059" s="1" t="n">
        <v>44861</v>
      </c>
      <c r="C7059" s="1" t="n">
        <v>45657</v>
      </c>
      <c r="D7059" t="inlineStr">
        <is>
          <t>VÄSTERNORRLANDS LÄN</t>
        </is>
      </c>
      <c r="E7059" t="inlineStr">
        <is>
          <t>ÖRNSKÖLDSVIK</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49238-2022</t>
        </is>
      </c>
      <c r="B7060" s="1" t="n">
        <v>44861</v>
      </c>
      <c r="C7060" s="1" t="n">
        <v>45657</v>
      </c>
      <c r="D7060" t="inlineStr">
        <is>
          <t>VÄSTERNORRLANDS LÄN</t>
        </is>
      </c>
      <c r="E7060" t="inlineStr">
        <is>
          <t>KRAMFORS</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49362-2022</t>
        </is>
      </c>
      <c r="B7061" s="1" t="n">
        <v>44861</v>
      </c>
      <c r="C7061" s="1" t="n">
        <v>45657</v>
      </c>
      <c r="D7061" t="inlineStr">
        <is>
          <t>VÄSTERNORRLANDS LÄN</t>
        </is>
      </c>
      <c r="E7061" t="inlineStr">
        <is>
          <t>ÖRNSKÖLDSVIK</t>
        </is>
      </c>
      <c r="F7061" t="inlineStr">
        <is>
          <t>Holmen skog AB</t>
        </is>
      </c>
      <c r="G7061" t="n">
        <v>14.1</v>
      </c>
      <c r="H7061" t="n">
        <v>0</v>
      </c>
      <c r="I7061" t="n">
        <v>0</v>
      </c>
      <c r="J7061" t="n">
        <v>0</v>
      </c>
      <c r="K7061" t="n">
        <v>0</v>
      </c>
      <c r="L7061" t="n">
        <v>0</v>
      </c>
      <c r="M7061" t="n">
        <v>0</v>
      </c>
      <c r="N7061" t="n">
        <v>0</v>
      </c>
      <c r="O7061" t="n">
        <v>0</v>
      </c>
      <c r="P7061" t="n">
        <v>0</v>
      </c>
      <c r="Q7061" t="n">
        <v>0</v>
      </c>
      <c r="R7061" s="2" t="inlineStr"/>
    </row>
    <row r="7062" ht="15" customHeight="1">
      <c r="A7062" t="inlineStr">
        <is>
          <t>A 49454-2022</t>
        </is>
      </c>
      <c r="B7062" s="1" t="n">
        <v>44861</v>
      </c>
      <c r="C7062" s="1" t="n">
        <v>45657</v>
      </c>
      <c r="D7062" t="inlineStr">
        <is>
          <t>VÄSTERNORRLANDS LÄN</t>
        </is>
      </c>
      <c r="E7062" t="inlineStr">
        <is>
          <t>ÖRNSKÖLDSVIK</t>
        </is>
      </c>
      <c r="F7062" t="inlineStr">
        <is>
          <t>Holmen skog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49367-2022</t>
        </is>
      </c>
      <c r="B7063" s="1" t="n">
        <v>44861</v>
      </c>
      <c r="C7063" s="1" t="n">
        <v>45657</v>
      </c>
      <c r="D7063" t="inlineStr">
        <is>
          <t>VÄSTERNORRLANDS LÄN</t>
        </is>
      </c>
      <c r="E7063" t="inlineStr">
        <is>
          <t>ÖRNSKÖLDSVIK</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49503-2022</t>
        </is>
      </c>
      <c r="B7064" s="1" t="n">
        <v>44862</v>
      </c>
      <c r="C7064" s="1" t="n">
        <v>45657</v>
      </c>
      <c r="D7064" t="inlineStr">
        <is>
          <t>VÄSTERNORRLANDS LÄN</t>
        </is>
      </c>
      <c r="E7064" t="inlineStr">
        <is>
          <t>ÅNGE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49520-2022</t>
        </is>
      </c>
      <c r="B7065" s="1" t="n">
        <v>44862</v>
      </c>
      <c r="C7065" s="1" t="n">
        <v>45657</v>
      </c>
      <c r="D7065" t="inlineStr">
        <is>
          <t>VÄSTERNORRLANDS LÄN</t>
        </is>
      </c>
      <c r="E7065" t="inlineStr">
        <is>
          <t>SOLLEFTEÅ</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49336-2022</t>
        </is>
      </c>
      <c r="B7066" s="1" t="n">
        <v>44861</v>
      </c>
      <c r="C7066" s="1" t="n">
        <v>45657</v>
      </c>
      <c r="D7066" t="inlineStr">
        <is>
          <t>VÄSTERNORRLANDS LÄN</t>
        </is>
      </c>
      <c r="E7066" t="inlineStr">
        <is>
          <t>ÖRNSKÖLDSVIK</t>
        </is>
      </c>
      <c r="F7066" t="inlineStr">
        <is>
          <t>Holmen skog AB</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50405-2022</t>
        </is>
      </c>
      <c r="B7067" s="1" t="n">
        <v>44861</v>
      </c>
      <c r="C7067" s="1" t="n">
        <v>45657</v>
      </c>
      <c r="D7067" t="inlineStr">
        <is>
          <t>VÄSTERNORRLANDS LÄN</t>
        </is>
      </c>
      <c r="E7067" t="inlineStr">
        <is>
          <t>SUNDSVALL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50426-2022</t>
        </is>
      </c>
      <c r="B7068" s="1" t="n">
        <v>44861</v>
      </c>
      <c r="C7068" s="1" t="n">
        <v>45657</v>
      </c>
      <c r="D7068" t="inlineStr">
        <is>
          <t>VÄSTERNORRLANDS LÄN</t>
        </is>
      </c>
      <c r="E7068" t="inlineStr">
        <is>
          <t>SUNDSVALL</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49502-2022</t>
        </is>
      </c>
      <c r="B7069" s="1" t="n">
        <v>44862</v>
      </c>
      <c r="C7069" s="1" t="n">
        <v>45657</v>
      </c>
      <c r="D7069" t="inlineStr">
        <is>
          <t>VÄSTERNORRLANDS LÄN</t>
        </is>
      </c>
      <c r="E7069" t="inlineStr">
        <is>
          <t>ÅNGE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49513-2022</t>
        </is>
      </c>
      <c r="B7070" s="1" t="n">
        <v>44862</v>
      </c>
      <c r="C7070" s="1" t="n">
        <v>45657</v>
      </c>
      <c r="D7070" t="inlineStr">
        <is>
          <t>VÄSTERNORRLANDS LÄN</t>
        </is>
      </c>
      <c r="E7070" t="inlineStr">
        <is>
          <t>SOLLEFTEÅ</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49512-2022</t>
        </is>
      </c>
      <c r="B7071" s="1" t="n">
        <v>44861</v>
      </c>
      <c r="C7071" s="1" t="n">
        <v>45657</v>
      </c>
      <c r="D7071" t="inlineStr">
        <is>
          <t>VÄSTERNORRLANDS LÄN</t>
        </is>
      </c>
      <c r="E7071" t="inlineStr">
        <is>
          <t>SOLLEFTEÅ</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49539-2022</t>
        </is>
      </c>
      <c r="B7072" s="1" t="n">
        <v>44862</v>
      </c>
      <c r="C7072" s="1" t="n">
        <v>45657</v>
      </c>
      <c r="D7072" t="inlineStr">
        <is>
          <t>VÄSTERNORRLANDS LÄN</t>
        </is>
      </c>
      <c r="E7072" t="inlineStr">
        <is>
          <t>SUNDSVALL</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49240-2022</t>
        </is>
      </c>
      <c r="B7073" s="1" t="n">
        <v>44861</v>
      </c>
      <c r="C7073" s="1" t="n">
        <v>45657</v>
      </c>
      <c r="D7073" t="inlineStr">
        <is>
          <t>VÄSTERNORRLANDS LÄN</t>
        </is>
      </c>
      <c r="E7073" t="inlineStr">
        <is>
          <t>HÄRNÖSAND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49290-2022</t>
        </is>
      </c>
      <c r="B7074" s="1" t="n">
        <v>44861</v>
      </c>
      <c r="C7074" s="1" t="n">
        <v>45657</v>
      </c>
      <c r="D7074" t="inlineStr">
        <is>
          <t>VÄSTERNORRLANDS LÄN</t>
        </is>
      </c>
      <c r="E7074" t="inlineStr">
        <is>
          <t>ÖRNSKÖLDSVIK</t>
        </is>
      </c>
      <c r="F7074" t="inlineStr">
        <is>
          <t>Holmen skog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49361-2022</t>
        </is>
      </c>
      <c r="B7075" s="1" t="n">
        <v>44861</v>
      </c>
      <c r="C7075" s="1" t="n">
        <v>45657</v>
      </c>
      <c r="D7075" t="inlineStr">
        <is>
          <t>VÄSTERNORRLANDS LÄN</t>
        </is>
      </c>
      <c r="E7075" t="inlineStr">
        <is>
          <t>ÖRNSKÖLDSVIK</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49419-2022</t>
        </is>
      </c>
      <c r="B7076" s="1" t="n">
        <v>44861</v>
      </c>
      <c r="C7076" s="1" t="n">
        <v>45657</v>
      </c>
      <c r="D7076" t="inlineStr">
        <is>
          <t>VÄSTERNORRLANDS LÄN</t>
        </is>
      </c>
      <c r="E7076" t="inlineStr">
        <is>
          <t>ÖRNSKÖLDSVIK</t>
        </is>
      </c>
      <c r="F7076" t="inlineStr">
        <is>
          <t>Holmen skog AB</t>
        </is>
      </c>
      <c r="G7076" t="n">
        <v>13.6</v>
      </c>
      <c r="H7076" t="n">
        <v>0</v>
      </c>
      <c r="I7076" t="n">
        <v>0</v>
      </c>
      <c r="J7076" t="n">
        <v>0</v>
      </c>
      <c r="K7076" t="n">
        <v>0</v>
      </c>
      <c r="L7076" t="n">
        <v>0</v>
      </c>
      <c r="M7076" t="n">
        <v>0</v>
      </c>
      <c r="N7076" t="n">
        <v>0</v>
      </c>
      <c r="O7076" t="n">
        <v>0</v>
      </c>
      <c r="P7076" t="n">
        <v>0</v>
      </c>
      <c r="Q7076" t="n">
        <v>0</v>
      </c>
      <c r="R7076" s="2" t="inlineStr"/>
    </row>
    <row r="7077" ht="15" customHeight="1">
      <c r="A7077" t="inlineStr">
        <is>
          <t>A 49521-2022</t>
        </is>
      </c>
      <c r="B7077" s="1" t="n">
        <v>44861</v>
      </c>
      <c r="C7077" s="1" t="n">
        <v>45657</v>
      </c>
      <c r="D7077" t="inlineStr">
        <is>
          <t>VÄSTERNORRLANDS LÄN</t>
        </is>
      </c>
      <c r="E7077" t="inlineStr">
        <is>
          <t>SOLLEFTEÅ</t>
        </is>
      </c>
      <c r="F7077" t="inlineStr">
        <is>
          <t>SCA</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49538-2022</t>
        </is>
      </c>
      <c r="B7078" s="1" t="n">
        <v>44861</v>
      </c>
      <c r="C7078" s="1" t="n">
        <v>45657</v>
      </c>
      <c r="D7078" t="inlineStr">
        <is>
          <t>VÄSTERNORRLANDS LÄN</t>
        </is>
      </c>
      <c r="E7078" t="inlineStr">
        <is>
          <t>SOLLEFTEÅ</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50499-2022</t>
        </is>
      </c>
      <c r="B7079" s="1" t="n">
        <v>44861</v>
      </c>
      <c r="C7079" s="1" t="n">
        <v>45657</v>
      </c>
      <c r="D7079" t="inlineStr">
        <is>
          <t>VÄSTERNORRLANDS LÄN</t>
        </is>
      </c>
      <c r="E7079" t="inlineStr">
        <is>
          <t>KRAMFORS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50419-2022</t>
        </is>
      </c>
      <c r="B7080" s="1" t="n">
        <v>44861</v>
      </c>
      <c r="C7080" s="1" t="n">
        <v>45657</v>
      </c>
      <c r="D7080" t="inlineStr">
        <is>
          <t>VÄSTERNORRLANDS LÄN</t>
        </is>
      </c>
      <c r="E7080" t="inlineStr">
        <is>
          <t>ÅNGE</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49598-2022</t>
        </is>
      </c>
      <c r="B7081" s="1" t="n">
        <v>44862</v>
      </c>
      <c r="C7081" s="1" t="n">
        <v>45657</v>
      </c>
      <c r="D7081" t="inlineStr">
        <is>
          <t>VÄSTERNORRLANDS LÄN</t>
        </is>
      </c>
      <c r="E7081" t="inlineStr">
        <is>
          <t>ÖRNSKÖLDSVIK</t>
        </is>
      </c>
      <c r="F7081" t="inlineStr">
        <is>
          <t>Holmen skog AB</t>
        </is>
      </c>
      <c r="G7081" t="n">
        <v>16.6</v>
      </c>
      <c r="H7081" t="n">
        <v>0</v>
      </c>
      <c r="I7081" t="n">
        <v>0</v>
      </c>
      <c r="J7081" t="n">
        <v>0</v>
      </c>
      <c r="K7081" t="n">
        <v>0</v>
      </c>
      <c r="L7081" t="n">
        <v>0</v>
      </c>
      <c r="M7081" t="n">
        <v>0</v>
      </c>
      <c r="N7081" t="n">
        <v>0</v>
      </c>
      <c r="O7081" t="n">
        <v>0</v>
      </c>
      <c r="P7081" t="n">
        <v>0</v>
      </c>
      <c r="Q7081" t="n">
        <v>0</v>
      </c>
      <c r="R7081" s="2" t="inlineStr"/>
    </row>
    <row r="7082" ht="15" customHeight="1">
      <c r="A7082" t="inlineStr">
        <is>
          <t>A 49779-2022</t>
        </is>
      </c>
      <c r="B7082" s="1" t="n">
        <v>44862</v>
      </c>
      <c r="C7082" s="1" t="n">
        <v>45657</v>
      </c>
      <c r="D7082" t="inlineStr">
        <is>
          <t>VÄSTERNORRLANDS LÄN</t>
        </is>
      </c>
      <c r="E7082" t="inlineStr">
        <is>
          <t>ÖRNSKÖLDSVIK</t>
        </is>
      </c>
      <c r="F7082" t="inlineStr">
        <is>
          <t>Holmen skog AB</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49665-2022</t>
        </is>
      </c>
      <c r="B7083" s="1" t="n">
        <v>44862</v>
      </c>
      <c r="C7083" s="1" t="n">
        <v>45657</v>
      </c>
      <c r="D7083" t="inlineStr">
        <is>
          <t>VÄSTERNORRLANDS LÄN</t>
        </is>
      </c>
      <c r="E7083" t="inlineStr">
        <is>
          <t>SOLLEFTEÅ</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49860-2022</t>
        </is>
      </c>
      <c r="B7084" s="1" t="n">
        <v>44862</v>
      </c>
      <c r="C7084" s="1" t="n">
        <v>45657</v>
      </c>
      <c r="D7084" t="inlineStr">
        <is>
          <t>VÄSTERNORRLANDS LÄN</t>
        </is>
      </c>
      <c r="E7084" t="inlineStr">
        <is>
          <t>SOLLEFTEÅ</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49857-2022</t>
        </is>
      </c>
      <c r="B7085" s="1" t="n">
        <v>44862</v>
      </c>
      <c r="C7085" s="1" t="n">
        <v>45657</v>
      </c>
      <c r="D7085" t="inlineStr">
        <is>
          <t>VÄSTERNORRLANDS LÄN</t>
        </is>
      </c>
      <c r="E7085" t="inlineStr">
        <is>
          <t>SUNDSVALL</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49866-2022</t>
        </is>
      </c>
      <c r="B7086" s="1" t="n">
        <v>44863</v>
      </c>
      <c r="C7086" s="1" t="n">
        <v>45657</v>
      </c>
      <c r="D7086" t="inlineStr">
        <is>
          <t>VÄSTERNORRLANDS LÄN</t>
        </is>
      </c>
      <c r="E7086" t="inlineStr">
        <is>
          <t>SOLLEFTEÅ</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50732-2022</t>
        </is>
      </c>
      <c r="B7087" s="1" t="n">
        <v>44862</v>
      </c>
      <c r="C7087" s="1" t="n">
        <v>45657</v>
      </c>
      <c r="D7087" t="inlineStr">
        <is>
          <t>VÄSTERNORRLANDS LÄN</t>
        </is>
      </c>
      <c r="E7087" t="inlineStr">
        <is>
          <t>ÖRNSKÖLDSVIK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50813-2022</t>
        </is>
      </c>
      <c r="B7088" s="1" t="n">
        <v>44862</v>
      </c>
      <c r="C7088" s="1" t="n">
        <v>45657</v>
      </c>
      <c r="D7088" t="inlineStr">
        <is>
          <t>VÄSTERNORRLANDS LÄN</t>
        </is>
      </c>
      <c r="E7088" t="inlineStr">
        <is>
          <t>SOLLEFTEÅ</t>
        </is>
      </c>
      <c r="F7088" t="inlineStr">
        <is>
          <t>Övriga statliga verk och myndigheter</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50825-2022</t>
        </is>
      </c>
      <c r="B7089" s="1" t="n">
        <v>44862</v>
      </c>
      <c r="C7089" s="1" t="n">
        <v>45657</v>
      </c>
      <c r="D7089" t="inlineStr">
        <is>
          <t>VÄSTERNORRLANDS LÄN</t>
        </is>
      </c>
      <c r="E7089" t="inlineStr">
        <is>
          <t>SOLLEFTEÅ</t>
        </is>
      </c>
      <c r="F7089" t="inlineStr">
        <is>
          <t>Övriga statliga verk och myndigheter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49865-2022</t>
        </is>
      </c>
      <c r="B7090" s="1" t="n">
        <v>44863</v>
      </c>
      <c r="C7090" s="1" t="n">
        <v>45657</v>
      </c>
      <c r="D7090" t="inlineStr">
        <is>
          <t>VÄSTERNORRLANDS LÄN</t>
        </is>
      </c>
      <c r="E7090" t="inlineStr">
        <is>
          <t>ÅNGE</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50562-2022</t>
        </is>
      </c>
      <c r="B7091" s="1" t="n">
        <v>44862</v>
      </c>
      <c r="C7091" s="1" t="n">
        <v>45657</v>
      </c>
      <c r="D7091" t="inlineStr">
        <is>
          <t>VÄSTERNORRLANDS LÄN</t>
        </is>
      </c>
      <c r="E7091" t="inlineStr">
        <is>
          <t>ÖRNSKÖLDSVIK</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50824-2022</t>
        </is>
      </c>
      <c r="B7092" s="1" t="n">
        <v>44862</v>
      </c>
      <c r="C7092" s="1" t="n">
        <v>45657</v>
      </c>
      <c r="D7092" t="inlineStr">
        <is>
          <t>VÄSTERNORRLANDS LÄN</t>
        </is>
      </c>
      <c r="E7092" t="inlineStr">
        <is>
          <t>SUNDSVALL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49911-2022</t>
        </is>
      </c>
      <c r="B7093" s="1" t="n">
        <v>44865</v>
      </c>
      <c r="C7093" s="1" t="n">
        <v>45657</v>
      </c>
      <c r="D7093" t="inlineStr">
        <is>
          <t>VÄSTERNORRLANDS LÄN</t>
        </is>
      </c>
      <c r="E7093" t="inlineStr">
        <is>
          <t>SOLLEFTEÅ</t>
        </is>
      </c>
      <c r="F7093" t="inlineStr">
        <is>
          <t>Holmen skog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50217-2022</t>
        </is>
      </c>
      <c r="B7094" s="1" t="n">
        <v>44865</v>
      </c>
      <c r="C7094" s="1" t="n">
        <v>45657</v>
      </c>
      <c r="D7094" t="inlineStr">
        <is>
          <t>VÄSTERNORRLANDS LÄN</t>
        </is>
      </c>
      <c r="E7094" t="inlineStr">
        <is>
          <t>ÖRNSKÖLDSVIK</t>
        </is>
      </c>
      <c r="F7094" t="inlineStr">
        <is>
          <t>Holmen skog AB</t>
        </is>
      </c>
      <c r="G7094" t="n">
        <v>24.6</v>
      </c>
      <c r="H7094" t="n">
        <v>0</v>
      </c>
      <c r="I7094" t="n">
        <v>0</v>
      </c>
      <c r="J7094" t="n">
        <v>0</v>
      </c>
      <c r="K7094" t="n">
        <v>0</v>
      </c>
      <c r="L7094" t="n">
        <v>0</v>
      </c>
      <c r="M7094" t="n">
        <v>0</v>
      </c>
      <c r="N7094" t="n">
        <v>0</v>
      </c>
      <c r="O7094" t="n">
        <v>0</v>
      </c>
      <c r="P7094" t="n">
        <v>0</v>
      </c>
      <c r="Q7094" t="n">
        <v>0</v>
      </c>
      <c r="R7094" s="2" t="inlineStr"/>
    </row>
    <row r="7095" ht="15" customHeight="1">
      <c r="A7095" t="inlineStr">
        <is>
          <t>A 49915-2022</t>
        </is>
      </c>
      <c r="B7095" s="1" t="n">
        <v>44865</v>
      </c>
      <c r="C7095" s="1" t="n">
        <v>45657</v>
      </c>
      <c r="D7095" t="inlineStr">
        <is>
          <t>VÄSTERNORRLANDS LÄN</t>
        </is>
      </c>
      <c r="E7095" t="inlineStr">
        <is>
          <t>ÖRNSKÖLDSVIK</t>
        </is>
      </c>
      <c r="F7095" t="inlineStr">
        <is>
          <t>Holmen skog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50200-2022</t>
        </is>
      </c>
      <c r="B7096" s="1" t="n">
        <v>44865</v>
      </c>
      <c r="C7096" s="1" t="n">
        <v>45657</v>
      </c>
      <c r="D7096" t="inlineStr">
        <is>
          <t>VÄSTERNORRLANDS LÄN</t>
        </is>
      </c>
      <c r="E7096" t="inlineStr">
        <is>
          <t>ÖRNSKÖLDSVIK</t>
        </is>
      </c>
      <c r="F7096" t="inlineStr">
        <is>
          <t>Holmen skog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50213-2022</t>
        </is>
      </c>
      <c r="B7097" s="1" t="n">
        <v>44865</v>
      </c>
      <c r="C7097" s="1" t="n">
        <v>45657</v>
      </c>
      <c r="D7097" t="inlineStr">
        <is>
          <t>VÄSTERNORRLANDS LÄN</t>
        </is>
      </c>
      <c r="E7097" t="inlineStr">
        <is>
          <t>ÖRNSKÖLDSVIK</t>
        </is>
      </c>
      <c r="F7097" t="inlineStr">
        <is>
          <t>Holmen skog AB</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50229-2022</t>
        </is>
      </c>
      <c r="B7098" s="1" t="n">
        <v>44865</v>
      </c>
      <c r="C7098" s="1" t="n">
        <v>45657</v>
      </c>
      <c r="D7098" t="inlineStr">
        <is>
          <t>VÄSTERNORRLANDS LÄN</t>
        </is>
      </c>
      <c r="E7098" t="inlineStr">
        <is>
          <t>ÖRNSKÖLDSVIK</t>
        </is>
      </c>
      <c r="F7098" t="inlineStr">
        <is>
          <t>Holmen skog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50240-2022</t>
        </is>
      </c>
      <c r="B7099" s="1" t="n">
        <v>44865</v>
      </c>
      <c r="C7099" s="1" t="n">
        <v>45657</v>
      </c>
      <c r="D7099" t="inlineStr">
        <is>
          <t>VÄSTERNORRLANDS LÄN</t>
        </is>
      </c>
      <c r="E7099" t="inlineStr">
        <is>
          <t>ÖRNSKÖLDSVIK</t>
        </is>
      </c>
      <c r="F7099" t="inlineStr">
        <is>
          <t>Holmen skog AB</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50259-2022</t>
        </is>
      </c>
      <c r="B7100" s="1" t="n">
        <v>44865</v>
      </c>
      <c r="C7100" s="1" t="n">
        <v>45657</v>
      </c>
      <c r="D7100" t="inlineStr">
        <is>
          <t>VÄSTERNORRLANDS LÄN</t>
        </is>
      </c>
      <c r="E7100" t="inlineStr">
        <is>
          <t>ÖRNSKÖLDSVIK</t>
        </is>
      </c>
      <c r="F7100" t="inlineStr">
        <is>
          <t>Holmen skog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50318-2022</t>
        </is>
      </c>
      <c r="B7101" s="1" t="n">
        <v>44865</v>
      </c>
      <c r="C7101" s="1" t="n">
        <v>45657</v>
      </c>
      <c r="D7101" t="inlineStr">
        <is>
          <t>VÄSTERNORRLANDS LÄN</t>
        </is>
      </c>
      <c r="E7101" t="inlineStr">
        <is>
          <t>SOLLEFTEÅ</t>
        </is>
      </c>
      <c r="F7101" t="inlineStr">
        <is>
          <t>SCA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50243-2022</t>
        </is>
      </c>
      <c r="B7102" s="1" t="n">
        <v>44865</v>
      </c>
      <c r="C7102" s="1" t="n">
        <v>45657</v>
      </c>
      <c r="D7102" t="inlineStr">
        <is>
          <t>VÄSTERNORRLANDS LÄN</t>
        </is>
      </c>
      <c r="E7102" t="inlineStr">
        <is>
          <t>ÖRNSKÖLDSVIK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50332-2022</t>
        </is>
      </c>
      <c r="B7103" s="1" t="n">
        <v>44865</v>
      </c>
      <c r="C7103" s="1" t="n">
        <v>45657</v>
      </c>
      <c r="D7103" t="inlineStr">
        <is>
          <t>VÄSTERNORRLANDS LÄN</t>
        </is>
      </c>
      <c r="E7103" t="inlineStr">
        <is>
          <t>ÅNGE</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50338-2022</t>
        </is>
      </c>
      <c r="B7104" s="1" t="n">
        <v>44865</v>
      </c>
      <c r="C7104" s="1" t="n">
        <v>45657</v>
      </c>
      <c r="D7104" t="inlineStr">
        <is>
          <t>VÄSTERNORRLANDS LÄN</t>
        </is>
      </c>
      <c r="E7104" t="inlineStr">
        <is>
          <t>HÄRNÖSAND</t>
        </is>
      </c>
      <c r="F7104" t="inlineStr">
        <is>
          <t>SCA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51077-2022</t>
        </is>
      </c>
      <c r="B7105" s="1" t="n">
        <v>44865</v>
      </c>
      <c r="C7105" s="1" t="n">
        <v>45657</v>
      </c>
      <c r="D7105" t="inlineStr">
        <is>
          <t>VÄSTERNORRLANDS LÄN</t>
        </is>
      </c>
      <c r="E7105" t="inlineStr">
        <is>
          <t>KRAMFORS</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51080-2022</t>
        </is>
      </c>
      <c r="B7106" s="1" t="n">
        <v>44865</v>
      </c>
      <c r="C7106" s="1" t="n">
        <v>45657</v>
      </c>
      <c r="D7106" t="inlineStr">
        <is>
          <t>VÄSTERNORRLANDS LÄN</t>
        </is>
      </c>
      <c r="E7106" t="inlineStr">
        <is>
          <t>SOLLEFTEÅ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50344-2022</t>
        </is>
      </c>
      <c r="B7107" s="1" t="n">
        <v>44866</v>
      </c>
      <c r="C7107" s="1" t="n">
        <v>45657</v>
      </c>
      <c r="D7107" t="inlineStr">
        <is>
          <t>VÄSTERNORRLANDS LÄN</t>
        </is>
      </c>
      <c r="E7107" t="inlineStr">
        <is>
          <t>ÖRNSKÖLDSVIK</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50643-2022</t>
        </is>
      </c>
      <c r="B7108" s="1" t="n">
        <v>44866</v>
      </c>
      <c r="C7108" s="1" t="n">
        <v>45657</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50641-2022</t>
        </is>
      </c>
      <c r="B7109" s="1" t="n">
        <v>44866</v>
      </c>
      <c r="C7109" s="1" t="n">
        <v>45657</v>
      </c>
      <c r="D7109" t="inlineStr">
        <is>
          <t>VÄSTERNORRLANDS LÄN</t>
        </is>
      </c>
      <c r="E7109" t="inlineStr">
        <is>
          <t>SOLLEFTEÅ</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50640-2022</t>
        </is>
      </c>
      <c r="B7110" s="1" t="n">
        <v>44866</v>
      </c>
      <c r="C7110" s="1" t="n">
        <v>45657</v>
      </c>
      <c r="D7110" t="inlineStr">
        <is>
          <t>VÄSTERNORRLANDS LÄN</t>
        </is>
      </c>
      <c r="E7110" t="inlineStr">
        <is>
          <t>ÅNGE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50642-2022</t>
        </is>
      </c>
      <c r="B7111" s="1" t="n">
        <v>44866</v>
      </c>
      <c r="C7111" s="1" t="n">
        <v>45657</v>
      </c>
      <c r="D7111" t="inlineStr">
        <is>
          <t>VÄSTERNORRLANDS LÄN</t>
        </is>
      </c>
      <c r="E7111" t="inlineStr">
        <is>
          <t>SOLLEFTEÅ</t>
        </is>
      </c>
      <c r="F7111" t="inlineStr">
        <is>
          <t>SCA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50652-2022</t>
        </is>
      </c>
      <c r="B7112" s="1" t="n">
        <v>44866</v>
      </c>
      <c r="C7112" s="1" t="n">
        <v>45657</v>
      </c>
      <c r="D7112" t="inlineStr">
        <is>
          <t>VÄSTERNORRLANDS LÄN</t>
        </is>
      </c>
      <c r="E7112" t="inlineStr">
        <is>
          <t>SUNDSVALL</t>
        </is>
      </c>
      <c r="F7112" t="inlineStr">
        <is>
          <t>SCA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50665-2022</t>
        </is>
      </c>
      <c r="B7113" s="1" t="n">
        <v>44866</v>
      </c>
      <c r="C7113" s="1" t="n">
        <v>45657</v>
      </c>
      <c r="D7113" t="inlineStr">
        <is>
          <t>VÄSTERNORRLANDS LÄN</t>
        </is>
      </c>
      <c r="E7113" t="inlineStr">
        <is>
          <t>ÅNGE</t>
        </is>
      </c>
      <c r="F7113" t="inlineStr">
        <is>
          <t>SCA</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50655-2022</t>
        </is>
      </c>
      <c r="B7114" s="1" t="n">
        <v>44866</v>
      </c>
      <c r="C7114" s="1" t="n">
        <v>45657</v>
      </c>
      <c r="D7114" t="inlineStr">
        <is>
          <t>VÄSTERNORRLANDS LÄN</t>
        </is>
      </c>
      <c r="E7114" t="inlineStr">
        <is>
          <t>SOLLEFTEÅ</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50651-2022</t>
        </is>
      </c>
      <c r="B7115" s="1" t="n">
        <v>44866</v>
      </c>
      <c r="C7115" s="1" t="n">
        <v>45657</v>
      </c>
      <c r="D7115" t="inlineStr">
        <is>
          <t>VÄSTERNORRLANDS LÄN</t>
        </is>
      </c>
      <c r="E7115" t="inlineStr">
        <is>
          <t>SUNDSVALL</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50656-2022</t>
        </is>
      </c>
      <c r="B7116" s="1" t="n">
        <v>44866</v>
      </c>
      <c r="C7116" s="1" t="n">
        <v>45657</v>
      </c>
      <c r="D7116" t="inlineStr">
        <is>
          <t>VÄSTERNORRLANDS LÄN</t>
        </is>
      </c>
      <c r="E7116" t="inlineStr">
        <is>
          <t>SOLLEFTEÅ</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50660-2022</t>
        </is>
      </c>
      <c r="B7117" s="1" t="n">
        <v>44866</v>
      </c>
      <c r="C7117" s="1" t="n">
        <v>45657</v>
      </c>
      <c r="D7117" t="inlineStr">
        <is>
          <t>VÄSTERNORRLANDS LÄN</t>
        </is>
      </c>
      <c r="E7117" t="inlineStr">
        <is>
          <t>TIMRÅ</t>
        </is>
      </c>
      <c r="F7117" t="inlineStr">
        <is>
          <t>SCA</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50654-2022</t>
        </is>
      </c>
      <c r="B7118" s="1" t="n">
        <v>44866</v>
      </c>
      <c r="C7118" s="1" t="n">
        <v>45657</v>
      </c>
      <c r="D7118" t="inlineStr">
        <is>
          <t>VÄSTERNORRLANDS LÄN</t>
        </is>
      </c>
      <c r="E7118" t="inlineStr">
        <is>
          <t>SUNDSVALL</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50662-2022</t>
        </is>
      </c>
      <c r="B7119" s="1" t="n">
        <v>44866</v>
      </c>
      <c r="C7119" s="1" t="n">
        <v>45657</v>
      </c>
      <c r="D7119" t="inlineStr">
        <is>
          <t>VÄSTERNORRLANDS LÄN</t>
        </is>
      </c>
      <c r="E7119" t="inlineStr">
        <is>
          <t>SOLLEFTEÅ</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51249-2022</t>
        </is>
      </c>
      <c r="B7120" s="1" t="n">
        <v>44866</v>
      </c>
      <c r="C7120" s="1" t="n">
        <v>45657</v>
      </c>
      <c r="D7120" t="inlineStr">
        <is>
          <t>VÄSTERNORRLANDS LÄN</t>
        </is>
      </c>
      <c r="E7120" t="inlineStr">
        <is>
          <t>SOLLEFTEÅ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51244-2022</t>
        </is>
      </c>
      <c r="B7121" s="1" t="n">
        <v>44866</v>
      </c>
      <c r="C7121" s="1" t="n">
        <v>45657</v>
      </c>
      <c r="D7121" t="inlineStr">
        <is>
          <t>VÄSTERNORRLANDS LÄN</t>
        </is>
      </c>
      <c r="E7121" t="inlineStr">
        <is>
          <t>KRAMFORS</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51383-2022</t>
        </is>
      </c>
      <c r="B7122" s="1" t="n">
        <v>44866</v>
      </c>
      <c r="C7122" s="1" t="n">
        <v>45657</v>
      </c>
      <c r="D7122" t="inlineStr">
        <is>
          <t>VÄSTERNORRLANDS LÄN</t>
        </is>
      </c>
      <c r="E7122" t="inlineStr">
        <is>
          <t>ÅNGE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50833-2022</t>
        </is>
      </c>
      <c r="B7123" s="1" t="n">
        <v>44867</v>
      </c>
      <c r="C7123" s="1" t="n">
        <v>45657</v>
      </c>
      <c r="D7123" t="inlineStr">
        <is>
          <t>VÄSTERNORRLANDS LÄN</t>
        </is>
      </c>
      <c r="E7123" t="inlineStr">
        <is>
          <t>ÖRNSKÖLDSVIK</t>
        </is>
      </c>
      <c r="F7123" t="inlineStr">
        <is>
          <t>Holmen skog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50887-2022</t>
        </is>
      </c>
      <c r="B7124" s="1" t="n">
        <v>44867</v>
      </c>
      <c r="C7124" s="1" t="n">
        <v>45657</v>
      </c>
      <c r="D7124" t="inlineStr">
        <is>
          <t>VÄSTERNORRLANDS LÄN</t>
        </is>
      </c>
      <c r="E7124" t="inlineStr">
        <is>
          <t>ÖRNSKÖLDSVIK</t>
        </is>
      </c>
      <c r="F7124" t="inlineStr">
        <is>
          <t>Holmen skog AB</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50867-2022</t>
        </is>
      </c>
      <c r="B7125" s="1" t="n">
        <v>44867</v>
      </c>
      <c r="C7125" s="1" t="n">
        <v>45657</v>
      </c>
      <c r="D7125" t="inlineStr">
        <is>
          <t>VÄSTERNORRLANDS LÄN</t>
        </is>
      </c>
      <c r="E7125" t="inlineStr">
        <is>
          <t>ÖRNSKÖLDSVIK</t>
        </is>
      </c>
      <c r="F7125" t="inlineStr">
        <is>
          <t>Holmen skog AB</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50926-2022</t>
        </is>
      </c>
      <c r="B7126" s="1" t="n">
        <v>44867</v>
      </c>
      <c r="C7126" s="1" t="n">
        <v>45657</v>
      </c>
      <c r="D7126" t="inlineStr">
        <is>
          <t>VÄSTERNORRLANDS LÄN</t>
        </is>
      </c>
      <c r="E7126" t="inlineStr">
        <is>
          <t>ÖRNSKÖLDSVIK</t>
        </is>
      </c>
      <c r="F7126" t="inlineStr">
        <is>
          <t>Holmen skog AB</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51001-2022</t>
        </is>
      </c>
      <c r="B7127" s="1" t="n">
        <v>44867</v>
      </c>
      <c r="C7127" s="1" t="n">
        <v>45657</v>
      </c>
      <c r="D7127" t="inlineStr">
        <is>
          <t>VÄSTERNORRLANDS LÄN</t>
        </is>
      </c>
      <c r="E7127" t="inlineStr">
        <is>
          <t>HÄRNÖSAND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51006-2022</t>
        </is>
      </c>
      <c r="B7128" s="1" t="n">
        <v>44867</v>
      </c>
      <c r="C7128" s="1" t="n">
        <v>45657</v>
      </c>
      <c r="D7128" t="inlineStr">
        <is>
          <t>VÄSTERNORRLANDS LÄN</t>
        </is>
      </c>
      <c r="E7128" t="inlineStr">
        <is>
          <t>SOLLEFTEÅ</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51004-2022</t>
        </is>
      </c>
      <c r="B7129" s="1" t="n">
        <v>44867</v>
      </c>
      <c r="C7129" s="1" t="n">
        <v>45657</v>
      </c>
      <c r="D7129" t="inlineStr">
        <is>
          <t>VÄSTERNORRLANDS LÄN</t>
        </is>
      </c>
      <c r="E7129" t="inlineStr">
        <is>
          <t>SUNDSVALL</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51003-2022</t>
        </is>
      </c>
      <c r="B7130" s="1" t="n">
        <v>44867</v>
      </c>
      <c r="C7130" s="1" t="n">
        <v>45657</v>
      </c>
      <c r="D7130" t="inlineStr">
        <is>
          <t>VÄSTERNORRLANDS LÄN</t>
        </is>
      </c>
      <c r="E7130" t="inlineStr">
        <is>
          <t>ÖRNSKÖLDSVIK</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51114-2022</t>
        </is>
      </c>
      <c r="B7131" s="1" t="n">
        <v>44868</v>
      </c>
      <c r="C7131" s="1" t="n">
        <v>45657</v>
      </c>
      <c r="D7131" t="inlineStr">
        <is>
          <t>VÄSTERNORRLANDS LÄN</t>
        </is>
      </c>
      <c r="E7131" t="inlineStr">
        <is>
          <t>ÖRNSKÖLDSVIK</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51131-2022</t>
        </is>
      </c>
      <c r="B7132" s="1" t="n">
        <v>44868</v>
      </c>
      <c r="C7132" s="1" t="n">
        <v>45657</v>
      </c>
      <c r="D7132" t="inlineStr">
        <is>
          <t>VÄSTERNORRLANDS LÄN</t>
        </is>
      </c>
      <c r="E7132" t="inlineStr">
        <is>
          <t>ÅNGE</t>
        </is>
      </c>
      <c r="G7132" t="n">
        <v>11.1</v>
      </c>
      <c r="H7132" t="n">
        <v>0</v>
      </c>
      <c r="I7132" t="n">
        <v>0</v>
      </c>
      <c r="J7132" t="n">
        <v>0</v>
      </c>
      <c r="K7132" t="n">
        <v>0</v>
      </c>
      <c r="L7132" t="n">
        <v>0</v>
      </c>
      <c r="M7132" t="n">
        <v>0</v>
      </c>
      <c r="N7132" t="n">
        <v>0</v>
      </c>
      <c r="O7132" t="n">
        <v>0</v>
      </c>
      <c r="P7132" t="n">
        <v>0</v>
      </c>
      <c r="Q7132" t="n">
        <v>0</v>
      </c>
      <c r="R7132" s="2" t="inlineStr"/>
    </row>
    <row r="7133" ht="15" customHeight="1">
      <c r="A7133" t="inlineStr">
        <is>
          <t>A 51212-2022</t>
        </is>
      </c>
      <c r="B7133" s="1" t="n">
        <v>44868</v>
      </c>
      <c r="C7133" s="1" t="n">
        <v>45657</v>
      </c>
      <c r="D7133" t="inlineStr">
        <is>
          <t>VÄSTERNORRLANDS LÄN</t>
        </is>
      </c>
      <c r="E7133" t="inlineStr">
        <is>
          <t>SOLLEFTEÅ</t>
        </is>
      </c>
      <c r="F7133" t="inlineStr">
        <is>
          <t>Holmen skog AB</t>
        </is>
      </c>
      <c r="G7133" t="n">
        <v>18.3</v>
      </c>
      <c r="H7133" t="n">
        <v>0</v>
      </c>
      <c r="I7133" t="n">
        <v>0</v>
      </c>
      <c r="J7133" t="n">
        <v>0</v>
      </c>
      <c r="K7133" t="n">
        <v>0</v>
      </c>
      <c r="L7133" t="n">
        <v>0</v>
      </c>
      <c r="M7133" t="n">
        <v>0</v>
      </c>
      <c r="N7133" t="n">
        <v>0</v>
      </c>
      <c r="O7133" t="n">
        <v>0</v>
      </c>
      <c r="P7133" t="n">
        <v>0</v>
      </c>
      <c r="Q7133" t="n">
        <v>0</v>
      </c>
      <c r="R7133" s="2" t="inlineStr"/>
    </row>
    <row r="7134" ht="15" customHeight="1">
      <c r="A7134" t="inlineStr">
        <is>
          <t>A 51272-2022</t>
        </is>
      </c>
      <c r="B7134" s="1" t="n">
        <v>44868</v>
      </c>
      <c r="C7134" s="1" t="n">
        <v>45657</v>
      </c>
      <c r="D7134" t="inlineStr">
        <is>
          <t>VÄSTERNORRLANDS LÄN</t>
        </is>
      </c>
      <c r="E7134" t="inlineStr">
        <is>
          <t>HÄRNÖSAND</t>
        </is>
      </c>
      <c r="F7134" t="inlineStr">
        <is>
          <t>Kyrkan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51305-2022</t>
        </is>
      </c>
      <c r="B7135" s="1" t="n">
        <v>44868</v>
      </c>
      <c r="C7135" s="1" t="n">
        <v>45657</v>
      </c>
      <c r="D7135" t="inlineStr">
        <is>
          <t>VÄSTERNORRLANDS LÄN</t>
        </is>
      </c>
      <c r="E7135" t="inlineStr">
        <is>
          <t>KRAMFORS</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51317-2022</t>
        </is>
      </c>
      <c r="B7136" s="1" t="n">
        <v>44868</v>
      </c>
      <c r="C7136" s="1" t="n">
        <v>45657</v>
      </c>
      <c r="D7136" t="inlineStr">
        <is>
          <t>VÄSTERNORRLANDS LÄN</t>
        </is>
      </c>
      <c r="E7136" t="inlineStr">
        <is>
          <t>SOLLEFTEÅ</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52096-2022</t>
        </is>
      </c>
      <c r="B7137" s="1" t="n">
        <v>44868</v>
      </c>
      <c r="C7137" s="1" t="n">
        <v>45657</v>
      </c>
      <c r="D7137" t="inlineStr">
        <is>
          <t>VÄSTERNORRLANDS LÄN</t>
        </is>
      </c>
      <c r="E7137" t="inlineStr">
        <is>
          <t>TIMRÅ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51263-2022</t>
        </is>
      </c>
      <c r="B7138" s="1" t="n">
        <v>44868</v>
      </c>
      <c r="C7138" s="1" t="n">
        <v>45657</v>
      </c>
      <c r="D7138" t="inlineStr">
        <is>
          <t>VÄSTERNORRLANDS LÄN</t>
        </is>
      </c>
      <c r="E7138" t="inlineStr">
        <is>
          <t>ÅNGE</t>
        </is>
      </c>
      <c r="F7138" t="inlineStr">
        <is>
          <t>Holmen skog AB</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51311-2022</t>
        </is>
      </c>
      <c r="B7139" s="1" t="n">
        <v>44868</v>
      </c>
      <c r="C7139" s="1" t="n">
        <v>45657</v>
      </c>
      <c r="D7139" t="inlineStr">
        <is>
          <t>VÄSTERNORRLANDS LÄN</t>
        </is>
      </c>
      <c r="E7139" t="inlineStr">
        <is>
          <t>ÅNGE</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51308-2022</t>
        </is>
      </c>
      <c r="B7140" s="1" t="n">
        <v>44868</v>
      </c>
      <c r="C7140" s="1" t="n">
        <v>45657</v>
      </c>
      <c r="D7140" t="inlineStr">
        <is>
          <t>VÄSTERNORRLANDS LÄN</t>
        </is>
      </c>
      <c r="E7140" t="inlineStr">
        <is>
          <t>KRAMFORS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51314-2022</t>
        </is>
      </c>
      <c r="B7141" s="1" t="n">
        <v>44868</v>
      </c>
      <c r="C7141" s="1" t="n">
        <v>45657</v>
      </c>
      <c r="D7141" t="inlineStr">
        <is>
          <t>VÄSTERNORRLANDS LÄN</t>
        </is>
      </c>
      <c r="E7141" t="inlineStr">
        <is>
          <t>SOLLEFTEÅ</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51261-2022</t>
        </is>
      </c>
      <c r="B7142" s="1" t="n">
        <v>44868</v>
      </c>
      <c r="C7142" s="1" t="n">
        <v>45657</v>
      </c>
      <c r="D7142" t="inlineStr">
        <is>
          <t>VÄSTERNORRLANDS LÄN</t>
        </is>
      </c>
      <c r="E7142" t="inlineStr">
        <is>
          <t>ÅNGE</t>
        </is>
      </c>
      <c r="F7142" t="inlineStr">
        <is>
          <t>Holmen skog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51306-2022</t>
        </is>
      </c>
      <c r="B7143" s="1" t="n">
        <v>44868</v>
      </c>
      <c r="C7143" s="1" t="n">
        <v>45657</v>
      </c>
      <c r="D7143" t="inlineStr">
        <is>
          <t>VÄSTERNORRLANDS LÄN</t>
        </is>
      </c>
      <c r="E7143" t="inlineStr">
        <is>
          <t>KRAMFORS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51313-2022</t>
        </is>
      </c>
      <c r="B7144" s="1" t="n">
        <v>44868</v>
      </c>
      <c r="C7144" s="1" t="n">
        <v>45657</v>
      </c>
      <c r="D7144" t="inlineStr">
        <is>
          <t>VÄSTERNORRLANDS LÄN</t>
        </is>
      </c>
      <c r="E7144" t="inlineStr">
        <is>
          <t>ÅNGE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51329-2022</t>
        </is>
      </c>
      <c r="B7145" s="1" t="n">
        <v>44869</v>
      </c>
      <c r="C7145" s="1" t="n">
        <v>45657</v>
      </c>
      <c r="D7145" t="inlineStr">
        <is>
          <t>VÄSTERNORRLANDS LÄN</t>
        </is>
      </c>
      <c r="E7145" t="inlineStr">
        <is>
          <t>ÖRNSKÖLDSVIK</t>
        </is>
      </c>
      <c r="F7145" t="inlineStr">
        <is>
          <t>Holmen skog AB</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51366-2022</t>
        </is>
      </c>
      <c r="B7146" s="1" t="n">
        <v>44869</v>
      </c>
      <c r="C7146" s="1" t="n">
        <v>45657</v>
      </c>
      <c r="D7146" t="inlineStr">
        <is>
          <t>VÄSTERNORRLANDS LÄN</t>
        </is>
      </c>
      <c r="E7146" t="inlineStr">
        <is>
          <t>SUNDSVALL</t>
        </is>
      </c>
      <c r="G7146" t="n">
        <v>31.8</v>
      </c>
      <c r="H7146" t="n">
        <v>0</v>
      </c>
      <c r="I7146" t="n">
        <v>0</v>
      </c>
      <c r="J7146" t="n">
        <v>0</v>
      </c>
      <c r="K7146" t="n">
        <v>0</v>
      </c>
      <c r="L7146" t="n">
        <v>0</v>
      </c>
      <c r="M7146" t="n">
        <v>0</v>
      </c>
      <c r="N7146" t="n">
        <v>0</v>
      </c>
      <c r="O7146" t="n">
        <v>0</v>
      </c>
      <c r="P7146" t="n">
        <v>0</v>
      </c>
      <c r="Q7146" t="n">
        <v>0</v>
      </c>
      <c r="R7146" s="2" t="inlineStr"/>
    </row>
    <row r="7147" ht="15" customHeight="1">
      <c r="A7147" t="inlineStr">
        <is>
          <t>A 51370-2022</t>
        </is>
      </c>
      <c r="B7147" s="1" t="n">
        <v>44869</v>
      </c>
      <c r="C7147" s="1" t="n">
        <v>45657</v>
      </c>
      <c r="D7147" t="inlineStr">
        <is>
          <t>VÄSTERNORRLANDS LÄN</t>
        </is>
      </c>
      <c r="E7147" t="inlineStr">
        <is>
          <t>SUNDSVALL</t>
        </is>
      </c>
      <c r="G7147" t="n">
        <v>18.7</v>
      </c>
      <c r="H7147" t="n">
        <v>0</v>
      </c>
      <c r="I7147" t="n">
        <v>0</v>
      </c>
      <c r="J7147" t="n">
        <v>0</v>
      </c>
      <c r="K7147" t="n">
        <v>0</v>
      </c>
      <c r="L7147" t="n">
        <v>0</v>
      </c>
      <c r="M7147" t="n">
        <v>0</v>
      </c>
      <c r="N7147" t="n">
        <v>0</v>
      </c>
      <c r="O7147" t="n">
        <v>0</v>
      </c>
      <c r="P7147" t="n">
        <v>0</v>
      </c>
      <c r="Q7147" t="n">
        <v>0</v>
      </c>
      <c r="R7147" s="2" t="inlineStr"/>
    </row>
    <row r="7148" ht="15" customHeight="1">
      <c r="A7148" t="inlineStr">
        <is>
          <t>A 51385-2022</t>
        </is>
      </c>
      <c r="B7148" s="1" t="n">
        <v>44869</v>
      </c>
      <c r="C7148" s="1" t="n">
        <v>45657</v>
      </c>
      <c r="D7148" t="inlineStr">
        <is>
          <t>VÄSTERNORRLANDS LÄN</t>
        </is>
      </c>
      <c r="E7148" t="inlineStr">
        <is>
          <t>KRAMFORS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51393-2022</t>
        </is>
      </c>
      <c r="B7149" s="1" t="n">
        <v>44869</v>
      </c>
      <c r="C7149" s="1" t="n">
        <v>45657</v>
      </c>
      <c r="D7149" t="inlineStr">
        <is>
          <t>VÄSTERNORRLANDS LÄN</t>
        </is>
      </c>
      <c r="E7149" t="inlineStr">
        <is>
          <t>ÅNGE</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51382-2022</t>
        </is>
      </c>
      <c r="B7150" s="1" t="n">
        <v>44869</v>
      </c>
      <c r="C7150" s="1" t="n">
        <v>45657</v>
      </c>
      <c r="D7150" t="inlineStr">
        <is>
          <t>VÄSTERNORRLANDS LÄN</t>
        </is>
      </c>
      <c r="E7150" t="inlineStr">
        <is>
          <t>SUNDSVALL</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51360-2022</t>
        </is>
      </c>
      <c r="B7151" s="1" t="n">
        <v>44869</v>
      </c>
      <c r="C7151" s="1" t="n">
        <v>45657</v>
      </c>
      <c r="D7151" t="inlineStr">
        <is>
          <t>VÄSTERNORRLANDS LÄN</t>
        </is>
      </c>
      <c r="E7151" t="inlineStr">
        <is>
          <t>SUNDSVALL</t>
        </is>
      </c>
      <c r="G7151" t="n">
        <v>30.9</v>
      </c>
      <c r="H7151" t="n">
        <v>0</v>
      </c>
      <c r="I7151" t="n">
        <v>0</v>
      </c>
      <c r="J7151" t="n">
        <v>0</v>
      </c>
      <c r="K7151" t="n">
        <v>0</v>
      </c>
      <c r="L7151" t="n">
        <v>0</v>
      </c>
      <c r="M7151" t="n">
        <v>0</v>
      </c>
      <c r="N7151" t="n">
        <v>0</v>
      </c>
      <c r="O7151" t="n">
        <v>0</v>
      </c>
      <c r="P7151" t="n">
        <v>0</v>
      </c>
      <c r="Q7151" t="n">
        <v>0</v>
      </c>
      <c r="R7151" s="2" t="inlineStr"/>
    </row>
    <row r="7152" ht="15" customHeight="1">
      <c r="A7152" t="inlineStr">
        <is>
          <t>A 51454-2022</t>
        </is>
      </c>
      <c r="B7152" s="1" t="n">
        <v>44869</v>
      </c>
      <c r="C7152" s="1" t="n">
        <v>45657</v>
      </c>
      <c r="D7152" t="inlineStr">
        <is>
          <t>VÄSTERNORRLANDS LÄN</t>
        </is>
      </c>
      <c r="E7152" t="inlineStr">
        <is>
          <t>ÖRNSKÖLDSVIK</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51544-2022</t>
        </is>
      </c>
      <c r="B7153" s="1" t="n">
        <v>44869</v>
      </c>
      <c r="C7153" s="1" t="n">
        <v>45657</v>
      </c>
      <c r="D7153" t="inlineStr">
        <is>
          <t>VÄSTERNORRLANDS LÄN</t>
        </is>
      </c>
      <c r="E7153" t="inlineStr">
        <is>
          <t>SOLLEFTEÅ</t>
        </is>
      </c>
      <c r="F7153" t="inlineStr">
        <is>
          <t>SCA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51564-2022</t>
        </is>
      </c>
      <c r="B7154" s="1" t="n">
        <v>44869</v>
      </c>
      <c r="C7154" s="1" t="n">
        <v>45657</v>
      </c>
      <c r="D7154" t="inlineStr">
        <is>
          <t>VÄSTERNORRLANDS LÄN</t>
        </is>
      </c>
      <c r="E7154" t="inlineStr">
        <is>
          <t>TIMRÅ</t>
        </is>
      </c>
      <c r="F7154" t="inlineStr">
        <is>
          <t>SCA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51542-2022</t>
        </is>
      </c>
      <c r="B7155" s="1" t="n">
        <v>44869</v>
      </c>
      <c r="C7155" s="1" t="n">
        <v>45657</v>
      </c>
      <c r="D7155" t="inlineStr">
        <is>
          <t>VÄSTERNORRLANDS LÄN</t>
        </is>
      </c>
      <c r="E7155" t="inlineStr">
        <is>
          <t>ÅNGE</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51547-2022</t>
        </is>
      </c>
      <c r="B7156" s="1" t="n">
        <v>44869</v>
      </c>
      <c r="C7156" s="1" t="n">
        <v>45657</v>
      </c>
      <c r="D7156" t="inlineStr">
        <is>
          <t>VÄSTERNORRLANDS LÄN</t>
        </is>
      </c>
      <c r="E7156" t="inlineStr">
        <is>
          <t>SUNDSVALL</t>
        </is>
      </c>
      <c r="F7156" t="inlineStr">
        <is>
          <t>SCA</t>
        </is>
      </c>
      <c r="G7156" t="n">
        <v>11.3</v>
      </c>
      <c r="H7156" t="n">
        <v>0</v>
      </c>
      <c r="I7156" t="n">
        <v>0</v>
      </c>
      <c r="J7156" t="n">
        <v>0</v>
      </c>
      <c r="K7156" t="n">
        <v>0</v>
      </c>
      <c r="L7156" t="n">
        <v>0</v>
      </c>
      <c r="M7156" t="n">
        <v>0</v>
      </c>
      <c r="N7156" t="n">
        <v>0</v>
      </c>
      <c r="O7156" t="n">
        <v>0</v>
      </c>
      <c r="P7156" t="n">
        <v>0</v>
      </c>
      <c r="Q7156" t="n">
        <v>0</v>
      </c>
      <c r="R7156" s="2" t="inlineStr"/>
    </row>
    <row r="7157" ht="15" customHeight="1">
      <c r="A7157" t="inlineStr">
        <is>
          <t>A 51555-2022</t>
        </is>
      </c>
      <c r="B7157" s="1" t="n">
        <v>44869</v>
      </c>
      <c r="C7157" s="1" t="n">
        <v>45657</v>
      </c>
      <c r="D7157" t="inlineStr">
        <is>
          <t>VÄSTERNORRLANDS LÄN</t>
        </is>
      </c>
      <c r="E7157" t="inlineStr">
        <is>
          <t>ÅNGE</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51541-2022</t>
        </is>
      </c>
      <c r="B7158" s="1" t="n">
        <v>44869</v>
      </c>
      <c r="C7158" s="1" t="n">
        <v>45657</v>
      </c>
      <c r="D7158" t="inlineStr">
        <is>
          <t>VÄSTERNORRLANDS LÄN</t>
        </is>
      </c>
      <c r="E7158" t="inlineStr">
        <is>
          <t>SOLLEFTEÅ</t>
        </is>
      </c>
      <c r="F7158" t="inlineStr">
        <is>
          <t>SCA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51546-2022</t>
        </is>
      </c>
      <c r="B7159" s="1" t="n">
        <v>44869</v>
      </c>
      <c r="C7159" s="1" t="n">
        <v>45657</v>
      </c>
      <c r="D7159" t="inlineStr">
        <is>
          <t>VÄSTERNORRLANDS LÄN</t>
        </is>
      </c>
      <c r="E7159" t="inlineStr">
        <is>
          <t>TIMRÅ</t>
        </is>
      </c>
      <c r="F7159" t="inlineStr">
        <is>
          <t>SCA</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52213-2022</t>
        </is>
      </c>
      <c r="B7160" s="1" t="n">
        <v>44869</v>
      </c>
      <c r="C7160" s="1" t="n">
        <v>45657</v>
      </c>
      <c r="D7160" t="inlineStr">
        <is>
          <t>VÄSTERNORRLANDS LÄN</t>
        </is>
      </c>
      <c r="E7160" t="inlineStr">
        <is>
          <t>TIMRÅ</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52237-2022</t>
        </is>
      </c>
      <c r="B7161" s="1" t="n">
        <v>44869</v>
      </c>
      <c r="C7161" s="1" t="n">
        <v>45657</v>
      </c>
      <c r="D7161" t="inlineStr">
        <is>
          <t>VÄSTERNORRLANDS LÄN</t>
        </is>
      </c>
      <c r="E7161" t="inlineStr">
        <is>
          <t>HÄRNÖSAND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52232-2022</t>
        </is>
      </c>
      <c r="B7162" s="1" t="n">
        <v>44869</v>
      </c>
      <c r="C7162" s="1" t="n">
        <v>45657</v>
      </c>
      <c r="D7162" t="inlineStr">
        <is>
          <t>VÄSTERNORRLANDS LÄN</t>
        </is>
      </c>
      <c r="E7162" t="inlineStr">
        <is>
          <t>TIMRÅ</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51494-2022</t>
        </is>
      </c>
      <c r="B7163" s="1" t="n">
        <v>44869</v>
      </c>
      <c r="C7163" s="1" t="n">
        <v>45657</v>
      </c>
      <c r="D7163" t="inlineStr">
        <is>
          <t>VÄSTERNORRLANDS LÄN</t>
        </is>
      </c>
      <c r="E7163" t="inlineStr">
        <is>
          <t>ÅNGE</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51506-2022</t>
        </is>
      </c>
      <c r="B7164" s="1" t="n">
        <v>44869</v>
      </c>
      <c r="C7164" s="1" t="n">
        <v>45657</v>
      </c>
      <c r="D7164" t="inlineStr">
        <is>
          <t>VÄSTERNORRLANDS LÄN</t>
        </is>
      </c>
      <c r="E7164" t="inlineStr">
        <is>
          <t>ÖRNSKÖLDSVIK</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51543-2022</t>
        </is>
      </c>
      <c r="B7165" s="1" t="n">
        <v>44869</v>
      </c>
      <c r="C7165" s="1" t="n">
        <v>45657</v>
      </c>
      <c r="D7165" t="inlineStr">
        <is>
          <t>VÄSTERNORRLANDS LÄN</t>
        </is>
      </c>
      <c r="E7165" t="inlineStr">
        <is>
          <t>SOLLEFTEÅ</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52220-2022</t>
        </is>
      </c>
      <c r="B7166" s="1" t="n">
        <v>44869</v>
      </c>
      <c r="C7166" s="1" t="n">
        <v>45657</v>
      </c>
      <c r="D7166" t="inlineStr">
        <is>
          <t>VÄSTERNORRLANDS LÄN</t>
        </is>
      </c>
      <c r="E7166" t="inlineStr">
        <is>
          <t>TIMRÅ</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52501-2022</t>
        </is>
      </c>
      <c r="B7167" s="1" t="n">
        <v>44869</v>
      </c>
      <c r="C7167" s="1" t="n">
        <v>45657</v>
      </c>
      <c r="D7167" t="inlineStr">
        <is>
          <t>VÄSTERNORRLANDS LÄN</t>
        </is>
      </c>
      <c r="E7167" t="inlineStr">
        <is>
          <t>KRAMFORS</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51585-2022</t>
        </is>
      </c>
      <c r="B7168" s="1" t="n">
        <v>44870</v>
      </c>
      <c r="C7168" s="1" t="n">
        <v>45657</v>
      </c>
      <c r="D7168" t="inlineStr">
        <is>
          <t>VÄSTERNORRLANDS LÄN</t>
        </is>
      </c>
      <c r="E7168" t="inlineStr">
        <is>
          <t>SUNDSVALL</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51630-2022</t>
        </is>
      </c>
      <c r="B7169" s="1" t="n">
        <v>44872</v>
      </c>
      <c r="C7169" s="1" t="n">
        <v>45657</v>
      </c>
      <c r="D7169" t="inlineStr">
        <is>
          <t>VÄSTERNORRLANDS LÄN</t>
        </is>
      </c>
      <c r="E7169" t="inlineStr">
        <is>
          <t>ÖRNSKÖLDSVIK</t>
        </is>
      </c>
      <c r="F7169" t="inlineStr">
        <is>
          <t>Holmen skog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51739-2022</t>
        </is>
      </c>
      <c r="B7170" s="1" t="n">
        <v>44872</v>
      </c>
      <c r="C7170" s="1" t="n">
        <v>45657</v>
      </c>
      <c r="D7170" t="inlineStr">
        <is>
          <t>VÄSTERNORRLANDS LÄN</t>
        </is>
      </c>
      <c r="E7170" t="inlineStr">
        <is>
          <t>SOLLEFTEÅ</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51832-2022</t>
        </is>
      </c>
      <c r="B7171" s="1" t="n">
        <v>44872</v>
      </c>
      <c r="C7171" s="1" t="n">
        <v>45657</v>
      </c>
      <c r="D7171" t="inlineStr">
        <is>
          <t>VÄSTERNORRLANDS LÄN</t>
        </is>
      </c>
      <c r="E7171" t="inlineStr">
        <is>
          <t>ÖRNSKÖLDSVIK</t>
        </is>
      </c>
      <c r="F7171" t="inlineStr">
        <is>
          <t>Holmen skog AB</t>
        </is>
      </c>
      <c r="G7171" t="n">
        <v>13.8</v>
      </c>
      <c r="H7171" t="n">
        <v>0</v>
      </c>
      <c r="I7171" t="n">
        <v>0</v>
      </c>
      <c r="J7171" t="n">
        <v>0</v>
      </c>
      <c r="K7171" t="n">
        <v>0</v>
      </c>
      <c r="L7171" t="n">
        <v>0</v>
      </c>
      <c r="M7171" t="n">
        <v>0</v>
      </c>
      <c r="N7171" t="n">
        <v>0</v>
      </c>
      <c r="O7171" t="n">
        <v>0</v>
      </c>
      <c r="P7171" t="n">
        <v>0</v>
      </c>
      <c r="Q7171" t="n">
        <v>0</v>
      </c>
      <c r="R7171" s="2" t="inlineStr"/>
    </row>
    <row r="7172" ht="15" customHeight="1">
      <c r="A7172" t="inlineStr">
        <is>
          <t>A 51879-2022</t>
        </is>
      </c>
      <c r="B7172" s="1" t="n">
        <v>44872</v>
      </c>
      <c r="C7172" s="1" t="n">
        <v>45657</v>
      </c>
      <c r="D7172" t="inlineStr">
        <is>
          <t>VÄSTERNORRLANDS LÄN</t>
        </is>
      </c>
      <c r="E7172" t="inlineStr">
        <is>
          <t>ÖRNSKÖLDSVIK</t>
        </is>
      </c>
      <c r="F7172" t="inlineStr">
        <is>
          <t>Holmen skog AB</t>
        </is>
      </c>
      <c r="G7172" t="n">
        <v>10.1</v>
      </c>
      <c r="H7172" t="n">
        <v>0</v>
      </c>
      <c r="I7172" t="n">
        <v>0</v>
      </c>
      <c r="J7172" t="n">
        <v>0</v>
      </c>
      <c r="K7172" t="n">
        <v>0</v>
      </c>
      <c r="L7172" t="n">
        <v>0</v>
      </c>
      <c r="M7172" t="n">
        <v>0</v>
      </c>
      <c r="N7172" t="n">
        <v>0</v>
      </c>
      <c r="O7172" t="n">
        <v>0</v>
      </c>
      <c r="P7172" t="n">
        <v>0</v>
      </c>
      <c r="Q7172" t="n">
        <v>0</v>
      </c>
      <c r="R7172" s="2" t="inlineStr"/>
    </row>
    <row r="7173" ht="15" customHeight="1">
      <c r="A7173" t="inlineStr">
        <is>
          <t>A 51967-2022</t>
        </is>
      </c>
      <c r="B7173" s="1" t="n">
        <v>44872</v>
      </c>
      <c r="C7173" s="1" t="n">
        <v>45657</v>
      </c>
      <c r="D7173" t="inlineStr">
        <is>
          <t>VÄSTERNORRLANDS LÄN</t>
        </is>
      </c>
      <c r="E7173" t="inlineStr">
        <is>
          <t>ÖRNSKÖLDSVIK</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51999-2022</t>
        </is>
      </c>
      <c r="B7174" s="1" t="n">
        <v>44872</v>
      </c>
      <c r="C7174" s="1" t="n">
        <v>45657</v>
      </c>
      <c r="D7174" t="inlineStr">
        <is>
          <t>VÄSTERNORRLANDS LÄN</t>
        </is>
      </c>
      <c r="E7174" t="inlineStr">
        <is>
          <t>TIMRÅ</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52005-2022</t>
        </is>
      </c>
      <c r="B7175" s="1" t="n">
        <v>44872</v>
      </c>
      <c r="C7175" s="1" t="n">
        <v>45657</v>
      </c>
      <c r="D7175" t="inlineStr">
        <is>
          <t>VÄSTERNORRLANDS LÄN</t>
        </is>
      </c>
      <c r="E7175" t="inlineStr">
        <is>
          <t>KRAMFORS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52013-2022</t>
        </is>
      </c>
      <c r="B7176" s="1" t="n">
        <v>44872</v>
      </c>
      <c r="C7176" s="1" t="n">
        <v>45657</v>
      </c>
      <c r="D7176" t="inlineStr">
        <is>
          <t>VÄSTERNORRLANDS LÄN</t>
        </is>
      </c>
      <c r="E7176" t="inlineStr">
        <is>
          <t>SOLLEFTEÅ</t>
        </is>
      </c>
      <c r="F7176" t="inlineStr">
        <is>
          <t>SCA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51997-2022</t>
        </is>
      </c>
      <c r="B7177" s="1" t="n">
        <v>44872</v>
      </c>
      <c r="C7177" s="1" t="n">
        <v>45657</v>
      </c>
      <c r="D7177" t="inlineStr">
        <is>
          <t>VÄSTERNORRLANDS LÄN</t>
        </is>
      </c>
      <c r="E7177" t="inlineStr">
        <is>
          <t>ÅNGE</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52002-2022</t>
        </is>
      </c>
      <c r="B7178" s="1" t="n">
        <v>44872</v>
      </c>
      <c r="C7178" s="1" t="n">
        <v>45657</v>
      </c>
      <c r="D7178" t="inlineStr">
        <is>
          <t>VÄSTERNORRLANDS LÄN</t>
        </is>
      </c>
      <c r="E7178" t="inlineStr">
        <is>
          <t>KRAMFORS</t>
        </is>
      </c>
      <c r="G7178" t="n">
        <v>7.7</v>
      </c>
      <c r="H7178" t="n">
        <v>0</v>
      </c>
      <c r="I7178" t="n">
        <v>0</v>
      </c>
      <c r="J7178" t="n">
        <v>0</v>
      </c>
      <c r="K7178" t="n">
        <v>0</v>
      </c>
      <c r="L7178" t="n">
        <v>0</v>
      </c>
      <c r="M7178" t="n">
        <v>0</v>
      </c>
      <c r="N7178" t="n">
        <v>0</v>
      </c>
      <c r="O7178" t="n">
        <v>0</v>
      </c>
      <c r="P7178" t="n">
        <v>0</v>
      </c>
      <c r="Q7178" t="n">
        <v>0</v>
      </c>
      <c r="R7178" s="2" t="inlineStr"/>
    </row>
    <row r="7179" ht="15" customHeight="1">
      <c r="A7179" t="inlineStr">
        <is>
          <t>A 52007-2022</t>
        </is>
      </c>
      <c r="B7179" s="1" t="n">
        <v>44872</v>
      </c>
      <c r="C7179" s="1" t="n">
        <v>45657</v>
      </c>
      <c r="D7179" t="inlineStr">
        <is>
          <t>VÄSTERNORRLANDS LÄN</t>
        </is>
      </c>
      <c r="E7179" t="inlineStr">
        <is>
          <t>KRAMFORS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52796-2022</t>
        </is>
      </c>
      <c r="B7180" s="1" t="n">
        <v>44872</v>
      </c>
      <c r="C7180" s="1" t="n">
        <v>45657</v>
      </c>
      <c r="D7180" t="inlineStr">
        <is>
          <t>VÄSTERNORRLANDS LÄN</t>
        </is>
      </c>
      <c r="E7180" t="inlineStr">
        <is>
          <t>ÖRNSKÖLDSVIK</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52034-2022</t>
        </is>
      </c>
      <c r="B7181" s="1" t="n">
        <v>44872</v>
      </c>
      <c r="C7181" s="1" t="n">
        <v>45657</v>
      </c>
      <c r="D7181" t="inlineStr">
        <is>
          <t>VÄSTERNORRLANDS LÄN</t>
        </is>
      </c>
      <c r="E7181" t="inlineStr">
        <is>
          <t>SOLLEFTEÅ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52040-2022</t>
        </is>
      </c>
      <c r="B7182" s="1" t="n">
        <v>44872</v>
      </c>
      <c r="C7182" s="1" t="n">
        <v>45657</v>
      </c>
      <c r="D7182" t="inlineStr">
        <is>
          <t>VÄSTERNORRLANDS LÄN</t>
        </is>
      </c>
      <c r="E7182" t="inlineStr">
        <is>
          <t>SOLLEFTEÅ</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52029-2022</t>
        </is>
      </c>
      <c r="B7183" s="1" t="n">
        <v>44872</v>
      </c>
      <c r="C7183" s="1" t="n">
        <v>45657</v>
      </c>
      <c r="D7183" t="inlineStr">
        <is>
          <t>VÄSTERNORRLANDS LÄN</t>
        </is>
      </c>
      <c r="E7183" t="inlineStr">
        <is>
          <t>SUNDSVALL</t>
        </is>
      </c>
      <c r="F7183" t="inlineStr">
        <is>
          <t>SCA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51992-2022</t>
        </is>
      </c>
      <c r="B7184" s="1" t="n">
        <v>44872</v>
      </c>
      <c r="C7184" s="1" t="n">
        <v>45657</v>
      </c>
      <c r="D7184" t="inlineStr">
        <is>
          <t>VÄSTERNORRLANDS LÄN</t>
        </is>
      </c>
      <c r="E7184" t="inlineStr">
        <is>
          <t>ÖRNSKÖLDSVIK</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51996-2022</t>
        </is>
      </c>
      <c r="B7185" s="1" t="n">
        <v>44872</v>
      </c>
      <c r="C7185" s="1" t="n">
        <v>45657</v>
      </c>
      <c r="D7185" t="inlineStr">
        <is>
          <t>VÄSTERNORRLANDS LÄN</t>
        </is>
      </c>
      <c r="E7185" t="inlineStr">
        <is>
          <t>ÅNGE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52000-2022</t>
        </is>
      </c>
      <c r="B7186" s="1" t="n">
        <v>44872</v>
      </c>
      <c r="C7186" s="1" t="n">
        <v>45657</v>
      </c>
      <c r="D7186" t="inlineStr">
        <is>
          <t>VÄSTERNORRLANDS LÄN</t>
        </is>
      </c>
      <c r="E7186" t="inlineStr">
        <is>
          <t>HÄRNÖSAND</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52010-2022</t>
        </is>
      </c>
      <c r="B7187" s="1" t="n">
        <v>44872</v>
      </c>
      <c r="C7187" s="1" t="n">
        <v>45657</v>
      </c>
      <c r="D7187" t="inlineStr">
        <is>
          <t>VÄSTERNORRLANDS LÄN</t>
        </is>
      </c>
      <c r="E7187" t="inlineStr">
        <is>
          <t>TIMRÅ</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52015-2022</t>
        </is>
      </c>
      <c r="B7188" s="1" t="n">
        <v>44872</v>
      </c>
      <c r="C7188" s="1" t="n">
        <v>45657</v>
      </c>
      <c r="D7188" t="inlineStr">
        <is>
          <t>VÄSTERNORRLANDS LÄN</t>
        </is>
      </c>
      <c r="E7188" t="inlineStr">
        <is>
          <t>ÅNGE</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52035-2022</t>
        </is>
      </c>
      <c r="B7189" s="1" t="n">
        <v>44872</v>
      </c>
      <c r="C7189" s="1" t="n">
        <v>45657</v>
      </c>
      <c r="D7189" t="inlineStr">
        <is>
          <t>VÄSTERNORRLANDS LÄN</t>
        </is>
      </c>
      <c r="E7189" t="inlineStr">
        <is>
          <t>SOLLEFTEÅ</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52039-2022</t>
        </is>
      </c>
      <c r="B7190" s="1" t="n">
        <v>44872</v>
      </c>
      <c r="C7190" s="1" t="n">
        <v>45657</v>
      </c>
      <c r="D7190" t="inlineStr">
        <is>
          <t>VÄSTERNORRLANDS LÄN</t>
        </is>
      </c>
      <c r="E7190" t="inlineStr">
        <is>
          <t>SOLLEFTEÅ</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52182-2022</t>
        </is>
      </c>
      <c r="B7191" s="1" t="n">
        <v>44873</v>
      </c>
      <c r="C7191" s="1" t="n">
        <v>45657</v>
      </c>
      <c r="D7191" t="inlineStr">
        <is>
          <t>VÄSTERNORRLANDS LÄN</t>
        </is>
      </c>
      <c r="E7191" t="inlineStr">
        <is>
          <t>ÅNGE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52065-2022</t>
        </is>
      </c>
      <c r="B7192" s="1" t="n">
        <v>44873</v>
      </c>
      <c r="C7192" s="1" t="n">
        <v>45657</v>
      </c>
      <c r="D7192" t="inlineStr">
        <is>
          <t>VÄSTERNORRLANDS LÄN</t>
        </is>
      </c>
      <c r="E7192" t="inlineStr">
        <is>
          <t>ÖRNSKÖLDSVIK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52179-2022</t>
        </is>
      </c>
      <c r="B7193" s="1" t="n">
        <v>44873</v>
      </c>
      <c r="C7193" s="1" t="n">
        <v>45657</v>
      </c>
      <c r="D7193" t="inlineStr">
        <is>
          <t>VÄSTERNORRLANDS LÄN</t>
        </is>
      </c>
      <c r="E7193" t="inlineStr">
        <is>
          <t>ÅNGE</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52335-2022</t>
        </is>
      </c>
      <c r="B7194" s="1" t="n">
        <v>44873</v>
      </c>
      <c r="C7194" s="1" t="n">
        <v>45657</v>
      </c>
      <c r="D7194" t="inlineStr">
        <is>
          <t>VÄSTERNORRLANDS LÄN</t>
        </is>
      </c>
      <c r="E7194" t="inlineStr">
        <is>
          <t>KRAMFORS</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52347-2022</t>
        </is>
      </c>
      <c r="B7195" s="1" t="n">
        <v>44873</v>
      </c>
      <c r="C7195" s="1" t="n">
        <v>45657</v>
      </c>
      <c r="D7195" t="inlineStr">
        <is>
          <t>VÄSTERNORRLANDS LÄN</t>
        </is>
      </c>
      <c r="E7195" t="inlineStr">
        <is>
          <t>ÅNGE</t>
        </is>
      </c>
      <c r="F7195" t="inlineStr">
        <is>
          <t>SCA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52194-2022</t>
        </is>
      </c>
      <c r="B7196" s="1" t="n">
        <v>44873</v>
      </c>
      <c r="C7196" s="1" t="n">
        <v>45657</v>
      </c>
      <c r="D7196" t="inlineStr">
        <is>
          <t>VÄSTERNORRLANDS LÄN</t>
        </is>
      </c>
      <c r="E7196" t="inlineStr">
        <is>
          <t>ÖRNSKÖLDSVIK</t>
        </is>
      </c>
      <c r="F7196" t="inlineStr">
        <is>
          <t>Holmen skog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52334-2022</t>
        </is>
      </c>
      <c r="B7197" s="1" t="n">
        <v>44873</v>
      </c>
      <c r="C7197" s="1" t="n">
        <v>45657</v>
      </c>
      <c r="D7197" t="inlineStr">
        <is>
          <t>VÄSTERNORRLANDS LÄN</t>
        </is>
      </c>
      <c r="E7197" t="inlineStr">
        <is>
          <t>SUNDSVALL</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52346-2022</t>
        </is>
      </c>
      <c r="B7198" s="1" t="n">
        <v>44873</v>
      </c>
      <c r="C7198" s="1" t="n">
        <v>45657</v>
      </c>
      <c r="D7198" t="inlineStr">
        <is>
          <t>VÄSTERNORRLANDS LÄN</t>
        </is>
      </c>
      <c r="E7198" t="inlineStr">
        <is>
          <t>ÅNGE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53128-2022</t>
        </is>
      </c>
      <c r="B7199" s="1" t="n">
        <v>44873</v>
      </c>
      <c r="C7199" s="1" t="n">
        <v>45657</v>
      </c>
      <c r="D7199" t="inlineStr">
        <is>
          <t>VÄSTERNORRLANDS LÄN</t>
        </is>
      </c>
      <c r="E7199" t="inlineStr">
        <is>
          <t>SOLLEFTEÅ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53095-2022</t>
        </is>
      </c>
      <c r="B7200" s="1" t="n">
        <v>44873</v>
      </c>
      <c r="C7200" s="1" t="n">
        <v>45657</v>
      </c>
      <c r="D7200" t="inlineStr">
        <is>
          <t>VÄSTERNORRLANDS LÄN</t>
        </is>
      </c>
      <c r="E7200" t="inlineStr">
        <is>
          <t>ÖRNSKÖLDSVIK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53123-2022</t>
        </is>
      </c>
      <c r="B7201" s="1" t="n">
        <v>44873</v>
      </c>
      <c r="C7201" s="1" t="n">
        <v>45657</v>
      </c>
      <c r="D7201" t="inlineStr">
        <is>
          <t>VÄSTERNORRLANDS LÄN</t>
        </is>
      </c>
      <c r="E7201" t="inlineStr">
        <is>
          <t>SOLLEFTEÅ</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52474-2022</t>
        </is>
      </c>
      <c r="B7202" s="1" t="n">
        <v>44874</v>
      </c>
      <c r="C7202" s="1" t="n">
        <v>45657</v>
      </c>
      <c r="D7202" t="inlineStr">
        <is>
          <t>VÄSTERNORRLANDS LÄN</t>
        </is>
      </c>
      <c r="E7202" t="inlineStr">
        <is>
          <t>TIMRÅ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52467-2022</t>
        </is>
      </c>
      <c r="B7203" s="1" t="n">
        <v>44874</v>
      </c>
      <c r="C7203" s="1" t="n">
        <v>45657</v>
      </c>
      <c r="D7203" t="inlineStr">
        <is>
          <t>VÄSTERNORRLANDS LÄN</t>
        </is>
      </c>
      <c r="E7203" t="inlineStr">
        <is>
          <t>ÖRNSKÖLDSVIK</t>
        </is>
      </c>
      <c r="F7203" t="inlineStr">
        <is>
          <t>Holmen skog AB</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52473-2022</t>
        </is>
      </c>
      <c r="B7204" s="1" t="n">
        <v>44874</v>
      </c>
      <c r="C7204" s="1" t="n">
        <v>45657</v>
      </c>
      <c r="D7204" t="inlineStr">
        <is>
          <t>VÄSTERNORRLANDS LÄN</t>
        </is>
      </c>
      <c r="E7204" t="inlineStr">
        <is>
          <t>ÖRNSKÖLDSVIK</t>
        </is>
      </c>
      <c r="F7204" t="inlineStr">
        <is>
          <t>Holmen skog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52448-2022</t>
        </is>
      </c>
      <c r="B7205" s="1" t="n">
        <v>44874</v>
      </c>
      <c r="C7205" s="1" t="n">
        <v>45657</v>
      </c>
      <c r="D7205" t="inlineStr">
        <is>
          <t>VÄSTERNORRLANDS LÄN</t>
        </is>
      </c>
      <c r="E7205" t="inlineStr">
        <is>
          <t>TIMRÅ</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52549-2022</t>
        </is>
      </c>
      <c r="B7206" s="1" t="n">
        <v>44874</v>
      </c>
      <c r="C7206" s="1" t="n">
        <v>45657</v>
      </c>
      <c r="D7206" t="inlineStr">
        <is>
          <t>VÄSTERNORRLANDS LÄN</t>
        </is>
      </c>
      <c r="E7206" t="inlineStr">
        <is>
          <t>SOLLEFTEÅ</t>
        </is>
      </c>
      <c r="F7206" t="inlineStr">
        <is>
          <t>Holmen skog AB</t>
        </is>
      </c>
      <c r="G7206" t="n">
        <v>7.4</v>
      </c>
      <c r="H7206" t="n">
        <v>0</v>
      </c>
      <c r="I7206" t="n">
        <v>0</v>
      </c>
      <c r="J7206" t="n">
        <v>0</v>
      </c>
      <c r="K7206" t="n">
        <v>0</v>
      </c>
      <c r="L7206" t="n">
        <v>0</v>
      </c>
      <c r="M7206" t="n">
        <v>0</v>
      </c>
      <c r="N7206" t="n">
        <v>0</v>
      </c>
      <c r="O7206" t="n">
        <v>0</v>
      </c>
      <c r="P7206" t="n">
        <v>0</v>
      </c>
      <c r="Q7206" t="n">
        <v>0</v>
      </c>
      <c r="R7206" s="2" t="inlineStr"/>
    </row>
    <row r="7207" ht="15" customHeight="1">
      <c r="A7207" t="inlineStr">
        <is>
          <t>A 52572-2022</t>
        </is>
      </c>
      <c r="B7207" s="1" t="n">
        <v>44874</v>
      </c>
      <c r="C7207" s="1" t="n">
        <v>45657</v>
      </c>
      <c r="D7207" t="inlineStr">
        <is>
          <t>VÄSTERNORRLANDS LÄN</t>
        </is>
      </c>
      <c r="E7207" t="inlineStr">
        <is>
          <t>ÖRNSKÖLDSVIK</t>
        </is>
      </c>
      <c r="F7207" t="inlineStr">
        <is>
          <t>Holmen skog AB</t>
        </is>
      </c>
      <c r="G7207" t="n">
        <v>13.5</v>
      </c>
      <c r="H7207" t="n">
        <v>0</v>
      </c>
      <c r="I7207" t="n">
        <v>0</v>
      </c>
      <c r="J7207" t="n">
        <v>0</v>
      </c>
      <c r="K7207" t="n">
        <v>0</v>
      </c>
      <c r="L7207" t="n">
        <v>0</v>
      </c>
      <c r="M7207" t="n">
        <v>0</v>
      </c>
      <c r="N7207" t="n">
        <v>0</v>
      </c>
      <c r="O7207" t="n">
        <v>0</v>
      </c>
      <c r="P7207" t="n">
        <v>0</v>
      </c>
      <c r="Q7207" t="n">
        <v>0</v>
      </c>
      <c r="R7207" s="2" t="inlineStr"/>
    </row>
    <row r="7208" ht="15" customHeight="1">
      <c r="A7208" t="inlineStr">
        <is>
          <t>A 52703-2022</t>
        </is>
      </c>
      <c r="B7208" s="1" t="n">
        <v>44874</v>
      </c>
      <c r="C7208" s="1" t="n">
        <v>45657</v>
      </c>
      <c r="D7208" t="inlineStr">
        <is>
          <t>VÄSTERNORRLANDS LÄN</t>
        </is>
      </c>
      <c r="E7208" t="inlineStr">
        <is>
          <t>KRAMFORS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52731-2022</t>
        </is>
      </c>
      <c r="B7209" s="1" t="n">
        <v>44874</v>
      </c>
      <c r="C7209" s="1" t="n">
        <v>45657</v>
      </c>
      <c r="D7209" t="inlineStr">
        <is>
          <t>VÄSTERNORRLANDS LÄN</t>
        </is>
      </c>
      <c r="E7209" t="inlineStr">
        <is>
          <t>SUNDSVALL</t>
        </is>
      </c>
      <c r="F7209" t="inlineStr">
        <is>
          <t>SCA</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52604-2022</t>
        </is>
      </c>
      <c r="B7210" s="1" t="n">
        <v>44874</v>
      </c>
      <c r="C7210" s="1" t="n">
        <v>45657</v>
      </c>
      <c r="D7210" t="inlineStr">
        <is>
          <t>VÄSTERNORRLANDS LÄN</t>
        </is>
      </c>
      <c r="E7210" t="inlineStr">
        <is>
          <t>ÖRNSKÖLDSVIK</t>
        </is>
      </c>
      <c r="F7210" t="inlineStr">
        <is>
          <t>Holmen skog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52700-2022</t>
        </is>
      </c>
      <c r="B7211" s="1" t="n">
        <v>44874</v>
      </c>
      <c r="C7211" s="1" t="n">
        <v>45657</v>
      </c>
      <c r="D7211" t="inlineStr">
        <is>
          <t>VÄSTERNORRLANDS LÄN</t>
        </is>
      </c>
      <c r="E7211" t="inlineStr">
        <is>
          <t>HÄRNÖSAND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52735-2022</t>
        </is>
      </c>
      <c r="B7212" s="1" t="n">
        <v>44874</v>
      </c>
      <c r="C7212" s="1" t="n">
        <v>45657</v>
      </c>
      <c r="D7212" t="inlineStr">
        <is>
          <t>VÄSTERNORRLANDS LÄN</t>
        </is>
      </c>
      <c r="E7212" t="inlineStr">
        <is>
          <t>SOLLEFTEÅ</t>
        </is>
      </c>
      <c r="F7212" t="inlineStr">
        <is>
          <t>SCA</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52595-2022</t>
        </is>
      </c>
      <c r="B7213" s="1" t="n">
        <v>44874</v>
      </c>
      <c r="C7213" s="1" t="n">
        <v>45657</v>
      </c>
      <c r="D7213" t="inlineStr">
        <is>
          <t>VÄSTERNORRLANDS LÄN</t>
        </is>
      </c>
      <c r="E7213" t="inlineStr">
        <is>
          <t>SOLLEFTEÅ</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52701-2022</t>
        </is>
      </c>
      <c r="B7214" s="1" t="n">
        <v>44874</v>
      </c>
      <c r="C7214" s="1" t="n">
        <v>45657</v>
      </c>
      <c r="D7214" t="inlineStr">
        <is>
          <t>VÄSTERNORRLANDS LÄN</t>
        </is>
      </c>
      <c r="E7214" t="inlineStr">
        <is>
          <t>KRAMFORS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52705-2022</t>
        </is>
      </c>
      <c r="B7215" s="1" t="n">
        <v>44874</v>
      </c>
      <c r="C7215" s="1" t="n">
        <v>45657</v>
      </c>
      <c r="D7215" t="inlineStr">
        <is>
          <t>VÄSTERNORRLANDS LÄN</t>
        </is>
      </c>
      <c r="E7215" t="inlineStr">
        <is>
          <t>TIMRÅ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52717-2022</t>
        </is>
      </c>
      <c r="B7216" s="1" t="n">
        <v>44874</v>
      </c>
      <c r="C7216" s="1" t="n">
        <v>45657</v>
      </c>
      <c r="D7216" t="inlineStr">
        <is>
          <t>VÄSTERNORRLANDS LÄN</t>
        </is>
      </c>
      <c r="E7216" t="inlineStr">
        <is>
          <t>SOLLEFTEÅ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52702-2022</t>
        </is>
      </c>
      <c r="B7217" s="1" t="n">
        <v>44874</v>
      </c>
      <c r="C7217" s="1" t="n">
        <v>45657</v>
      </c>
      <c r="D7217" t="inlineStr">
        <is>
          <t>VÄSTERNORRLANDS LÄN</t>
        </is>
      </c>
      <c r="E7217" t="inlineStr">
        <is>
          <t>KRAMFORS</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52706-2022</t>
        </is>
      </c>
      <c r="B7218" s="1" t="n">
        <v>44874</v>
      </c>
      <c r="C7218" s="1" t="n">
        <v>45657</v>
      </c>
      <c r="D7218" t="inlineStr">
        <is>
          <t>VÄSTERNORRLANDS LÄN</t>
        </is>
      </c>
      <c r="E7218" t="inlineStr">
        <is>
          <t>SUNDSVALL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52718-2022</t>
        </is>
      </c>
      <c r="B7219" s="1" t="n">
        <v>44874</v>
      </c>
      <c r="C7219" s="1" t="n">
        <v>45657</v>
      </c>
      <c r="D7219" t="inlineStr">
        <is>
          <t>VÄSTERNORRLANDS LÄN</t>
        </is>
      </c>
      <c r="E7219" t="inlineStr">
        <is>
          <t>SOLLEFTEÅ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52740-2022</t>
        </is>
      </c>
      <c r="B7220" s="1" t="n">
        <v>44874</v>
      </c>
      <c r="C7220" s="1" t="n">
        <v>45657</v>
      </c>
      <c r="D7220" t="inlineStr">
        <is>
          <t>VÄSTERNORRLANDS LÄN</t>
        </is>
      </c>
      <c r="E7220" t="inlineStr">
        <is>
          <t>SUNDSVALL</t>
        </is>
      </c>
      <c r="F7220" t="inlineStr">
        <is>
          <t>SCA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52748-2022</t>
        </is>
      </c>
      <c r="B7221" s="1" t="n">
        <v>44874</v>
      </c>
      <c r="C7221" s="1" t="n">
        <v>45657</v>
      </c>
      <c r="D7221" t="inlineStr">
        <is>
          <t>VÄSTERNORRLANDS LÄN</t>
        </is>
      </c>
      <c r="E7221" t="inlineStr">
        <is>
          <t>ÖRNSKÖLDSVIK</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52780-2022</t>
        </is>
      </c>
      <c r="B7222" s="1" t="n">
        <v>44875</v>
      </c>
      <c r="C7222" s="1" t="n">
        <v>45657</v>
      </c>
      <c r="D7222" t="inlineStr">
        <is>
          <t>VÄSTERNORRLANDS LÄN</t>
        </is>
      </c>
      <c r="E7222" t="inlineStr">
        <is>
          <t>ÖRNSKÖLDSVIK</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53010-2022</t>
        </is>
      </c>
      <c r="B7223" s="1" t="n">
        <v>44875</v>
      </c>
      <c r="C7223" s="1" t="n">
        <v>45657</v>
      </c>
      <c r="D7223" t="inlineStr">
        <is>
          <t>VÄSTERNORRLANDS LÄN</t>
        </is>
      </c>
      <c r="E7223" t="inlineStr">
        <is>
          <t>ÅNGE</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53002-2022</t>
        </is>
      </c>
      <c r="B7224" s="1" t="n">
        <v>44875</v>
      </c>
      <c r="C7224" s="1" t="n">
        <v>45657</v>
      </c>
      <c r="D7224" t="inlineStr">
        <is>
          <t>VÄSTERNORRLANDS LÄN</t>
        </is>
      </c>
      <c r="E7224" t="inlineStr">
        <is>
          <t>SUNDSVALL</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53012-2022</t>
        </is>
      </c>
      <c r="B7225" s="1" t="n">
        <v>44875</v>
      </c>
      <c r="C7225" s="1" t="n">
        <v>45657</v>
      </c>
      <c r="D7225" t="inlineStr">
        <is>
          <t>VÄSTERNORRLANDS LÄN</t>
        </is>
      </c>
      <c r="E7225" t="inlineStr">
        <is>
          <t>SOLLEFTEÅ</t>
        </is>
      </c>
      <c r="F7225" t="inlineStr">
        <is>
          <t>SCA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52760-2022</t>
        </is>
      </c>
      <c r="B7226" s="1" t="n">
        <v>44875</v>
      </c>
      <c r="C7226" s="1" t="n">
        <v>45657</v>
      </c>
      <c r="D7226" t="inlineStr">
        <is>
          <t>VÄSTERNORRLANDS LÄN</t>
        </is>
      </c>
      <c r="E7226" t="inlineStr">
        <is>
          <t>ÖRNSKÖLDSVIK</t>
        </is>
      </c>
      <c r="F7226" t="inlineStr">
        <is>
          <t>Holmen skog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52900-2022</t>
        </is>
      </c>
      <c r="B7227" s="1" t="n">
        <v>44875</v>
      </c>
      <c r="C7227" s="1" t="n">
        <v>45657</v>
      </c>
      <c r="D7227" t="inlineStr">
        <is>
          <t>VÄSTERNORRLANDS LÄN</t>
        </is>
      </c>
      <c r="E7227" t="inlineStr">
        <is>
          <t>ÖRNSKÖLDSVIK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52985-2022</t>
        </is>
      </c>
      <c r="B7228" s="1" t="n">
        <v>44875</v>
      </c>
      <c r="C7228" s="1" t="n">
        <v>45657</v>
      </c>
      <c r="D7228" t="inlineStr">
        <is>
          <t>VÄSTERNORRLANDS LÄN</t>
        </is>
      </c>
      <c r="E7228" t="inlineStr">
        <is>
          <t>HÄRNÖSAND</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53003-2022</t>
        </is>
      </c>
      <c r="B7229" s="1" t="n">
        <v>44875</v>
      </c>
      <c r="C7229" s="1" t="n">
        <v>45657</v>
      </c>
      <c r="D7229" t="inlineStr">
        <is>
          <t>VÄSTERNORRLANDS LÄN</t>
        </is>
      </c>
      <c r="E7229" t="inlineStr">
        <is>
          <t>SUNDSVALL</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53008-2022</t>
        </is>
      </c>
      <c r="B7230" s="1" t="n">
        <v>44875</v>
      </c>
      <c r="C7230" s="1" t="n">
        <v>45657</v>
      </c>
      <c r="D7230" t="inlineStr">
        <is>
          <t>VÄSTERNORRLANDS LÄN</t>
        </is>
      </c>
      <c r="E7230" t="inlineStr">
        <is>
          <t>HÄRNÖSAND</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52777-2022</t>
        </is>
      </c>
      <c r="B7231" s="1" t="n">
        <v>44875</v>
      </c>
      <c r="C7231" s="1" t="n">
        <v>45657</v>
      </c>
      <c r="D7231" t="inlineStr">
        <is>
          <t>VÄSTERNORRLANDS LÄN</t>
        </is>
      </c>
      <c r="E7231" t="inlineStr">
        <is>
          <t>SOLLEFTEÅ</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52865-2022</t>
        </is>
      </c>
      <c r="B7232" s="1" t="n">
        <v>44875</v>
      </c>
      <c r="C7232" s="1" t="n">
        <v>45657</v>
      </c>
      <c r="D7232" t="inlineStr">
        <is>
          <t>VÄSTERNORRLANDS LÄN</t>
        </is>
      </c>
      <c r="E7232" t="inlineStr">
        <is>
          <t>ÖRNSKÖLDSVIK</t>
        </is>
      </c>
      <c r="F7232" t="inlineStr">
        <is>
          <t>Holmen skog AB</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52987-2022</t>
        </is>
      </c>
      <c r="B7233" s="1" t="n">
        <v>44875</v>
      </c>
      <c r="C7233" s="1" t="n">
        <v>45657</v>
      </c>
      <c r="D7233" t="inlineStr">
        <is>
          <t>VÄSTERNORRLANDS LÄN</t>
        </is>
      </c>
      <c r="E7233" t="inlineStr">
        <is>
          <t>HÄRNÖSAND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53000-2022</t>
        </is>
      </c>
      <c r="B7234" s="1" t="n">
        <v>44875</v>
      </c>
      <c r="C7234" s="1" t="n">
        <v>45657</v>
      </c>
      <c r="D7234" t="inlineStr">
        <is>
          <t>VÄSTERNORRLANDS LÄN</t>
        </is>
      </c>
      <c r="E7234" t="inlineStr">
        <is>
          <t>SOLLEFTEÅ</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53011-2022</t>
        </is>
      </c>
      <c r="B7235" s="1" t="n">
        <v>44875</v>
      </c>
      <c r="C7235" s="1" t="n">
        <v>45657</v>
      </c>
      <c r="D7235" t="inlineStr">
        <is>
          <t>VÄSTERNORRLANDS LÄN</t>
        </is>
      </c>
      <c r="E7235" t="inlineStr">
        <is>
          <t>SOLLEFTEÅ</t>
        </is>
      </c>
      <c r="F7235" t="inlineStr">
        <is>
          <t>SCA</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53023-2022</t>
        </is>
      </c>
      <c r="B7236" s="1" t="n">
        <v>44875</v>
      </c>
      <c r="C7236" s="1" t="n">
        <v>45657</v>
      </c>
      <c r="D7236" t="inlineStr">
        <is>
          <t>VÄSTERNORRLANDS LÄN</t>
        </is>
      </c>
      <c r="E7236" t="inlineStr">
        <is>
          <t>SUNDSVALL</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53050-2022</t>
        </is>
      </c>
      <c r="B7237" s="1" t="n">
        <v>44876</v>
      </c>
      <c r="C7237" s="1" t="n">
        <v>45657</v>
      </c>
      <c r="D7237" t="inlineStr">
        <is>
          <t>VÄSTERNORRLANDS LÄN</t>
        </is>
      </c>
      <c r="E7237" t="inlineStr">
        <is>
          <t>ÖRNSKÖLDSVIK</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53147-2022</t>
        </is>
      </c>
      <c r="B7238" s="1" t="n">
        <v>44876</v>
      </c>
      <c r="C7238" s="1" t="n">
        <v>45657</v>
      </c>
      <c r="D7238" t="inlineStr">
        <is>
          <t>VÄSTERNORRLANDS LÄN</t>
        </is>
      </c>
      <c r="E7238" t="inlineStr">
        <is>
          <t>ÖRNSKÖLDSVIK</t>
        </is>
      </c>
      <c r="F7238" t="inlineStr">
        <is>
          <t>Holmen skog AB</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53270-2022</t>
        </is>
      </c>
      <c r="B7239" s="1" t="n">
        <v>44876</v>
      </c>
      <c r="C7239" s="1" t="n">
        <v>45657</v>
      </c>
      <c r="D7239" t="inlineStr">
        <is>
          <t>VÄSTERNORRLANDS LÄN</t>
        </is>
      </c>
      <c r="E7239" t="inlineStr">
        <is>
          <t>KRAMFORS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53286-2022</t>
        </is>
      </c>
      <c r="B7240" s="1" t="n">
        <v>44876</v>
      </c>
      <c r="C7240" s="1" t="n">
        <v>45657</v>
      </c>
      <c r="D7240" t="inlineStr">
        <is>
          <t>VÄSTERNORRLANDS LÄN</t>
        </is>
      </c>
      <c r="E7240" t="inlineStr">
        <is>
          <t>SUNDSVALL</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53272-2022</t>
        </is>
      </c>
      <c r="B7241" s="1" t="n">
        <v>44876</v>
      </c>
      <c r="C7241" s="1" t="n">
        <v>45657</v>
      </c>
      <c r="D7241" t="inlineStr">
        <is>
          <t>VÄSTERNORRLANDS LÄN</t>
        </is>
      </c>
      <c r="E7241" t="inlineStr">
        <is>
          <t>SUNDSVALL</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53223-2022</t>
        </is>
      </c>
      <c r="B7242" s="1" t="n">
        <v>44876</v>
      </c>
      <c r="C7242" s="1" t="n">
        <v>45657</v>
      </c>
      <c r="D7242" t="inlineStr">
        <is>
          <t>VÄSTERNORRLANDS LÄN</t>
        </is>
      </c>
      <c r="E7242" t="inlineStr">
        <is>
          <t>ÖRNSKÖLDSVIK</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53289-2022</t>
        </is>
      </c>
      <c r="B7243" s="1" t="n">
        <v>44876</v>
      </c>
      <c r="C7243" s="1" t="n">
        <v>45657</v>
      </c>
      <c r="D7243" t="inlineStr">
        <is>
          <t>VÄSTERNORRLANDS LÄN</t>
        </is>
      </c>
      <c r="E7243" t="inlineStr">
        <is>
          <t>SUNDSVALL</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53810-2022</t>
        </is>
      </c>
      <c r="B7244" s="1" t="n">
        <v>44876</v>
      </c>
      <c r="C7244" s="1" t="n">
        <v>45657</v>
      </c>
      <c r="D7244" t="inlineStr">
        <is>
          <t>VÄSTERNORRLANDS LÄN</t>
        </is>
      </c>
      <c r="E7244" t="inlineStr">
        <is>
          <t>KRAMFORS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53304-2022</t>
        </is>
      </c>
      <c r="B7245" s="1" t="n">
        <v>44878</v>
      </c>
      <c r="C7245" s="1" t="n">
        <v>45657</v>
      </c>
      <c r="D7245" t="inlineStr">
        <is>
          <t>VÄSTERNORRLANDS LÄN</t>
        </is>
      </c>
      <c r="E7245" t="inlineStr">
        <is>
          <t>ÅNGE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53385-2022</t>
        </is>
      </c>
      <c r="B7246" s="1" t="n">
        <v>44879</v>
      </c>
      <c r="C7246" s="1" t="n">
        <v>45657</v>
      </c>
      <c r="D7246" t="inlineStr">
        <is>
          <t>VÄSTERNORRLANDS LÄN</t>
        </is>
      </c>
      <c r="E7246" t="inlineStr">
        <is>
          <t>KRAMFORS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53439-2022</t>
        </is>
      </c>
      <c r="B7247" s="1" t="n">
        <v>44879</v>
      </c>
      <c r="C7247" s="1" t="n">
        <v>45657</v>
      </c>
      <c r="D7247" t="inlineStr">
        <is>
          <t>VÄSTERNORRLANDS LÄN</t>
        </is>
      </c>
      <c r="E7247" t="inlineStr">
        <is>
          <t>ÅNGE</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53648-2022</t>
        </is>
      </c>
      <c r="B7248" s="1" t="n">
        <v>44879</v>
      </c>
      <c r="C7248" s="1" t="n">
        <v>45657</v>
      </c>
      <c r="D7248" t="inlineStr">
        <is>
          <t>VÄSTERNORRLANDS LÄN</t>
        </is>
      </c>
      <c r="E7248" t="inlineStr">
        <is>
          <t>SUNDSVALL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53659-2022</t>
        </is>
      </c>
      <c r="B7249" s="1" t="n">
        <v>44879</v>
      </c>
      <c r="C7249" s="1" t="n">
        <v>45657</v>
      </c>
      <c r="D7249" t="inlineStr">
        <is>
          <t>VÄSTERNORRLANDS LÄN</t>
        </is>
      </c>
      <c r="E7249" t="inlineStr">
        <is>
          <t>TIMRÅ</t>
        </is>
      </c>
      <c r="F7249" t="inlineStr">
        <is>
          <t>SCA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53669-2022</t>
        </is>
      </c>
      <c r="B7250" s="1" t="n">
        <v>44879</v>
      </c>
      <c r="C7250" s="1" t="n">
        <v>45657</v>
      </c>
      <c r="D7250" t="inlineStr">
        <is>
          <t>VÄSTERNORRLANDS LÄN</t>
        </is>
      </c>
      <c r="E7250" t="inlineStr">
        <is>
          <t>SOLLEFTEÅ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53663-2022</t>
        </is>
      </c>
      <c r="B7251" s="1" t="n">
        <v>44879</v>
      </c>
      <c r="C7251" s="1" t="n">
        <v>45657</v>
      </c>
      <c r="D7251" t="inlineStr">
        <is>
          <t>VÄSTERNORRLANDS LÄN</t>
        </is>
      </c>
      <c r="E7251" t="inlineStr">
        <is>
          <t>ÅNGE</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54325-2022</t>
        </is>
      </c>
      <c r="B7252" s="1" t="n">
        <v>44879</v>
      </c>
      <c r="C7252" s="1" t="n">
        <v>45657</v>
      </c>
      <c r="D7252" t="inlineStr">
        <is>
          <t>VÄSTERNORRLANDS LÄN</t>
        </is>
      </c>
      <c r="E7252" t="inlineStr">
        <is>
          <t>ÖRNSKÖLDSVIK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53645-2022</t>
        </is>
      </c>
      <c r="B7253" s="1" t="n">
        <v>44879</v>
      </c>
      <c r="C7253" s="1" t="n">
        <v>45657</v>
      </c>
      <c r="D7253" t="inlineStr">
        <is>
          <t>VÄSTERNORRLANDS LÄN</t>
        </is>
      </c>
      <c r="E7253" t="inlineStr">
        <is>
          <t>SUNDSVALL</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53649-2022</t>
        </is>
      </c>
      <c r="B7254" s="1" t="n">
        <v>44879</v>
      </c>
      <c r="C7254" s="1" t="n">
        <v>45657</v>
      </c>
      <c r="D7254" t="inlineStr">
        <is>
          <t>VÄSTERNORRLANDS LÄN</t>
        </is>
      </c>
      <c r="E7254" t="inlineStr">
        <is>
          <t>SUNDSVALL</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53647-2022</t>
        </is>
      </c>
      <c r="B7255" s="1" t="n">
        <v>44879</v>
      </c>
      <c r="C7255" s="1" t="n">
        <v>45657</v>
      </c>
      <c r="D7255" t="inlineStr">
        <is>
          <t>VÄSTERNORRLANDS LÄN</t>
        </is>
      </c>
      <c r="E7255" t="inlineStr">
        <is>
          <t>SUNDSVALL</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53664-2022</t>
        </is>
      </c>
      <c r="B7256" s="1" t="n">
        <v>44879</v>
      </c>
      <c r="C7256" s="1" t="n">
        <v>45657</v>
      </c>
      <c r="D7256" t="inlineStr">
        <is>
          <t>VÄSTERNORRLANDS LÄN</t>
        </is>
      </c>
      <c r="E7256" t="inlineStr">
        <is>
          <t>ÅNGE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54333-2022</t>
        </is>
      </c>
      <c r="B7257" s="1" t="n">
        <v>44879</v>
      </c>
      <c r="C7257" s="1" t="n">
        <v>45657</v>
      </c>
      <c r="D7257" t="inlineStr">
        <is>
          <t>VÄSTERNORRLANDS LÄN</t>
        </is>
      </c>
      <c r="E7257" t="inlineStr">
        <is>
          <t>ÖRNSKÖLDSVIK</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53791-2022</t>
        </is>
      </c>
      <c r="B7258" s="1" t="n">
        <v>44880</v>
      </c>
      <c r="C7258" s="1" t="n">
        <v>45657</v>
      </c>
      <c r="D7258" t="inlineStr">
        <is>
          <t>VÄSTERNORRLANDS LÄN</t>
        </is>
      </c>
      <c r="E7258" t="inlineStr">
        <is>
          <t>ÖRNSKÖLDSVIK</t>
        </is>
      </c>
      <c r="F7258" t="inlineStr">
        <is>
          <t>Holmen skog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53827-2022</t>
        </is>
      </c>
      <c r="B7259" s="1" t="n">
        <v>44880</v>
      </c>
      <c r="C7259" s="1" t="n">
        <v>45657</v>
      </c>
      <c r="D7259" t="inlineStr">
        <is>
          <t>VÄSTERNORRLANDS LÄN</t>
        </is>
      </c>
      <c r="E7259" t="inlineStr">
        <is>
          <t>ÖRNSKÖLDSVIK</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53854-2022</t>
        </is>
      </c>
      <c r="B7260" s="1" t="n">
        <v>44880</v>
      </c>
      <c r="C7260" s="1" t="n">
        <v>45657</v>
      </c>
      <c r="D7260" t="inlineStr">
        <is>
          <t>VÄSTERNORRLANDS LÄN</t>
        </is>
      </c>
      <c r="E7260" t="inlineStr">
        <is>
          <t>ÅNGE</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53933-2022</t>
        </is>
      </c>
      <c r="B7261" s="1" t="n">
        <v>44880</v>
      </c>
      <c r="C7261" s="1" t="n">
        <v>45657</v>
      </c>
      <c r="D7261" t="inlineStr">
        <is>
          <t>VÄSTERNORRLANDS LÄN</t>
        </is>
      </c>
      <c r="E7261" t="inlineStr">
        <is>
          <t>SOLLEFTEÅ</t>
        </is>
      </c>
      <c r="F7261" t="inlineStr">
        <is>
          <t>SCA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53824-2022</t>
        </is>
      </c>
      <c r="B7262" s="1" t="n">
        <v>44880</v>
      </c>
      <c r="C7262" s="1" t="n">
        <v>45657</v>
      </c>
      <c r="D7262" t="inlineStr">
        <is>
          <t>VÄSTERNORRLANDS LÄN</t>
        </is>
      </c>
      <c r="E7262" t="inlineStr">
        <is>
          <t>KRAMFORS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53921-2022</t>
        </is>
      </c>
      <c r="B7263" s="1" t="n">
        <v>44880</v>
      </c>
      <c r="C7263" s="1" t="n">
        <v>45657</v>
      </c>
      <c r="D7263" t="inlineStr">
        <is>
          <t>VÄSTERNORRLANDS LÄN</t>
        </is>
      </c>
      <c r="E7263" t="inlineStr">
        <is>
          <t>SUNDSVALL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53929-2022</t>
        </is>
      </c>
      <c r="B7264" s="1" t="n">
        <v>44880</v>
      </c>
      <c r="C7264" s="1" t="n">
        <v>45657</v>
      </c>
      <c r="D7264" t="inlineStr">
        <is>
          <t>VÄSTERNORRLANDS LÄN</t>
        </is>
      </c>
      <c r="E7264" t="inlineStr">
        <is>
          <t>SOLLEFTEÅ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53949-2022</t>
        </is>
      </c>
      <c r="B7265" s="1" t="n">
        <v>44880</v>
      </c>
      <c r="C7265" s="1" t="n">
        <v>45657</v>
      </c>
      <c r="D7265" t="inlineStr">
        <is>
          <t>VÄSTERNORRLANDS LÄN</t>
        </is>
      </c>
      <c r="E7265" t="inlineStr">
        <is>
          <t>SUNDSVALL</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53939-2022</t>
        </is>
      </c>
      <c r="B7266" s="1" t="n">
        <v>44880</v>
      </c>
      <c r="C7266" s="1" t="n">
        <v>45657</v>
      </c>
      <c r="D7266" t="inlineStr">
        <is>
          <t>VÄSTERNORRLANDS LÄN</t>
        </is>
      </c>
      <c r="E7266" t="inlineStr">
        <is>
          <t>SUNDSVALL</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53944-2022</t>
        </is>
      </c>
      <c r="B7267" s="1" t="n">
        <v>44880</v>
      </c>
      <c r="C7267" s="1" t="n">
        <v>45657</v>
      </c>
      <c r="D7267" t="inlineStr">
        <is>
          <t>VÄSTERNORRLANDS LÄN</t>
        </is>
      </c>
      <c r="E7267" t="inlineStr">
        <is>
          <t>SOLLEFTEÅ</t>
        </is>
      </c>
      <c r="F7267" t="inlineStr">
        <is>
          <t>SCA</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53957-2022</t>
        </is>
      </c>
      <c r="B7268" s="1" t="n">
        <v>44880</v>
      </c>
      <c r="C7268" s="1" t="n">
        <v>45657</v>
      </c>
      <c r="D7268" t="inlineStr">
        <is>
          <t>VÄSTERNORRLANDS LÄN</t>
        </is>
      </c>
      <c r="E7268" t="inlineStr">
        <is>
          <t>TIMRÅ</t>
        </is>
      </c>
      <c r="F7268" t="inlineStr">
        <is>
          <t>SCA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53857-2022</t>
        </is>
      </c>
      <c r="B7269" s="1" t="n">
        <v>44880</v>
      </c>
      <c r="C7269" s="1" t="n">
        <v>45657</v>
      </c>
      <c r="D7269" t="inlineStr">
        <is>
          <t>VÄSTERNORRLANDS LÄN</t>
        </is>
      </c>
      <c r="E7269" t="inlineStr">
        <is>
          <t>KRAMFORS</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53920-2022</t>
        </is>
      </c>
      <c r="B7270" s="1" t="n">
        <v>44880</v>
      </c>
      <c r="C7270" s="1" t="n">
        <v>45657</v>
      </c>
      <c r="D7270" t="inlineStr">
        <is>
          <t>VÄSTERNORRLANDS LÄN</t>
        </is>
      </c>
      <c r="E7270" t="inlineStr">
        <is>
          <t>KRAMFORS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53934-2022</t>
        </is>
      </c>
      <c r="B7271" s="1" t="n">
        <v>44880</v>
      </c>
      <c r="C7271" s="1" t="n">
        <v>45657</v>
      </c>
      <c r="D7271" t="inlineStr">
        <is>
          <t>VÄSTERNORRLANDS LÄN</t>
        </is>
      </c>
      <c r="E7271" t="inlineStr">
        <is>
          <t>SUNDSVALL</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53947-2022</t>
        </is>
      </c>
      <c r="B7272" s="1" t="n">
        <v>44880</v>
      </c>
      <c r="C7272" s="1" t="n">
        <v>45657</v>
      </c>
      <c r="D7272" t="inlineStr">
        <is>
          <t>VÄSTERNORRLANDS LÄN</t>
        </is>
      </c>
      <c r="E7272" t="inlineStr">
        <is>
          <t>SOLLEFTEÅ</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53932-2022</t>
        </is>
      </c>
      <c r="B7273" s="1" t="n">
        <v>44880</v>
      </c>
      <c r="C7273" s="1" t="n">
        <v>45657</v>
      </c>
      <c r="D7273" t="inlineStr">
        <is>
          <t>VÄSTERNORRLANDS LÄN</t>
        </is>
      </c>
      <c r="E7273" t="inlineStr">
        <is>
          <t>SUNDSVALL</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53943-2022</t>
        </is>
      </c>
      <c r="B7274" s="1" t="n">
        <v>44880</v>
      </c>
      <c r="C7274" s="1" t="n">
        <v>45657</v>
      </c>
      <c r="D7274" t="inlineStr">
        <is>
          <t>VÄSTERNORRLANDS LÄN</t>
        </is>
      </c>
      <c r="E7274" t="inlineStr">
        <is>
          <t>SUNDSVALL</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53950-2022</t>
        </is>
      </c>
      <c r="B7275" s="1" t="n">
        <v>44880</v>
      </c>
      <c r="C7275" s="1" t="n">
        <v>45657</v>
      </c>
      <c r="D7275" t="inlineStr">
        <is>
          <t>VÄSTERNORRLANDS LÄN</t>
        </is>
      </c>
      <c r="E7275" t="inlineStr">
        <is>
          <t>ÅNGE</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53985-2022</t>
        </is>
      </c>
      <c r="B7276" s="1" t="n">
        <v>44881</v>
      </c>
      <c r="C7276" s="1" t="n">
        <v>45657</v>
      </c>
      <c r="D7276" t="inlineStr">
        <is>
          <t>VÄSTERNORRLANDS LÄN</t>
        </is>
      </c>
      <c r="E7276" t="inlineStr">
        <is>
          <t>SOLLEFTEÅ</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53989-2022</t>
        </is>
      </c>
      <c r="B7277" s="1" t="n">
        <v>44881</v>
      </c>
      <c r="C7277" s="1" t="n">
        <v>45657</v>
      </c>
      <c r="D7277" t="inlineStr">
        <is>
          <t>VÄSTERNORRLANDS LÄN</t>
        </is>
      </c>
      <c r="E7277" t="inlineStr">
        <is>
          <t>ÖRNSKÖLDSVIK</t>
        </is>
      </c>
      <c r="F7277" t="inlineStr">
        <is>
          <t>Holmen skog AB</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54030-2022</t>
        </is>
      </c>
      <c r="B7278" s="1" t="n">
        <v>44881</v>
      </c>
      <c r="C7278" s="1" t="n">
        <v>45657</v>
      </c>
      <c r="D7278" t="inlineStr">
        <is>
          <t>VÄSTERNORRLANDS LÄN</t>
        </is>
      </c>
      <c r="E7278" t="inlineStr">
        <is>
          <t>SUNDSVALL</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54027-2022</t>
        </is>
      </c>
      <c r="B7279" s="1" t="n">
        <v>44881</v>
      </c>
      <c r="C7279" s="1" t="n">
        <v>45657</v>
      </c>
      <c r="D7279" t="inlineStr">
        <is>
          <t>VÄSTERNORRLANDS LÄN</t>
        </is>
      </c>
      <c r="E7279" t="inlineStr">
        <is>
          <t>ÅNGE</t>
        </is>
      </c>
      <c r="F7279" t="inlineStr">
        <is>
          <t>Holmen skog AB</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54223-2022</t>
        </is>
      </c>
      <c r="B7280" s="1" t="n">
        <v>44881</v>
      </c>
      <c r="C7280" s="1" t="n">
        <v>45657</v>
      </c>
      <c r="D7280" t="inlineStr">
        <is>
          <t>VÄSTERNORRLANDS LÄN</t>
        </is>
      </c>
      <c r="E7280" t="inlineStr">
        <is>
          <t>ÖRNSKÖLDSVIK</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54251-2022</t>
        </is>
      </c>
      <c r="B7281" s="1" t="n">
        <v>44881</v>
      </c>
      <c r="C7281" s="1" t="n">
        <v>45657</v>
      </c>
      <c r="D7281" t="inlineStr">
        <is>
          <t>VÄSTERNORRLANDS LÄN</t>
        </is>
      </c>
      <c r="E7281" t="inlineStr">
        <is>
          <t>HÄRNÖSAND</t>
        </is>
      </c>
      <c r="F7281" t="inlineStr">
        <is>
          <t>SCA</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54256-2022</t>
        </is>
      </c>
      <c r="B7282" s="1" t="n">
        <v>44881</v>
      </c>
      <c r="C7282" s="1" t="n">
        <v>45657</v>
      </c>
      <c r="D7282" t="inlineStr">
        <is>
          <t>VÄSTERNORRLANDS LÄN</t>
        </is>
      </c>
      <c r="E7282" t="inlineStr">
        <is>
          <t>SOLLEFTEÅ</t>
        </is>
      </c>
      <c r="F7282" t="inlineStr">
        <is>
          <t>SCA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54180-2022</t>
        </is>
      </c>
      <c r="B7283" s="1" t="n">
        <v>44881</v>
      </c>
      <c r="C7283" s="1" t="n">
        <v>45657</v>
      </c>
      <c r="D7283" t="inlineStr">
        <is>
          <t>VÄSTERNORRLANDS LÄN</t>
        </is>
      </c>
      <c r="E7283" t="inlineStr">
        <is>
          <t>SUNDSVALL</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54242-2022</t>
        </is>
      </c>
      <c r="B7284" s="1" t="n">
        <v>44881</v>
      </c>
      <c r="C7284" s="1" t="n">
        <v>45657</v>
      </c>
      <c r="D7284" t="inlineStr">
        <is>
          <t>VÄSTERNORRLANDS LÄN</t>
        </is>
      </c>
      <c r="E7284" t="inlineStr">
        <is>
          <t>SOLLEFTEÅ</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54249-2022</t>
        </is>
      </c>
      <c r="B7285" s="1" t="n">
        <v>44881</v>
      </c>
      <c r="C7285" s="1" t="n">
        <v>45657</v>
      </c>
      <c r="D7285" t="inlineStr">
        <is>
          <t>VÄSTERNORRLANDS LÄN</t>
        </is>
      </c>
      <c r="E7285" t="inlineStr">
        <is>
          <t>SOLLEFTEÅ</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54250-2022</t>
        </is>
      </c>
      <c r="B7286" s="1" t="n">
        <v>44881</v>
      </c>
      <c r="C7286" s="1" t="n">
        <v>45657</v>
      </c>
      <c r="D7286" t="inlineStr">
        <is>
          <t>VÄSTERNORRLANDS LÄN</t>
        </is>
      </c>
      <c r="E7286" t="inlineStr">
        <is>
          <t>ÅNGE</t>
        </is>
      </c>
      <c r="F7286" t="inlineStr">
        <is>
          <t>SCA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54255-2022</t>
        </is>
      </c>
      <c r="B7287" s="1" t="n">
        <v>44881</v>
      </c>
      <c r="C7287" s="1" t="n">
        <v>45657</v>
      </c>
      <c r="D7287" t="inlineStr">
        <is>
          <t>VÄSTERNORRLANDS LÄN</t>
        </is>
      </c>
      <c r="E7287" t="inlineStr">
        <is>
          <t>SOLLEFTEÅ</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54252-2022</t>
        </is>
      </c>
      <c r="B7288" s="1" t="n">
        <v>44881</v>
      </c>
      <c r="C7288" s="1" t="n">
        <v>45657</v>
      </c>
      <c r="D7288" t="inlineStr">
        <is>
          <t>VÄSTERNORRLANDS LÄN</t>
        </is>
      </c>
      <c r="E7288" t="inlineStr">
        <is>
          <t>HÄRNÖSAND</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54714-2022</t>
        </is>
      </c>
      <c r="B7289" s="1" t="n">
        <v>44881</v>
      </c>
      <c r="C7289" s="1" t="n">
        <v>45657</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54998-2022</t>
        </is>
      </c>
      <c r="B7290" s="1" t="n">
        <v>44881</v>
      </c>
      <c r="C7290" s="1" t="n">
        <v>45657</v>
      </c>
      <c r="D7290" t="inlineStr">
        <is>
          <t>VÄSTERNORRLANDS LÄN</t>
        </is>
      </c>
      <c r="E7290" t="inlineStr">
        <is>
          <t>SUNDSVALL</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55007-2022</t>
        </is>
      </c>
      <c r="B7291" s="1" t="n">
        <v>44881</v>
      </c>
      <c r="C7291" s="1" t="n">
        <v>45657</v>
      </c>
      <c r="D7291" t="inlineStr">
        <is>
          <t>VÄSTERNORRLANDS LÄN</t>
        </is>
      </c>
      <c r="E7291" t="inlineStr">
        <is>
          <t>ÅNGE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54993-2022</t>
        </is>
      </c>
      <c r="B7292" s="1" t="n">
        <v>44881</v>
      </c>
      <c r="C7292" s="1" t="n">
        <v>45657</v>
      </c>
      <c r="D7292" t="inlineStr">
        <is>
          <t>VÄSTERNORRLANDS LÄN</t>
        </is>
      </c>
      <c r="E7292" t="inlineStr">
        <is>
          <t>SUNDSVALL</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55019-2022</t>
        </is>
      </c>
      <c r="B7293" s="1" t="n">
        <v>44881</v>
      </c>
      <c r="C7293" s="1" t="n">
        <v>45657</v>
      </c>
      <c r="D7293" t="inlineStr">
        <is>
          <t>VÄSTERNORRLANDS LÄN</t>
        </is>
      </c>
      <c r="E7293" t="inlineStr">
        <is>
          <t>SUNDSVALL</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54296-2022</t>
        </is>
      </c>
      <c r="B7294" s="1" t="n">
        <v>44882</v>
      </c>
      <c r="C7294" s="1" t="n">
        <v>45657</v>
      </c>
      <c r="D7294" t="inlineStr">
        <is>
          <t>VÄSTERNORRLANDS LÄN</t>
        </is>
      </c>
      <c r="E7294" t="inlineStr">
        <is>
          <t>ÖRNSKÖLDSVIK</t>
        </is>
      </c>
      <c r="F7294" t="inlineStr">
        <is>
          <t>Holmen skog AB</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54453-2022</t>
        </is>
      </c>
      <c r="B7295" s="1" t="n">
        <v>44882</v>
      </c>
      <c r="C7295" s="1" t="n">
        <v>45657</v>
      </c>
      <c r="D7295" t="inlineStr">
        <is>
          <t>VÄSTERNORRLANDS LÄN</t>
        </is>
      </c>
      <c r="E7295" t="inlineStr">
        <is>
          <t>ÅNGE</t>
        </is>
      </c>
      <c r="G7295" t="n">
        <v>22.3</v>
      </c>
      <c r="H7295" t="n">
        <v>0</v>
      </c>
      <c r="I7295" t="n">
        <v>0</v>
      </c>
      <c r="J7295" t="n">
        <v>0</v>
      </c>
      <c r="K7295" t="n">
        <v>0</v>
      </c>
      <c r="L7295" t="n">
        <v>0</v>
      </c>
      <c r="M7295" t="n">
        <v>0</v>
      </c>
      <c r="N7295" t="n">
        <v>0</v>
      </c>
      <c r="O7295" t="n">
        <v>0</v>
      </c>
      <c r="P7295" t="n">
        <v>0</v>
      </c>
      <c r="Q7295" t="n">
        <v>0</v>
      </c>
      <c r="R7295" s="2" t="inlineStr"/>
    </row>
    <row r="7296" ht="15" customHeight="1">
      <c r="A7296" t="inlineStr">
        <is>
          <t>A 54280-2022</t>
        </is>
      </c>
      <c r="B7296" s="1" t="n">
        <v>44882</v>
      </c>
      <c r="C7296" s="1" t="n">
        <v>45657</v>
      </c>
      <c r="D7296" t="inlineStr">
        <is>
          <t>VÄSTERNORRLANDS LÄN</t>
        </is>
      </c>
      <c r="E7296" t="inlineStr">
        <is>
          <t>SOLLEFTEÅ</t>
        </is>
      </c>
      <c r="F7296" t="inlineStr">
        <is>
          <t>Holmen skog AB</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54538-2022</t>
        </is>
      </c>
      <c r="B7297" s="1" t="n">
        <v>44882</v>
      </c>
      <c r="C7297" s="1" t="n">
        <v>45657</v>
      </c>
      <c r="D7297" t="inlineStr">
        <is>
          <t>VÄSTERNORRLANDS LÄN</t>
        </is>
      </c>
      <c r="E7297" t="inlineStr">
        <is>
          <t>SOLLEFTEÅ</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54559-2022</t>
        </is>
      </c>
      <c r="B7298" s="1" t="n">
        <v>44882</v>
      </c>
      <c r="C7298" s="1" t="n">
        <v>45657</v>
      </c>
      <c r="D7298" t="inlineStr">
        <is>
          <t>VÄSTERNORRLANDS LÄN</t>
        </is>
      </c>
      <c r="E7298" t="inlineStr">
        <is>
          <t>SOLLEFTEÅ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54573-2022</t>
        </is>
      </c>
      <c r="B7299" s="1" t="n">
        <v>44882</v>
      </c>
      <c r="C7299" s="1" t="n">
        <v>45657</v>
      </c>
      <c r="D7299" t="inlineStr">
        <is>
          <t>VÄSTERNORRLANDS LÄN</t>
        </is>
      </c>
      <c r="E7299" t="inlineStr">
        <is>
          <t>SOLLEFTEÅ</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54331-2022</t>
        </is>
      </c>
      <c r="B7300" s="1" t="n">
        <v>44882</v>
      </c>
      <c r="C7300" s="1" t="n">
        <v>45657</v>
      </c>
      <c r="D7300" t="inlineStr">
        <is>
          <t>VÄSTERNORRLANDS LÄN</t>
        </is>
      </c>
      <c r="E7300" t="inlineStr">
        <is>
          <t>ÖRNSKÖLDSVIK</t>
        </is>
      </c>
      <c r="F7300" t="inlineStr">
        <is>
          <t>Holmen skog AB</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54569-2022</t>
        </is>
      </c>
      <c r="B7301" s="1" t="n">
        <v>44882</v>
      </c>
      <c r="C7301" s="1" t="n">
        <v>45657</v>
      </c>
      <c r="D7301" t="inlineStr">
        <is>
          <t>VÄSTERNORRLANDS LÄN</t>
        </is>
      </c>
      <c r="E7301" t="inlineStr">
        <is>
          <t>SOLLEFTEÅ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54575-2022</t>
        </is>
      </c>
      <c r="B7302" s="1" t="n">
        <v>44882</v>
      </c>
      <c r="C7302" s="1" t="n">
        <v>45657</v>
      </c>
      <c r="D7302" t="inlineStr">
        <is>
          <t>VÄSTERNORRLANDS LÄN</t>
        </is>
      </c>
      <c r="E7302" t="inlineStr">
        <is>
          <t>ÅNGE</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54560-2022</t>
        </is>
      </c>
      <c r="B7303" s="1" t="n">
        <v>44882</v>
      </c>
      <c r="C7303" s="1" t="n">
        <v>45657</v>
      </c>
      <c r="D7303" t="inlineStr">
        <is>
          <t>VÄSTERNORRLANDS LÄN</t>
        </is>
      </c>
      <c r="E7303" t="inlineStr">
        <is>
          <t>SUNDSVALL</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54578-2022</t>
        </is>
      </c>
      <c r="B7304" s="1" t="n">
        <v>44882</v>
      </c>
      <c r="C7304" s="1" t="n">
        <v>45657</v>
      </c>
      <c r="D7304" t="inlineStr">
        <is>
          <t>VÄSTERNORRLANDS LÄN</t>
        </is>
      </c>
      <c r="E7304" t="inlineStr">
        <is>
          <t>SUNDSVALL</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55273-2022</t>
        </is>
      </c>
      <c r="B7305" s="1" t="n">
        <v>44882</v>
      </c>
      <c r="C7305" s="1" t="n">
        <v>45657</v>
      </c>
      <c r="D7305" t="inlineStr">
        <is>
          <t>VÄSTERNORRLANDS LÄN</t>
        </is>
      </c>
      <c r="E7305" t="inlineStr">
        <is>
          <t>ÖRNSKÖLDSVIK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55345-2022</t>
        </is>
      </c>
      <c r="B7306" s="1" t="n">
        <v>44882</v>
      </c>
      <c r="C7306" s="1" t="n">
        <v>45657</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54579-2022</t>
        </is>
      </c>
      <c r="B7307" s="1" t="n">
        <v>44882</v>
      </c>
      <c r="C7307" s="1" t="n">
        <v>45657</v>
      </c>
      <c r="D7307" t="inlineStr">
        <is>
          <t>VÄSTERNORRLANDS LÄN</t>
        </is>
      </c>
      <c r="E7307" t="inlineStr">
        <is>
          <t>ÅNGE</t>
        </is>
      </c>
      <c r="F7307" t="inlineStr">
        <is>
          <t>SCA</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55283-2022</t>
        </is>
      </c>
      <c r="B7308" s="1" t="n">
        <v>44882</v>
      </c>
      <c r="C7308" s="1" t="n">
        <v>45657</v>
      </c>
      <c r="D7308" t="inlineStr">
        <is>
          <t>VÄSTERNORRLANDS LÄN</t>
        </is>
      </c>
      <c r="E7308" t="inlineStr">
        <is>
          <t>ÖRNSKÖLDSVIK</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55357-2022</t>
        </is>
      </c>
      <c r="B7309" s="1" t="n">
        <v>44882</v>
      </c>
      <c r="C7309" s="1" t="n">
        <v>45657</v>
      </c>
      <c r="D7309" t="inlineStr">
        <is>
          <t>VÄSTERNORRLANDS LÄN</t>
        </is>
      </c>
      <c r="E7309" t="inlineStr">
        <is>
          <t>TIMRÅ</t>
        </is>
      </c>
      <c r="G7309" t="n">
        <v>17.3</v>
      </c>
      <c r="H7309" t="n">
        <v>0</v>
      </c>
      <c r="I7309" t="n">
        <v>0</v>
      </c>
      <c r="J7309" t="n">
        <v>0</v>
      </c>
      <c r="K7309" t="n">
        <v>0</v>
      </c>
      <c r="L7309" t="n">
        <v>0</v>
      </c>
      <c r="M7309" t="n">
        <v>0</v>
      </c>
      <c r="N7309" t="n">
        <v>0</v>
      </c>
      <c r="O7309" t="n">
        <v>0</v>
      </c>
      <c r="P7309" t="n">
        <v>0</v>
      </c>
      <c r="Q7309" t="n">
        <v>0</v>
      </c>
      <c r="R7309" s="2" t="inlineStr"/>
    </row>
    <row r="7310" ht="15" customHeight="1">
      <c r="A7310" t="inlineStr">
        <is>
          <t>A 55340-2022</t>
        </is>
      </c>
      <c r="B7310" s="1" t="n">
        <v>44882</v>
      </c>
      <c r="C7310" s="1" t="n">
        <v>45657</v>
      </c>
      <c r="D7310" t="inlineStr">
        <is>
          <t>VÄSTERNORRLANDS LÄN</t>
        </is>
      </c>
      <c r="E7310" t="inlineStr">
        <is>
          <t>SUNDSVALL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54607-2022</t>
        </is>
      </c>
      <c r="B7311" s="1" t="n">
        <v>44883</v>
      </c>
      <c r="C7311" s="1" t="n">
        <v>45657</v>
      </c>
      <c r="D7311" t="inlineStr">
        <is>
          <t>VÄSTERNORRLANDS LÄN</t>
        </is>
      </c>
      <c r="E7311" t="inlineStr">
        <is>
          <t>ÖRNSKÖLDSVIK</t>
        </is>
      </c>
      <c r="F7311" t="inlineStr">
        <is>
          <t>Holmen skog AB</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54821-2022</t>
        </is>
      </c>
      <c r="B7312" s="1" t="n">
        <v>44883</v>
      </c>
      <c r="C7312" s="1" t="n">
        <v>45657</v>
      </c>
      <c r="D7312" t="inlineStr">
        <is>
          <t>VÄSTERNORRLANDS LÄN</t>
        </is>
      </c>
      <c r="E7312" t="inlineStr">
        <is>
          <t>ÅNGE</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54638-2022</t>
        </is>
      </c>
      <c r="B7313" s="1" t="n">
        <v>44883</v>
      </c>
      <c r="C7313" s="1" t="n">
        <v>45657</v>
      </c>
      <c r="D7313" t="inlineStr">
        <is>
          <t>VÄSTERNORRLANDS LÄN</t>
        </is>
      </c>
      <c r="E7313" t="inlineStr">
        <is>
          <t>KRAMFORS</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54589-2022</t>
        </is>
      </c>
      <c r="B7314" s="1" t="n">
        <v>44883</v>
      </c>
      <c r="C7314" s="1" t="n">
        <v>45657</v>
      </c>
      <c r="D7314" t="inlineStr">
        <is>
          <t>VÄSTERNORRLANDS LÄN</t>
        </is>
      </c>
      <c r="E7314" t="inlineStr">
        <is>
          <t>KRAMFORS</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54585-2022</t>
        </is>
      </c>
      <c r="B7315" s="1" t="n">
        <v>44883</v>
      </c>
      <c r="C7315" s="1" t="n">
        <v>45657</v>
      </c>
      <c r="D7315" t="inlineStr">
        <is>
          <t>VÄSTERNORRLANDS LÄN</t>
        </is>
      </c>
      <c r="E7315" t="inlineStr">
        <is>
          <t>KRAMFORS</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54747-2022</t>
        </is>
      </c>
      <c r="B7316" s="1" t="n">
        <v>44883</v>
      </c>
      <c r="C7316" s="1" t="n">
        <v>45657</v>
      </c>
      <c r="D7316" t="inlineStr">
        <is>
          <t>VÄSTERNORRLANDS LÄN</t>
        </is>
      </c>
      <c r="E7316" t="inlineStr">
        <is>
          <t>TIMRÅ</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54893-2022</t>
        </is>
      </c>
      <c r="B7317" s="1" t="n">
        <v>44886</v>
      </c>
      <c r="C7317" s="1" t="n">
        <v>45657</v>
      </c>
      <c r="D7317" t="inlineStr">
        <is>
          <t>VÄSTERNORRLANDS LÄN</t>
        </is>
      </c>
      <c r="E7317" t="inlineStr">
        <is>
          <t>ÖRNSKÖLDSVIK</t>
        </is>
      </c>
      <c r="F7317" t="inlineStr">
        <is>
          <t>Holmen skog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54982-2022</t>
        </is>
      </c>
      <c r="B7318" s="1" t="n">
        <v>44886</v>
      </c>
      <c r="C7318" s="1" t="n">
        <v>45657</v>
      </c>
      <c r="D7318" t="inlineStr">
        <is>
          <t>VÄSTERNORRLANDS LÄN</t>
        </is>
      </c>
      <c r="E7318" t="inlineStr">
        <is>
          <t>ÖRNSKÖLDSVIK</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55168-2022</t>
        </is>
      </c>
      <c r="B7319" s="1" t="n">
        <v>44886</v>
      </c>
      <c r="C7319" s="1" t="n">
        <v>45657</v>
      </c>
      <c r="D7319" t="inlineStr">
        <is>
          <t>VÄSTERNORRLANDS LÄN</t>
        </is>
      </c>
      <c r="E7319" t="inlineStr">
        <is>
          <t>ÖRNSKÖLDSVIK</t>
        </is>
      </c>
      <c r="F7319" t="inlineStr">
        <is>
          <t>Holmen skog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55179-2022</t>
        </is>
      </c>
      <c r="B7320" s="1" t="n">
        <v>44886</v>
      </c>
      <c r="C7320" s="1" t="n">
        <v>45657</v>
      </c>
      <c r="D7320" t="inlineStr">
        <is>
          <t>VÄSTERNORRLANDS LÄN</t>
        </is>
      </c>
      <c r="E7320" t="inlineStr">
        <is>
          <t>TIMRÅ</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55197-2022</t>
        </is>
      </c>
      <c r="B7321" s="1" t="n">
        <v>44886</v>
      </c>
      <c r="C7321" s="1" t="n">
        <v>45657</v>
      </c>
      <c r="D7321" t="inlineStr">
        <is>
          <t>VÄSTERNORRLANDS LÄN</t>
        </is>
      </c>
      <c r="E7321" t="inlineStr">
        <is>
          <t>ÅNGE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54981-2022</t>
        </is>
      </c>
      <c r="B7322" s="1" t="n">
        <v>44886</v>
      </c>
      <c r="C7322" s="1" t="n">
        <v>45657</v>
      </c>
      <c r="D7322" t="inlineStr">
        <is>
          <t>VÄSTERNORRLANDS LÄN</t>
        </is>
      </c>
      <c r="E7322" t="inlineStr">
        <is>
          <t>ÖRNSKÖLDSVIK</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55112-2022</t>
        </is>
      </c>
      <c r="B7323" s="1" t="n">
        <v>44886</v>
      </c>
      <c r="C7323" s="1" t="n">
        <v>45657</v>
      </c>
      <c r="D7323" t="inlineStr">
        <is>
          <t>VÄSTERNORRLANDS LÄN</t>
        </is>
      </c>
      <c r="E7323" t="inlineStr">
        <is>
          <t>ÅNGE</t>
        </is>
      </c>
      <c r="F7323" t="inlineStr">
        <is>
          <t>Holmen skog AB</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55121-2022</t>
        </is>
      </c>
      <c r="B7324" s="1" t="n">
        <v>44886</v>
      </c>
      <c r="C7324" s="1" t="n">
        <v>45657</v>
      </c>
      <c r="D7324" t="inlineStr">
        <is>
          <t>VÄSTERNORRLANDS LÄN</t>
        </is>
      </c>
      <c r="E7324" t="inlineStr">
        <is>
          <t>ÖRNSKÖLDSVIK</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55091-2022</t>
        </is>
      </c>
      <c r="B7325" s="1" t="n">
        <v>44886</v>
      </c>
      <c r="C7325" s="1" t="n">
        <v>45657</v>
      </c>
      <c r="D7325" t="inlineStr">
        <is>
          <t>VÄSTERNORRLANDS LÄN</t>
        </is>
      </c>
      <c r="E7325" t="inlineStr">
        <is>
          <t>ÖRNSKÖLDSVIK</t>
        </is>
      </c>
      <c r="F7325" t="inlineStr">
        <is>
          <t>Holmen skog AB</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55213-2022</t>
        </is>
      </c>
      <c r="B7326" s="1" t="n">
        <v>44887</v>
      </c>
      <c r="C7326" s="1" t="n">
        <v>45657</v>
      </c>
      <c r="D7326" t="inlineStr">
        <is>
          <t>VÄSTERNORRLANDS LÄN</t>
        </is>
      </c>
      <c r="E7326" t="inlineStr">
        <is>
          <t>ÅNGE</t>
        </is>
      </c>
      <c r="F7326" t="inlineStr">
        <is>
          <t>SCA</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55217-2022</t>
        </is>
      </c>
      <c r="B7327" s="1" t="n">
        <v>44887</v>
      </c>
      <c r="C7327" s="1" t="n">
        <v>45657</v>
      </c>
      <c r="D7327" t="inlineStr">
        <is>
          <t>VÄSTERNORRLANDS LÄN</t>
        </is>
      </c>
      <c r="E7327" t="inlineStr">
        <is>
          <t>SUNDSVALL</t>
        </is>
      </c>
      <c r="F7327" t="inlineStr">
        <is>
          <t>SCA</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55125-2022</t>
        </is>
      </c>
      <c r="B7328" s="1" t="n">
        <v>44886</v>
      </c>
      <c r="C7328" s="1" t="n">
        <v>45657</v>
      </c>
      <c r="D7328" t="inlineStr">
        <is>
          <t>VÄSTERNORRLANDS LÄN</t>
        </is>
      </c>
      <c r="E7328" t="inlineStr">
        <is>
          <t>ÖRNSKÖLDSVIK</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55131-2022</t>
        </is>
      </c>
      <c r="B7329" s="1" t="n">
        <v>44886</v>
      </c>
      <c r="C7329" s="1" t="n">
        <v>45657</v>
      </c>
      <c r="D7329" t="inlineStr">
        <is>
          <t>VÄSTERNORRLANDS LÄN</t>
        </is>
      </c>
      <c r="E7329" t="inlineStr">
        <is>
          <t>ÖRNSKÖLDSVIK</t>
        </is>
      </c>
      <c r="F7329" t="inlineStr">
        <is>
          <t>Holmen skog AB</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55162-2022</t>
        </is>
      </c>
      <c r="B7330" s="1" t="n">
        <v>44886</v>
      </c>
      <c r="C7330" s="1" t="n">
        <v>45657</v>
      </c>
      <c r="D7330" t="inlineStr">
        <is>
          <t>VÄSTERNORRLANDS LÄN</t>
        </is>
      </c>
      <c r="E7330" t="inlineStr">
        <is>
          <t>ÖRNSKÖLDSVIK</t>
        </is>
      </c>
      <c r="F7330" t="inlineStr">
        <is>
          <t>Holmen skog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55212-2022</t>
        </is>
      </c>
      <c r="B7331" s="1" t="n">
        <v>44886</v>
      </c>
      <c r="C7331" s="1" t="n">
        <v>45657</v>
      </c>
      <c r="D7331" t="inlineStr">
        <is>
          <t>VÄSTERNORRLANDS LÄN</t>
        </is>
      </c>
      <c r="E7331" t="inlineStr">
        <is>
          <t>ÅNGE</t>
        </is>
      </c>
      <c r="F7331" t="inlineStr">
        <is>
          <t>SCA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55151-2022</t>
        </is>
      </c>
      <c r="B7332" s="1" t="n">
        <v>44886</v>
      </c>
      <c r="C7332" s="1" t="n">
        <v>45657</v>
      </c>
      <c r="D7332" t="inlineStr">
        <is>
          <t>VÄSTERNORRLANDS LÄN</t>
        </is>
      </c>
      <c r="E7332" t="inlineStr">
        <is>
          <t>ÖRNSKÖLDSVIK</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55209-2022</t>
        </is>
      </c>
      <c r="B7333" s="1" t="n">
        <v>44887</v>
      </c>
      <c r="C7333" s="1" t="n">
        <v>45657</v>
      </c>
      <c r="D7333" t="inlineStr">
        <is>
          <t>VÄSTERNORRLANDS LÄN</t>
        </is>
      </c>
      <c r="E7333" t="inlineStr">
        <is>
          <t>SOLLEFTEÅ</t>
        </is>
      </c>
      <c r="F7333" t="inlineStr">
        <is>
          <t>SCA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55240-2022</t>
        </is>
      </c>
      <c r="B7334" s="1" t="n">
        <v>44887</v>
      </c>
      <c r="C7334" s="1" t="n">
        <v>45657</v>
      </c>
      <c r="D7334" t="inlineStr">
        <is>
          <t>VÄSTERNORRLANDS LÄN</t>
        </is>
      </c>
      <c r="E7334" t="inlineStr">
        <is>
          <t>TIMRÅ</t>
        </is>
      </c>
      <c r="F7334" t="inlineStr">
        <is>
          <t>SCA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55292-2022</t>
        </is>
      </c>
      <c r="B7335" s="1" t="n">
        <v>44887</v>
      </c>
      <c r="C7335" s="1" t="n">
        <v>45657</v>
      </c>
      <c r="D7335" t="inlineStr">
        <is>
          <t>VÄSTERNORRLANDS LÄN</t>
        </is>
      </c>
      <c r="E7335" t="inlineStr">
        <is>
          <t>ÖRNSKÖLDSVIK</t>
        </is>
      </c>
      <c r="F7335" t="inlineStr">
        <is>
          <t>Holmen skog AB</t>
        </is>
      </c>
      <c r="G7335" t="n">
        <v>6.2</v>
      </c>
      <c r="H7335" t="n">
        <v>0</v>
      </c>
      <c r="I7335" t="n">
        <v>0</v>
      </c>
      <c r="J7335" t="n">
        <v>0</v>
      </c>
      <c r="K7335" t="n">
        <v>0</v>
      </c>
      <c r="L7335" t="n">
        <v>0</v>
      </c>
      <c r="M7335" t="n">
        <v>0</v>
      </c>
      <c r="N7335" t="n">
        <v>0</v>
      </c>
      <c r="O7335" t="n">
        <v>0</v>
      </c>
      <c r="P7335" t="n">
        <v>0</v>
      </c>
      <c r="Q7335" t="n">
        <v>0</v>
      </c>
      <c r="R7335" s="2" t="inlineStr"/>
    </row>
    <row r="7336" ht="15" customHeight="1">
      <c r="A7336" t="inlineStr">
        <is>
          <t>A 55361-2022</t>
        </is>
      </c>
      <c r="B7336" s="1" t="n">
        <v>44887</v>
      </c>
      <c r="C7336" s="1" t="n">
        <v>45657</v>
      </c>
      <c r="D7336" t="inlineStr">
        <is>
          <t>VÄSTERNORRLANDS LÄN</t>
        </is>
      </c>
      <c r="E7336" t="inlineStr">
        <is>
          <t>ÅNGE</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55329-2022</t>
        </is>
      </c>
      <c r="B7337" s="1" t="n">
        <v>44887</v>
      </c>
      <c r="C7337" s="1" t="n">
        <v>45657</v>
      </c>
      <c r="D7337" t="inlineStr">
        <is>
          <t>VÄSTERNORRLANDS LÄN</t>
        </is>
      </c>
      <c r="E7337" t="inlineStr">
        <is>
          <t>ÖRNSKÖLDSVIK</t>
        </is>
      </c>
      <c r="F7337" t="inlineStr">
        <is>
          <t>Holmen skog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55498-2022</t>
        </is>
      </c>
      <c r="B7338" s="1" t="n">
        <v>44887</v>
      </c>
      <c r="C7338" s="1" t="n">
        <v>45657</v>
      </c>
      <c r="D7338" t="inlineStr">
        <is>
          <t>VÄSTERNORRLANDS LÄN</t>
        </is>
      </c>
      <c r="E7338" t="inlineStr">
        <is>
          <t>SUNDSVALL</t>
        </is>
      </c>
      <c r="F7338" t="inlineStr">
        <is>
          <t>Holmen skog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55521-2022</t>
        </is>
      </c>
      <c r="B7339" s="1" t="n">
        <v>44887</v>
      </c>
      <c r="C7339" s="1" t="n">
        <v>45657</v>
      </c>
      <c r="D7339" t="inlineStr">
        <is>
          <t>VÄSTERNORRLANDS LÄN</t>
        </is>
      </c>
      <c r="E7339" t="inlineStr">
        <is>
          <t>TIMRÅ</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55526-2022</t>
        </is>
      </c>
      <c r="B7340" s="1" t="n">
        <v>44887</v>
      </c>
      <c r="C7340" s="1" t="n">
        <v>45657</v>
      </c>
      <c r="D7340" t="inlineStr">
        <is>
          <t>VÄSTERNORRLANDS LÄN</t>
        </is>
      </c>
      <c r="E7340" t="inlineStr">
        <is>
          <t>ÅNGE</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56470-2022</t>
        </is>
      </c>
      <c r="B7341" s="1" t="n">
        <v>44887</v>
      </c>
      <c r="C7341" s="1" t="n">
        <v>45657</v>
      </c>
      <c r="D7341" t="inlineStr">
        <is>
          <t>VÄSTERNORRLANDS LÄN</t>
        </is>
      </c>
      <c r="E7341" t="inlineStr">
        <is>
          <t>ÖRNSKÖLDSVIK</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56023-2022</t>
        </is>
      </c>
      <c r="B7342" s="1" t="n">
        <v>44887</v>
      </c>
      <c r="C7342" s="1" t="n">
        <v>45657</v>
      </c>
      <c r="D7342" t="inlineStr">
        <is>
          <t>VÄSTERNORRLANDS LÄN</t>
        </is>
      </c>
      <c r="E7342" t="inlineStr">
        <is>
          <t>ÖRNSKÖLDSVIK</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56465-2022</t>
        </is>
      </c>
      <c r="B7343" s="1" t="n">
        <v>44887</v>
      </c>
      <c r="C7343" s="1" t="n">
        <v>45657</v>
      </c>
      <c r="D7343" t="inlineStr">
        <is>
          <t>VÄSTERNORRLANDS LÄN</t>
        </is>
      </c>
      <c r="E7343" t="inlineStr">
        <is>
          <t>ÖRNSKÖLDSVIK</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55486-2022</t>
        </is>
      </c>
      <c r="B7344" s="1" t="n">
        <v>44887</v>
      </c>
      <c r="C7344" s="1" t="n">
        <v>45657</v>
      </c>
      <c r="D7344" t="inlineStr">
        <is>
          <t>VÄSTERNORRLANDS LÄN</t>
        </is>
      </c>
      <c r="E7344" t="inlineStr">
        <is>
          <t>ÖRNSKÖLDSVIK</t>
        </is>
      </c>
      <c r="F7344" t="inlineStr">
        <is>
          <t>Holmen skog AB</t>
        </is>
      </c>
      <c r="G7344" t="n">
        <v>9</v>
      </c>
      <c r="H7344" t="n">
        <v>0</v>
      </c>
      <c r="I7344" t="n">
        <v>0</v>
      </c>
      <c r="J7344" t="n">
        <v>0</v>
      </c>
      <c r="K7344" t="n">
        <v>0</v>
      </c>
      <c r="L7344" t="n">
        <v>0</v>
      </c>
      <c r="M7344" t="n">
        <v>0</v>
      </c>
      <c r="N7344" t="n">
        <v>0</v>
      </c>
      <c r="O7344" t="n">
        <v>0</v>
      </c>
      <c r="P7344" t="n">
        <v>0</v>
      </c>
      <c r="Q7344" t="n">
        <v>0</v>
      </c>
      <c r="R7344" s="2" t="inlineStr"/>
    </row>
    <row r="7345" ht="15" customHeight="1">
      <c r="A7345" t="inlineStr">
        <is>
          <t>A 55426-2022</t>
        </is>
      </c>
      <c r="B7345" s="1" t="n">
        <v>44887</v>
      </c>
      <c r="C7345" s="1" t="n">
        <v>45657</v>
      </c>
      <c r="D7345" t="inlineStr">
        <is>
          <t>VÄSTERNORRLANDS LÄN</t>
        </is>
      </c>
      <c r="E7345" t="inlineStr">
        <is>
          <t>ÖRNSKÖLDSVIK</t>
        </is>
      </c>
      <c r="F7345" t="inlineStr">
        <is>
          <t>Holmen skog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55474-2022</t>
        </is>
      </c>
      <c r="B7346" s="1" t="n">
        <v>44887</v>
      </c>
      <c r="C7346" s="1" t="n">
        <v>45657</v>
      </c>
      <c r="D7346" t="inlineStr">
        <is>
          <t>VÄSTERNORRLANDS LÄN</t>
        </is>
      </c>
      <c r="E7346" t="inlineStr">
        <is>
          <t>ÅNGE</t>
        </is>
      </c>
      <c r="F7346" t="inlineStr">
        <is>
          <t>Holmen skog AB</t>
        </is>
      </c>
      <c r="G7346" t="n">
        <v>17.9</v>
      </c>
      <c r="H7346" t="n">
        <v>0</v>
      </c>
      <c r="I7346" t="n">
        <v>0</v>
      </c>
      <c r="J7346" t="n">
        <v>0</v>
      </c>
      <c r="K7346" t="n">
        <v>0</v>
      </c>
      <c r="L7346" t="n">
        <v>0</v>
      </c>
      <c r="M7346" t="n">
        <v>0</v>
      </c>
      <c r="N7346" t="n">
        <v>0</v>
      </c>
      <c r="O7346" t="n">
        <v>0</v>
      </c>
      <c r="P7346" t="n">
        <v>0</v>
      </c>
      <c r="Q7346" t="n">
        <v>0</v>
      </c>
      <c r="R7346" s="2" t="inlineStr"/>
    </row>
    <row r="7347" ht="15" customHeight="1">
      <c r="A7347" t="inlineStr">
        <is>
          <t>A 55483-2022</t>
        </is>
      </c>
      <c r="B7347" s="1" t="n">
        <v>44887</v>
      </c>
      <c r="C7347" s="1" t="n">
        <v>45657</v>
      </c>
      <c r="D7347" t="inlineStr">
        <is>
          <t>VÄSTERNORRLANDS LÄN</t>
        </is>
      </c>
      <c r="E7347" t="inlineStr">
        <is>
          <t>ÖRNSKÖLDSVIK</t>
        </is>
      </c>
      <c r="F7347" t="inlineStr">
        <is>
          <t>Holmen skog AB</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55496-2022</t>
        </is>
      </c>
      <c r="B7348" s="1" t="n">
        <v>44887</v>
      </c>
      <c r="C7348" s="1" t="n">
        <v>45657</v>
      </c>
      <c r="D7348" t="inlineStr">
        <is>
          <t>VÄSTERNORRLANDS LÄN</t>
        </is>
      </c>
      <c r="E7348" t="inlineStr">
        <is>
          <t>SUNDSVALL</t>
        </is>
      </c>
      <c r="F7348" t="inlineStr">
        <is>
          <t>Holmen skog AB</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55511-2022</t>
        </is>
      </c>
      <c r="B7349" s="1" t="n">
        <v>44887</v>
      </c>
      <c r="C7349" s="1" t="n">
        <v>45657</v>
      </c>
      <c r="D7349" t="inlineStr">
        <is>
          <t>VÄSTERNORRLANDS LÄN</t>
        </is>
      </c>
      <c r="E7349" t="inlineStr">
        <is>
          <t>TIMRÅ</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55528-2022</t>
        </is>
      </c>
      <c r="B7350" s="1" t="n">
        <v>44887</v>
      </c>
      <c r="C7350" s="1" t="n">
        <v>45657</v>
      </c>
      <c r="D7350" t="inlineStr">
        <is>
          <t>VÄSTERNORRLANDS LÄN</t>
        </is>
      </c>
      <c r="E7350" t="inlineStr">
        <is>
          <t>SUNDSVALL</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56485-2022</t>
        </is>
      </c>
      <c r="B7351" s="1" t="n">
        <v>44887</v>
      </c>
      <c r="C7351" s="1" t="n">
        <v>45657</v>
      </c>
      <c r="D7351" t="inlineStr">
        <is>
          <t>VÄSTERNORRLANDS LÄN</t>
        </is>
      </c>
      <c r="E7351" t="inlineStr">
        <is>
          <t>ÖRNSKÖLDSVIK</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55510-2022</t>
        </is>
      </c>
      <c r="B7352" s="1" t="n">
        <v>44887</v>
      </c>
      <c r="C7352" s="1" t="n">
        <v>45657</v>
      </c>
      <c r="D7352" t="inlineStr">
        <is>
          <t>VÄSTERNORRLANDS LÄN</t>
        </is>
      </c>
      <c r="E7352" t="inlineStr">
        <is>
          <t>TIMRÅ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55517-2022</t>
        </is>
      </c>
      <c r="B7353" s="1" t="n">
        <v>44887</v>
      </c>
      <c r="C7353" s="1" t="n">
        <v>45657</v>
      </c>
      <c r="D7353" t="inlineStr">
        <is>
          <t>VÄSTERNORRLANDS LÄN</t>
        </is>
      </c>
      <c r="E7353" t="inlineStr">
        <is>
          <t>TIMRÅ</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55527-2022</t>
        </is>
      </c>
      <c r="B7354" s="1" t="n">
        <v>44887</v>
      </c>
      <c r="C7354" s="1" t="n">
        <v>45657</v>
      </c>
      <c r="D7354" t="inlineStr">
        <is>
          <t>VÄSTERNORRLANDS LÄN</t>
        </is>
      </c>
      <c r="E7354" t="inlineStr">
        <is>
          <t>ÅNGE</t>
        </is>
      </c>
      <c r="F7354" t="inlineStr">
        <is>
          <t>SCA</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55692-2022</t>
        </is>
      </c>
      <c r="B7355" s="1" t="n">
        <v>44888</v>
      </c>
      <c r="C7355" s="1" t="n">
        <v>45657</v>
      </c>
      <c r="D7355" t="inlineStr">
        <is>
          <t>VÄSTERNORRLANDS LÄN</t>
        </is>
      </c>
      <c r="E7355" t="inlineStr">
        <is>
          <t>SOLLEFTEÅ</t>
        </is>
      </c>
      <c r="F7355" t="inlineStr">
        <is>
          <t>Holmen skog AB</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55568-2022</t>
        </is>
      </c>
      <c r="B7356" s="1" t="n">
        <v>44888</v>
      </c>
      <c r="C7356" s="1" t="n">
        <v>45657</v>
      </c>
      <c r="D7356" t="inlineStr">
        <is>
          <t>VÄSTERNORRLANDS LÄN</t>
        </is>
      </c>
      <c r="E7356" t="inlineStr">
        <is>
          <t>ÖRNSKÖLDSVIK</t>
        </is>
      </c>
      <c r="F7356" t="inlineStr">
        <is>
          <t>Holmen skog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55643-2022</t>
        </is>
      </c>
      <c r="B7357" s="1" t="n">
        <v>44888</v>
      </c>
      <c r="C7357" s="1" t="n">
        <v>45657</v>
      </c>
      <c r="D7357" t="inlineStr">
        <is>
          <t>VÄSTERNORRLANDS LÄN</t>
        </is>
      </c>
      <c r="E7357" t="inlineStr">
        <is>
          <t>ÖRNSKÖLDSVIK</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55752-2022</t>
        </is>
      </c>
      <c r="B7358" s="1" t="n">
        <v>44888</v>
      </c>
      <c r="C7358" s="1" t="n">
        <v>45657</v>
      </c>
      <c r="D7358" t="inlineStr">
        <is>
          <t>VÄSTERNORRLANDS LÄN</t>
        </is>
      </c>
      <c r="E7358" t="inlineStr">
        <is>
          <t>ÖRNSKÖLDSVIK</t>
        </is>
      </c>
      <c r="F7358" t="inlineStr">
        <is>
          <t>Holmen skog AB</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55780-2022</t>
        </is>
      </c>
      <c r="B7359" s="1" t="n">
        <v>44888</v>
      </c>
      <c r="C7359" s="1" t="n">
        <v>45657</v>
      </c>
      <c r="D7359" t="inlineStr">
        <is>
          <t>VÄSTERNORRLANDS LÄN</t>
        </is>
      </c>
      <c r="E7359" t="inlineStr">
        <is>
          <t>ÖRNSKÖLDSVIK</t>
        </is>
      </c>
      <c r="F7359" t="inlineStr">
        <is>
          <t>Holmen skog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55729-2022</t>
        </is>
      </c>
      <c r="B7360" s="1" t="n">
        <v>44888</v>
      </c>
      <c r="C7360" s="1" t="n">
        <v>45657</v>
      </c>
      <c r="D7360" t="inlineStr">
        <is>
          <t>VÄSTERNORRLANDS LÄN</t>
        </is>
      </c>
      <c r="E7360" t="inlineStr">
        <is>
          <t>ÅNGE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55754-2022</t>
        </is>
      </c>
      <c r="B7361" s="1" t="n">
        <v>44888</v>
      </c>
      <c r="C7361" s="1" t="n">
        <v>45657</v>
      </c>
      <c r="D7361" t="inlineStr">
        <is>
          <t>VÄSTERNORRLANDS LÄN</t>
        </is>
      </c>
      <c r="E7361" t="inlineStr">
        <is>
          <t>ÅNGE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55726-2022</t>
        </is>
      </c>
      <c r="B7362" s="1" t="n">
        <v>44888</v>
      </c>
      <c r="C7362" s="1" t="n">
        <v>45657</v>
      </c>
      <c r="D7362" t="inlineStr">
        <is>
          <t>VÄSTERNORRLANDS LÄN</t>
        </is>
      </c>
      <c r="E7362" t="inlineStr">
        <is>
          <t>ÖRNSKÖLDSVIK</t>
        </is>
      </c>
      <c r="F7362" t="inlineStr">
        <is>
          <t>Holmen skog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55816-2022</t>
        </is>
      </c>
      <c r="B7363" s="1" t="n">
        <v>44888</v>
      </c>
      <c r="C7363" s="1" t="n">
        <v>45657</v>
      </c>
      <c r="D7363" t="inlineStr">
        <is>
          <t>VÄSTERNORRLANDS LÄN</t>
        </is>
      </c>
      <c r="E7363" t="inlineStr">
        <is>
          <t>ÅNGE</t>
        </is>
      </c>
      <c r="F7363" t="inlineStr">
        <is>
          <t>Holmen skog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55872-2022</t>
        </is>
      </c>
      <c r="B7364" s="1" t="n">
        <v>44888</v>
      </c>
      <c r="C7364" s="1" t="n">
        <v>45657</v>
      </c>
      <c r="D7364" t="inlineStr">
        <is>
          <t>VÄSTERNORRLANDS LÄN</t>
        </is>
      </c>
      <c r="E7364" t="inlineStr">
        <is>
          <t>TIMRÅ</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55876-2022</t>
        </is>
      </c>
      <c r="B7365" s="1" t="n">
        <v>44888</v>
      </c>
      <c r="C7365" s="1" t="n">
        <v>45657</v>
      </c>
      <c r="D7365" t="inlineStr">
        <is>
          <t>VÄSTERNORRLANDS LÄN</t>
        </is>
      </c>
      <c r="E7365" t="inlineStr">
        <is>
          <t>SUNDSVALL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55883-2022</t>
        </is>
      </c>
      <c r="B7366" s="1" t="n">
        <v>44888</v>
      </c>
      <c r="C7366" s="1" t="n">
        <v>45657</v>
      </c>
      <c r="D7366" t="inlineStr">
        <is>
          <t>VÄSTERNORRLANDS LÄN</t>
        </is>
      </c>
      <c r="E7366" t="inlineStr">
        <is>
          <t>ÅNGE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55823-2022</t>
        </is>
      </c>
      <c r="B7367" s="1" t="n">
        <v>44888</v>
      </c>
      <c r="C7367" s="1" t="n">
        <v>45657</v>
      </c>
      <c r="D7367" t="inlineStr">
        <is>
          <t>VÄSTERNORRLANDS LÄN</t>
        </is>
      </c>
      <c r="E7367" t="inlineStr">
        <is>
          <t>ÖRNSKÖLDSVIK</t>
        </is>
      </c>
      <c r="F7367" t="inlineStr">
        <is>
          <t>Holmen skog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55874-2022</t>
        </is>
      </c>
      <c r="B7368" s="1" t="n">
        <v>44888</v>
      </c>
      <c r="C7368" s="1" t="n">
        <v>45657</v>
      </c>
      <c r="D7368" t="inlineStr">
        <is>
          <t>VÄSTERNORRLANDS LÄN</t>
        </is>
      </c>
      <c r="E7368" t="inlineStr">
        <is>
          <t>SUNDSVALL</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55881-2022</t>
        </is>
      </c>
      <c r="B7369" s="1" t="n">
        <v>44888</v>
      </c>
      <c r="C7369" s="1" t="n">
        <v>45657</v>
      </c>
      <c r="D7369" t="inlineStr">
        <is>
          <t>VÄSTERNORRLANDS LÄN</t>
        </is>
      </c>
      <c r="E7369" t="inlineStr">
        <is>
          <t>SUNDSVALL</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55803-2022</t>
        </is>
      </c>
      <c r="B7370" s="1" t="n">
        <v>44888</v>
      </c>
      <c r="C7370" s="1" t="n">
        <v>45657</v>
      </c>
      <c r="D7370" t="inlineStr">
        <is>
          <t>VÄSTERNORRLANDS LÄN</t>
        </is>
      </c>
      <c r="E7370" t="inlineStr">
        <is>
          <t>ÖRNSKÖLDSVIK</t>
        </is>
      </c>
      <c r="F7370" t="inlineStr">
        <is>
          <t>Holmen skog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55873-2022</t>
        </is>
      </c>
      <c r="B7371" s="1" t="n">
        <v>44888</v>
      </c>
      <c r="C7371" s="1" t="n">
        <v>45657</v>
      </c>
      <c r="D7371" t="inlineStr">
        <is>
          <t>VÄSTERNORRLANDS LÄN</t>
        </is>
      </c>
      <c r="E7371" t="inlineStr">
        <is>
          <t>SUNDSVALL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55878-2022</t>
        </is>
      </c>
      <c r="B7372" s="1" t="n">
        <v>44888</v>
      </c>
      <c r="C7372" s="1" t="n">
        <v>45657</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55886-2022</t>
        </is>
      </c>
      <c r="B7373" s="1" t="n">
        <v>44888</v>
      </c>
      <c r="C7373" s="1" t="n">
        <v>45657</v>
      </c>
      <c r="D7373" t="inlineStr">
        <is>
          <t>VÄSTERNORRLANDS LÄN</t>
        </is>
      </c>
      <c r="E7373" t="inlineStr">
        <is>
          <t>TIMRÅ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56933-2022</t>
        </is>
      </c>
      <c r="B7374" s="1" t="n">
        <v>44888</v>
      </c>
      <c r="C7374" s="1" t="n">
        <v>45657</v>
      </c>
      <c r="D7374" t="inlineStr">
        <is>
          <t>VÄSTERNORRLANDS LÄN</t>
        </is>
      </c>
      <c r="E7374" t="inlineStr">
        <is>
          <t>KRAMFORS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55875-2022</t>
        </is>
      </c>
      <c r="B7375" s="1" t="n">
        <v>44888</v>
      </c>
      <c r="C7375" s="1" t="n">
        <v>45657</v>
      </c>
      <c r="D7375" t="inlineStr">
        <is>
          <t>VÄSTERNORRLANDS LÄN</t>
        </is>
      </c>
      <c r="E7375" t="inlineStr">
        <is>
          <t>SUNDSVALL</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55882-2022</t>
        </is>
      </c>
      <c r="B7376" s="1" t="n">
        <v>44888</v>
      </c>
      <c r="C7376" s="1" t="n">
        <v>45657</v>
      </c>
      <c r="D7376" t="inlineStr">
        <is>
          <t>VÄSTERNORRLANDS LÄN</t>
        </is>
      </c>
      <c r="E7376" t="inlineStr">
        <is>
          <t>ÅNGE</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55896-2022</t>
        </is>
      </c>
      <c r="B7377" s="1" t="n">
        <v>44888</v>
      </c>
      <c r="C7377" s="1" t="n">
        <v>45657</v>
      </c>
      <c r="D7377" t="inlineStr">
        <is>
          <t>VÄSTERNORRLANDS LÄN</t>
        </is>
      </c>
      <c r="E7377" t="inlineStr">
        <is>
          <t>SUNDSVALL</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56812-2022</t>
        </is>
      </c>
      <c r="B7378" s="1" t="n">
        <v>44888</v>
      </c>
      <c r="C7378" s="1" t="n">
        <v>45657</v>
      </c>
      <c r="D7378" t="inlineStr">
        <is>
          <t>VÄSTERNORRLANDS LÄN</t>
        </is>
      </c>
      <c r="E7378" t="inlineStr">
        <is>
          <t>KRAMFORS</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55890-2022</t>
        </is>
      </c>
      <c r="B7379" s="1" t="n">
        <v>44888</v>
      </c>
      <c r="C7379" s="1" t="n">
        <v>45657</v>
      </c>
      <c r="D7379" t="inlineStr">
        <is>
          <t>VÄSTERNORRLANDS LÄN</t>
        </is>
      </c>
      <c r="E7379" t="inlineStr">
        <is>
          <t>SUNDSVALL</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55897-2022</t>
        </is>
      </c>
      <c r="B7380" s="1" t="n">
        <v>44888</v>
      </c>
      <c r="C7380" s="1" t="n">
        <v>45657</v>
      </c>
      <c r="D7380" t="inlineStr">
        <is>
          <t>VÄSTERNORRLANDS LÄN</t>
        </is>
      </c>
      <c r="E7380" t="inlineStr">
        <is>
          <t>SUNDSVALL</t>
        </is>
      </c>
      <c r="F7380" t="inlineStr">
        <is>
          <t>SCA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56873-2022</t>
        </is>
      </c>
      <c r="B7381" s="1" t="n">
        <v>44888</v>
      </c>
      <c r="C7381" s="1" t="n">
        <v>45657</v>
      </c>
      <c r="D7381" t="inlineStr">
        <is>
          <t>VÄSTERNORRLANDS LÄN</t>
        </is>
      </c>
      <c r="E7381" t="inlineStr">
        <is>
          <t>ÖRNSKÖLDSVIK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55907-2022</t>
        </is>
      </c>
      <c r="B7382" s="1" t="n">
        <v>44888</v>
      </c>
      <c r="C7382" s="1" t="n">
        <v>45657</v>
      </c>
      <c r="D7382" t="inlineStr">
        <is>
          <t>VÄSTERNORRLANDS LÄN</t>
        </is>
      </c>
      <c r="E7382" t="inlineStr">
        <is>
          <t>ÅNGE</t>
        </is>
      </c>
      <c r="F7382" t="inlineStr">
        <is>
          <t>SCA</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55906-2022</t>
        </is>
      </c>
      <c r="B7383" s="1" t="n">
        <v>44888</v>
      </c>
      <c r="C7383" s="1" t="n">
        <v>45657</v>
      </c>
      <c r="D7383" t="inlineStr">
        <is>
          <t>VÄSTERNORRLANDS LÄN</t>
        </is>
      </c>
      <c r="E7383" t="inlineStr">
        <is>
          <t>ÅNGE</t>
        </is>
      </c>
      <c r="F7383" t="inlineStr">
        <is>
          <t>SCA</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55898-2022</t>
        </is>
      </c>
      <c r="B7384" s="1" t="n">
        <v>44888</v>
      </c>
      <c r="C7384" s="1" t="n">
        <v>45657</v>
      </c>
      <c r="D7384" t="inlineStr">
        <is>
          <t>VÄSTERNORRLANDS LÄN</t>
        </is>
      </c>
      <c r="E7384" t="inlineStr">
        <is>
          <t>SOLLEFTEÅ</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56904-2022</t>
        </is>
      </c>
      <c r="B7385" s="1" t="n">
        <v>44888</v>
      </c>
      <c r="C7385" s="1" t="n">
        <v>45657</v>
      </c>
      <c r="D7385" t="inlineStr">
        <is>
          <t>VÄSTERNORRLANDS LÄN</t>
        </is>
      </c>
      <c r="E7385" t="inlineStr">
        <is>
          <t>ÖRNSKÖLDSVIK</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55985-2022</t>
        </is>
      </c>
      <c r="B7386" s="1" t="n">
        <v>44889</v>
      </c>
      <c r="C7386" s="1" t="n">
        <v>45657</v>
      </c>
      <c r="D7386" t="inlineStr">
        <is>
          <t>VÄSTERNORRLANDS LÄN</t>
        </is>
      </c>
      <c r="E7386" t="inlineStr">
        <is>
          <t>SUNDSVALL</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55986-2022</t>
        </is>
      </c>
      <c r="B7387" s="1" t="n">
        <v>44889</v>
      </c>
      <c r="C7387" s="1" t="n">
        <v>45657</v>
      </c>
      <c r="D7387" t="inlineStr">
        <is>
          <t>VÄSTERNORRLANDS LÄN</t>
        </is>
      </c>
      <c r="E7387" t="inlineStr">
        <is>
          <t>SUNDSVALL</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56158-2022</t>
        </is>
      </c>
      <c r="B7388" s="1" t="n">
        <v>44889</v>
      </c>
      <c r="C7388" s="1" t="n">
        <v>45657</v>
      </c>
      <c r="D7388" t="inlineStr">
        <is>
          <t>VÄSTERNORRLANDS LÄN</t>
        </is>
      </c>
      <c r="E7388" t="inlineStr">
        <is>
          <t>HÄRNÖSAND</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56176-2022</t>
        </is>
      </c>
      <c r="B7389" s="1" t="n">
        <v>44889</v>
      </c>
      <c r="C7389" s="1" t="n">
        <v>45657</v>
      </c>
      <c r="D7389" t="inlineStr">
        <is>
          <t>VÄSTERNORRLANDS LÄN</t>
        </is>
      </c>
      <c r="E7389" t="inlineStr">
        <is>
          <t>SOLLEFTEÅ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56181-2022</t>
        </is>
      </c>
      <c r="B7390" s="1" t="n">
        <v>44889</v>
      </c>
      <c r="C7390" s="1" t="n">
        <v>45657</v>
      </c>
      <c r="D7390" t="inlineStr">
        <is>
          <t>VÄSTERNORRLANDS LÄN</t>
        </is>
      </c>
      <c r="E7390" t="inlineStr">
        <is>
          <t>ÅNGE</t>
        </is>
      </c>
      <c r="F7390" t="inlineStr">
        <is>
          <t>SCA</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56082-2022</t>
        </is>
      </c>
      <c r="B7391" s="1" t="n">
        <v>44889</v>
      </c>
      <c r="C7391" s="1" t="n">
        <v>45657</v>
      </c>
      <c r="D7391" t="inlineStr">
        <is>
          <t>VÄSTERNORRLANDS LÄN</t>
        </is>
      </c>
      <c r="E7391" t="inlineStr">
        <is>
          <t>ÖRNSKÖLDSVIK</t>
        </is>
      </c>
      <c r="F7391" t="inlineStr">
        <is>
          <t>Holmen skog AB</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56159-2022</t>
        </is>
      </c>
      <c r="B7392" s="1" t="n">
        <v>44889</v>
      </c>
      <c r="C7392" s="1" t="n">
        <v>45657</v>
      </c>
      <c r="D7392" t="inlineStr">
        <is>
          <t>VÄSTERNORRLANDS LÄN</t>
        </is>
      </c>
      <c r="E7392" t="inlineStr">
        <is>
          <t>HÄRNÖSAND</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56151-2022</t>
        </is>
      </c>
      <c r="B7393" s="1" t="n">
        <v>44889</v>
      </c>
      <c r="C7393" s="1" t="n">
        <v>45657</v>
      </c>
      <c r="D7393" t="inlineStr">
        <is>
          <t>VÄSTERNORRLANDS LÄN</t>
        </is>
      </c>
      <c r="E7393" t="inlineStr">
        <is>
          <t>HÄRNÖSAND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56165-2022</t>
        </is>
      </c>
      <c r="B7394" s="1" t="n">
        <v>44889</v>
      </c>
      <c r="C7394" s="1" t="n">
        <v>45657</v>
      </c>
      <c r="D7394" t="inlineStr">
        <is>
          <t>VÄSTERNORRLANDS LÄN</t>
        </is>
      </c>
      <c r="E7394" t="inlineStr">
        <is>
          <t>HÄRNÖSAND</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56170-2022</t>
        </is>
      </c>
      <c r="B7395" s="1" t="n">
        <v>44889</v>
      </c>
      <c r="C7395" s="1" t="n">
        <v>45657</v>
      </c>
      <c r="D7395" t="inlineStr">
        <is>
          <t>VÄSTERNORRLANDS LÄN</t>
        </is>
      </c>
      <c r="E7395" t="inlineStr">
        <is>
          <t>TIMRÅ</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56178-2022</t>
        </is>
      </c>
      <c r="B7396" s="1" t="n">
        <v>44889</v>
      </c>
      <c r="C7396" s="1" t="n">
        <v>45657</v>
      </c>
      <c r="D7396" t="inlineStr">
        <is>
          <t>VÄSTERNORRLANDS LÄN</t>
        </is>
      </c>
      <c r="E7396" t="inlineStr">
        <is>
          <t>SUNDSVALL</t>
        </is>
      </c>
      <c r="F7396" t="inlineStr">
        <is>
          <t>SCA</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56177-2022</t>
        </is>
      </c>
      <c r="B7397" s="1" t="n">
        <v>44889</v>
      </c>
      <c r="C7397" s="1" t="n">
        <v>45657</v>
      </c>
      <c r="D7397" t="inlineStr">
        <is>
          <t>VÄSTERNORRLANDS LÄN</t>
        </is>
      </c>
      <c r="E7397" t="inlineStr">
        <is>
          <t>HÄRNÖSAND</t>
        </is>
      </c>
      <c r="F7397" t="inlineStr">
        <is>
          <t>SCA</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56175-2022</t>
        </is>
      </c>
      <c r="B7398" s="1" t="n">
        <v>44889</v>
      </c>
      <c r="C7398" s="1" t="n">
        <v>45657</v>
      </c>
      <c r="D7398" t="inlineStr">
        <is>
          <t>VÄSTERNORRLANDS LÄN</t>
        </is>
      </c>
      <c r="E7398" t="inlineStr">
        <is>
          <t>SOLLEFTEÅ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56184-2022</t>
        </is>
      </c>
      <c r="B7399" s="1" t="n">
        <v>44889</v>
      </c>
      <c r="C7399" s="1" t="n">
        <v>45657</v>
      </c>
      <c r="D7399" t="inlineStr">
        <is>
          <t>VÄSTERNORRLANDS LÄN</t>
        </is>
      </c>
      <c r="E7399" t="inlineStr">
        <is>
          <t>SOLLEFTEÅ</t>
        </is>
      </c>
      <c r="F7399" t="inlineStr">
        <is>
          <t>SCA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56189-2022</t>
        </is>
      </c>
      <c r="B7400" s="1" t="n">
        <v>44889</v>
      </c>
      <c r="C7400" s="1" t="n">
        <v>45657</v>
      </c>
      <c r="D7400" t="inlineStr">
        <is>
          <t>VÄSTERNORRLANDS LÄN</t>
        </is>
      </c>
      <c r="E7400" t="inlineStr">
        <is>
          <t>ÖRNSKÖLDSVIK</t>
        </is>
      </c>
      <c r="F7400" t="inlineStr">
        <is>
          <t>SCA</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57403-2022</t>
        </is>
      </c>
      <c r="B7401" s="1" t="n">
        <v>44889</v>
      </c>
      <c r="C7401" s="1" t="n">
        <v>45657</v>
      </c>
      <c r="D7401" t="inlineStr">
        <is>
          <t>VÄSTERNORRLANDS LÄN</t>
        </is>
      </c>
      <c r="E7401" t="inlineStr">
        <is>
          <t>TIMRÅ</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57380-2022</t>
        </is>
      </c>
      <c r="B7402" s="1" t="n">
        <v>44889</v>
      </c>
      <c r="C7402" s="1" t="n">
        <v>45657</v>
      </c>
      <c r="D7402" t="inlineStr">
        <is>
          <t>VÄSTERNORRLANDS LÄN</t>
        </is>
      </c>
      <c r="E7402" t="inlineStr">
        <is>
          <t>TIMRÅ</t>
        </is>
      </c>
      <c r="G7402" t="n">
        <v>9.300000000000001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55937-2022</t>
        </is>
      </c>
      <c r="B7403" s="1" t="n">
        <v>44889</v>
      </c>
      <c r="C7403" s="1" t="n">
        <v>45657</v>
      </c>
      <c r="D7403" t="inlineStr">
        <is>
          <t>VÄSTERNORRLANDS LÄN</t>
        </is>
      </c>
      <c r="E7403" t="inlineStr">
        <is>
          <t>ÖRNSKÖLDSVIK</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55916-2022</t>
        </is>
      </c>
      <c r="B7404" s="1" t="n">
        <v>44889</v>
      </c>
      <c r="C7404" s="1" t="n">
        <v>45657</v>
      </c>
      <c r="D7404" t="inlineStr">
        <is>
          <t>VÄSTERNORRLANDS LÄN</t>
        </is>
      </c>
      <c r="E7404" t="inlineStr">
        <is>
          <t>ÖRNSKÖLDSVIK</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55911-2022</t>
        </is>
      </c>
      <c r="B7405" s="1" t="n">
        <v>44889</v>
      </c>
      <c r="C7405" s="1" t="n">
        <v>45657</v>
      </c>
      <c r="D7405" t="inlineStr">
        <is>
          <t>VÄSTERNORRLANDS LÄN</t>
        </is>
      </c>
      <c r="E7405" t="inlineStr">
        <is>
          <t>ÖRNSKÖLDSVIK</t>
        </is>
      </c>
      <c r="F7405" t="inlineStr">
        <is>
          <t>Holmen skog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55915-2022</t>
        </is>
      </c>
      <c r="B7406" s="1" t="n">
        <v>44889</v>
      </c>
      <c r="C7406" s="1" t="n">
        <v>45657</v>
      </c>
      <c r="D7406" t="inlineStr">
        <is>
          <t>VÄSTERNORRLANDS LÄN</t>
        </is>
      </c>
      <c r="E7406" t="inlineStr">
        <is>
          <t>ÖRNSKÖLDSVIK</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55942-2022</t>
        </is>
      </c>
      <c r="B7407" s="1" t="n">
        <v>44889</v>
      </c>
      <c r="C7407" s="1" t="n">
        <v>45657</v>
      </c>
      <c r="D7407" t="inlineStr">
        <is>
          <t>VÄSTERNORRLANDS LÄN</t>
        </is>
      </c>
      <c r="E7407" t="inlineStr">
        <is>
          <t>ÖRNSKÖLDSVIK</t>
        </is>
      </c>
      <c r="F7407" t="inlineStr">
        <is>
          <t>Holmen skog AB</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55913-2022</t>
        </is>
      </c>
      <c r="B7408" s="1" t="n">
        <v>44889</v>
      </c>
      <c r="C7408" s="1" t="n">
        <v>45657</v>
      </c>
      <c r="D7408" t="inlineStr">
        <is>
          <t>VÄSTERNORRLANDS LÄN</t>
        </is>
      </c>
      <c r="E7408" t="inlineStr">
        <is>
          <t>ÖRNSKÖLDSVIK</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55934-2022</t>
        </is>
      </c>
      <c r="B7409" s="1" t="n">
        <v>44889</v>
      </c>
      <c r="C7409" s="1" t="n">
        <v>45657</v>
      </c>
      <c r="D7409" t="inlineStr">
        <is>
          <t>VÄSTERNORRLANDS LÄN</t>
        </is>
      </c>
      <c r="E7409" t="inlineStr">
        <is>
          <t>ÅNGE</t>
        </is>
      </c>
      <c r="F7409" t="inlineStr">
        <is>
          <t>Holmen skog AB</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56395-2022</t>
        </is>
      </c>
      <c r="B7410" s="1" t="n">
        <v>44890</v>
      </c>
      <c r="C7410" s="1" t="n">
        <v>45657</v>
      </c>
      <c r="D7410" t="inlineStr">
        <is>
          <t>VÄSTERNORRLANDS LÄN</t>
        </is>
      </c>
      <c r="E7410" t="inlineStr">
        <is>
          <t>HÄRNÖSAND</t>
        </is>
      </c>
      <c r="F7410" t="inlineStr">
        <is>
          <t>Kyrkan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56399-2022</t>
        </is>
      </c>
      <c r="B7411" s="1" t="n">
        <v>44890</v>
      </c>
      <c r="C7411" s="1" t="n">
        <v>45657</v>
      </c>
      <c r="D7411" t="inlineStr">
        <is>
          <t>VÄSTERNORRLANDS LÄN</t>
        </is>
      </c>
      <c r="E7411" t="inlineStr">
        <is>
          <t>ÅNGE</t>
        </is>
      </c>
      <c r="F7411" t="inlineStr">
        <is>
          <t>SCA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56403-2022</t>
        </is>
      </c>
      <c r="B7412" s="1" t="n">
        <v>44890</v>
      </c>
      <c r="C7412" s="1" t="n">
        <v>45657</v>
      </c>
      <c r="D7412" t="inlineStr">
        <is>
          <t>VÄSTERNORRLANDS LÄN</t>
        </is>
      </c>
      <c r="E7412" t="inlineStr">
        <is>
          <t>ÅNGE</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56400-2022</t>
        </is>
      </c>
      <c r="B7413" s="1" t="n">
        <v>44890</v>
      </c>
      <c r="C7413" s="1" t="n">
        <v>45657</v>
      </c>
      <c r="D7413" t="inlineStr">
        <is>
          <t>VÄSTERNORRLANDS LÄN</t>
        </is>
      </c>
      <c r="E7413" t="inlineStr">
        <is>
          <t>ÅNGE</t>
        </is>
      </c>
      <c r="F7413" t="inlineStr">
        <is>
          <t>SCA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56348-2022</t>
        </is>
      </c>
      <c r="B7414" s="1" t="n">
        <v>44890</v>
      </c>
      <c r="C7414" s="1" t="n">
        <v>45657</v>
      </c>
      <c r="D7414" t="inlineStr">
        <is>
          <t>VÄSTERNORRLANDS LÄN</t>
        </is>
      </c>
      <c r="E7414" t="inlineStr">
        <is>
          <t>ÖRNSKÖLDSVIK</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56397-2022</t>
        </is>
      </c>
      <c r="B7415" s="1" t="n">
        <v>44890</v>
      </c>
      <c r="C7415" s="1" t="n">
        <v>45657</v>
      </c>
      <c r="D7415" t="inlineStr">
        <is>
          <t>VÄSTERNORRLANDS LÄN</t>
        </is>
      </c>
      <c r="E7415" t="inlineStr">
        <is>
          <t>ÖRNSKÖLDSVIK</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56401-2022</t>
        </is>
      </c>
      <c r="B7416" s="1" t="n">
        <v>44890</v>
      </c>
      <c r="C7416" s="1" t="n">
        <v>45657</v>
      </c>
      <c r="D7416" t="inlineStr">
        <is>
          <t>VÄSTERNORRLANDS LÄN</t>
        </is>
      </c>
      <c r="E7416" t="inlineStr">
        <is>
          <t>ÅNGE</t>
        </is>
      </c>
      <c r="F7416" t="inlineStr">
        <is>
          <t>SCA</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56410-2022</t>
        </is>
      </c>
      <c r="B7417" s="1" t="n">
        <v>44890</v>
      </c>
      <c r="C7417" s="1" t="n">
        <v>45657</v>
      </c>
      <c r="D7417" t="inlineStr">
        <is>
          <t>VÄSTERNORRLANDS LÄN</t>
        </is>
      </c>
      <c r="E7417" t="inlineStr">
        <is>
          <t>TIMRÅ</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56417-2022</t>
        </is>
      </c>
      <c r="B7418" s="1" t="n">
        <v>44890</v>
      </c>
      <c r="C7418" s="1" t="n">
        <v>45657</v>
      </c>
      <c r="D7418" t="inlineStr">
        <is>
          <t>VÄSTERNORRLANDS LÄN</t>
        </is>
      </c>
      <c r="E7418" t="inlineStr">
        <is>
          <t>SUNDSVALL</t>
        </is>
      </c>
      <c r="F7418" t="inlineStr">
        <is>
          <t>SCA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56420-2022</t>
        </is>
      </c>
      <c r="B7419" s="1" t="n">
        <v>44890</v>
      </c>
      <c r="C7419" s="1" t="n">
        <v>45657</v>
      </c>
      <c r="D7419" t="inlineStr">
        <is>
          <t>VÄSTERNORRLANDS LÄN</t>
        </is>
      </c>
      <c r="E7419" t="inlineStr">
        <is>
          <t>SUNDSVALL</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56591-2022</t>
        </is>
      </c>
      <c r="B7420" s="1" t="n">
        <v>44893</v>
      </c>
      <c r="C7420" s="1" t="n">
        <v>45657</v>
      </c>
      <c r="D7420" t="inlineStr">
        <is>
          <t>VÄSTERNORRLANDS LÄN</t>
        </is>
      </c>
      <c r="E7420" t="inlineStr">
        <is>
          <t>ÅNGE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56694-2022</t>
        </is>
      </c>
      <c r="B7421" s="1" t="n">
        <v>44893</v>
      </c>
      <c r="C7421" s="1" t="n">
        <v>45657</v>
      </c>
      <c r="D7421" t="inlineStr">
        <is>
          <t>VÄSTERNORRLANDS LÄN</t>
        </is>
      </c>
      <c r="E7421" t="inlineStr">
        <is>
          <t>ÖRNSKÖLDSVIK</t>
        </is>
      </c>
      <c r="F7421" t="inlineStr">
        <is>
          <t>Holmen skog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56467-2022</t>
        </is>
      </c>
      <c r="B7422" s="1" t="n">
        <v>44893</v>
      </c>
      <c r="C7422" s="1" t="n">
        <v>45657</v>
      </c>
      <c r="D7422" t="inlineStr">
        <is>
          <t>VÄSTERNORRLANDS LÄN</t>
        </is>
      </c>
      <c r="E7422" t="inlineStr">
        <is>
          <t>ÖRNSKÖLDSVIK</t>
        </is>
      </c>
      <c r="F7422" t="inlineStr">
        <is>
          <t>Holmen skog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56492-2022</t>
        </is>
      </c>
      <c r="B7423" s="1" t="n">
        <v>44893</v>
      </c>
      <c r="C7423" s="1" t="n">
        <v>45657</v>
      </c>
      <c r="D7423" t="inlineStr">
        <is>
          <t>VÄSTERNORRLANDS LÄN</t>
        </is>
      </c>
      <c r="E7423" t="inlineStr">
        <is>
          <t>ÖRNSKÖLDSVIK</t>
        </is>
      </c>
      <c r="F7423" t="inlineStr">
        <is>
          <t>Holmen skog AB</t>
        </is>
      </c>
      <c r="G7423" t="n">
        <v>8.300000000000001</v>
      </c>
      <c r="H7423" t="n">
        <v>0</v>
      </c>
      <c r="I7423" t="n">
        <v>0</v>
      </c>
      <c r="J7423" t="n">
        <v>0</v>
      </c>
      <c r="K7423" t="n">
        <v>0</v>
      </c>
      <c r="L7423" t="n">
        <v>0</v>
      </c>
      <c r="M7423" t="n">
        <v>0</v>
      </c>
      <c r="N7423" t="n">
        <v>0</v>
      </c>
      <c r="O7423" t="n">
        <v>0</v>
      </c>
      <c r="P7423" t="n">
        <v>0</v>
      </c>
      <c r="Q7423" t="n">
        <v>0</v>
      </c>
      <c r="R7423" s="2" t="inlineStr"/>
      <c r="U7423">
        <f>HYPERLINK("https://klasma.github.io/Logging_2284/knärot/A 56492-2022 karta knärot.png", "A 56492-2022")</f>
        <v/>
      </c>
      <c r="V7423">
        <f>HYPERLINK("https://klasma.github.io/Logging_2284/klagomål/A 56492-2022 FSC-klagomål.docx", "A 56492-2022")</f>
        <v/>
      </c>
      <c r="W7423">
        <f>HYPERLINK("https://klasma.github.io/Logging_2284/klagomålsmail/A 56492-2022 FSC-klagomål mail.docx", "A 56492-2022")</f>
        <v/>
      </c>
      <c r="X7423">
        <f>HYPERLINK("https://klasma.github.io/Logging_2284/tillsyn/A 56492-2022 tillsynsbegäran.docx", "A 56492-2022")</f>
        <v/>
      </c>
      <c r="Y7423">
        <f>HYPERLINK("https://klasma.github.io/Logging_2284/tillsynsmail/A 56492-2022 tillsynsbegäran mail.docx", "A 56492-2022")</f>
        <v/>
      </c>
    </row>
    <row r="7424" ht="15" customHeight="1">
      <c r="A7424" t="inlineStr">
        <is>
          <t>A 56657-2022</t>
        </is>
      </c>
      <c r="B7424" s="1" t="n">
        <v>44893</v>
      </c>
      <c r="C7424" s="1" t="n">
        <v>45657</v>
      </c>
      <c r="D7424" t="inlineStr">
        <is>
          <t>VÄSTERNORRLANDS LÄN</t>
        </is>
      </c>
      <c r="E7424" t="inlineStr">
        <is>
          <t>ÖRNSKÖLDSVIK</t>
        </is>
      </c>
      <c r="F7424" t="inlineStr">
        <is>
          <t>Holmen skog AB</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56662-2022</t>
        </is>
      </c>
      <c r="B7425" s="1" t="n">
        <v>44893</v>
      </c>
      <c r="C7425" s="1" t="n">
        <v>45657</v>
      </c>
      <c r="D7425" t="inlineStr">
        <is>
          <t>VÄSTERNORRLANDS LÄN</t>
        </is>
      </c>
      <c r="E7425" t="inlineStr">
        <is>
          <t>ÖRNSKÖLDSVIK</t>
        </is>
      </c>
      <c r="F7425" t="inlineStr">
        <is>
          <t>Holmen skog AB</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56723-2022</t>
        </is>
      </c>
      <c r="B7426" s="1" t="n">
        <v>44893</v>
      </c>
      <c r="C7426" s="1" t="n">
        <v>45657</v>
      </c>
      <c r="D7426" t="inlineStr">
        <is>
          <t>VÄSTERNORRLANDS LÄN</t>
        </is>
      </c>
      <c r="E7426" t="inlineStr">
        <is>
          <t>TIMRÅ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56636-2022</t>
        </is>
      </c>
      <c r="B7427" s="1" t="n">
        <v>44893</v>
      </c>
      <c r="C7427" s="1" t="n">
        <v>45657</v>
      </c>
      <c r="D7427" t="inlineStr">
        <is>
          <t>VÄSTERNORRLANDS LÄN</t>
        </is>
      </c>
      <c r="E7427" t="inlineStr">
        <is>
          <t>ÖRNSKÖLDSVIK</t>
        </is>
      </c>
      <c r="F7427" t="inlineStr">
        <is>
          <t>Holmen skog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56658-2022</t>
        </is>
      </c>
      <c r="B7428" s="1" t="n">
        <v>44893</v>
      </c>
      <c r="C7428" s="1" t="n">
        <v>45657</v>
      </c>
      <c r="D7428" t="inlineStr">
        <is>
          <t>VÄSTERNORRLANDS LÄN</t>
        </is>
      </c>
      <c r="E7428" t="inlineStr">
        <is>
          <t>ÖRNSKÖLDSVIK</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56666-2022</t>
        </is>
      </c>
      <c r="B7429" s="1" t="n">
        <v>44893</v>
      </c>
      <c r="C7429" s="1" t="n">
        <v>45657</v>
      </c>
      <c r="D7429" t="inlineStr">
        <is>
          <t>VÄSTERNORRLANDS LÄN</t>
        </is>
      </c>
      <c r="E7429" t="inlineStr">
        <is>
          <t>ÅNGE</t>
        </is>
      </c>
      <c r="F7429" t="inlineStr">
        <is>
          <t>Holmen skog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56544-2022</t>
        </is>
      </c>
      <c r="B7430" s="1" t="n">
        <v>44893</v>
      </c>
      <c r="C7430" s="1" t="n">
        <v>45657</v>
      </c>
      <c r="D7430" t="inlineStr">
        <is>
          <t>VÄSTERNORRLANDS LÄN</t>
        </is>
      </c>
      <c r="E7430" t="inlineStr">
        <is>
          <t>SOLLEFTEÅ</t>
        </is>
      </c>
      <c r="F7430" t="inlineStr">
        <is>
          <t>Holmen skog AB</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56731-2022</t>
        </is>
      </c>
      <c r="B7431" s="1" t="n">
        <v>44893</v>
      </c>
      <c r="C7431" s="1" t="n">
        <v>45657</v>
      </c>
      <c r="D7431" t="inlineStr">
        <is>
          <t>VÄSTERNORRLANDS LÄN</t>
        </is>
      </c>
      <c r="E7431" t="inlineStr">
        <is>
          <t>ÅNGE</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56695-2022</t>
        </is>
      </c>
      <c r="B7432" s="1" t="n">
        <v>44893</v>
      </c>
      <c r="C7432" s="1" t="n">
        <v>45657</v>
      </c>
      <c r="D7432" t="inlineStr">
        <is>
          <t>VÄSTERNORRLANDS LÄN</t>
        </is>
      </c>
      <c r="E7432" t="inlineStr">
        <is>
          <t>ÖRNSKÖLDSVIK</t>
        </is>
      </c>
      <c r="F7432" t="inlineStr">
        <is>
          <t>Holmen skog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58057-2022</t>
        </is>
      </c>
      <c r="B7433" s="1" t="n">
        <v>44893</v>
      </c>
      <c r="C7433" s="1" t="n">
        <v>45657</v>
      </c>
      <c r="D7433" t="inlineStr">
        <is>
          <t>VÄSTERNORRLANDS LÄN</t>
        </is>
      </c>
      <c r="E7433" t="inlineStr">
        <is>
          <t>ÖRNSKÖLDSVIK</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58065-2022</t>
        </is>
      </c>
      <c r="B7434" s="1" t="n">
        <v>44893</v>
      </c>
      <c r="C7434" s="1" t="n">
        <v>45657</v>
      </c>
      <c r="D7434" t="inlineStr">
        <is>
          <t>VÄSTERNORRLANDS LÄN</t>
        </is>
      </c>
      <c r="E7434" t="inlineStr">
        <is>
          <t>ÖRNSKÖLDSVIK</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58060-2022</t>
        </is>
      </c>
      <c r="B7435" s="1" t="n">
        <v>44893</v>
      </c>
      <c r="C7435" s="1" t="n">
        <v>45657</v>
      </c>
      <c r="D7435" t="inlineStr">
        <is>
          <t>VÄSTERNORRLANDS LÄN</t>
        </is>
      </c>
      <c r="E7435" t="inlineStr">
        <is>
          <t>ÖRNSKÖLDSVIK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58218-2022</t>
        </is>
      </c>
      <c r="B7436" s="1" t="n">
        <v>44893</v>
      </c>
      <c r="C7436" s="1" t="n">
        <v>45657</v>
      </c>
      <c r="D7436" t="inlineStr">
        <is>
          <t>VÄSTERNORRLANDS LÄN</t>
        </is>
      </c>
      <c r="E7436" t="inlineStr">
        <is>
          <t>SUNDSVALL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56756-2022</t>
        </is>
      </c>
      <c r="B7437" s="1" t="n">
        <v>44894</v>
      </c>
      <c r="C7437" s="1" t="n">
        <v>45657</v>
      </c>
      <c r="D7437" t="inlineStr">
        <is>
          <t>VÄSTERNORRLANDS LÄN</t>
        </is>
      </c>
      <c r="E7437" t="inlineStr">
        <is>
          <t>ÖRNSKÖLDSVIK</t>
        </is>
      </c>
      <c r="F7437" t="inlineStr">
        <is>
          <t>Holmen skog AB</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56769-2022</t>
        </is>
      </c>
      <c r="B7438" s="1" t="n">
        <v>44894</v>
      </c>
      <c r="C7438" s="1" t="n">
        <v>45657</v>
      </c>
      <c r="D7438" t="inlineStr">
        <is>
          <t>VÄSTERNORRLANDS LÄN</t>
        </is>
      </c>
      <c r="E7438" t="inlineStr">
        <is>
          <t>KRAMFORS</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56775-2022</t>
        </is>
      </c>
      <c r="B7439" s="1" t="n">
        <v>44894</v>
      </c>
      <c r="C7439" s="1" t="n">
        <v>45657</v>
      </c>
      <c r="D7439" t="inlineStr">
        <is>
          <t>VÄSTERNORRLANDS LÄN</t>
        </is>
      </c>
      <c r="E7439" t="inlineStr">
        <is>
          <t>ÅNGE</t>
        </is>
      </c>
      <c r="F7439" t="inlineStr">
        <is>
          <t>Holmen skog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56946-2022</t>
        </is>
      </c>
      <c r="B7440" s="1" t="n">
        <v>44894</v>
      </c>
      <c r="C7440" s="1" t="n">
        <v>45657</v>
      </c>
      <c r="D7440" t="inlineStr">
        <is>
          <t>VÄSTERNORRLANDS LÄN</t>
        </is>
      </c>
      <c r="E7440" t="inlineStr">
        <is>
          <t>ÅNGE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56998-2022</t>
        </is>
      </c>
      <c r="B7441" s="1" t="n">
        <v>44894</v>
      </c>
      <c r="C7441" s="1" t="n">
        <v>45657</v>
      </c>
      <c r="D7441" t="inlineStr">
        <is>
          <t>VÄSTERNORRLANDS LÄN</t>
        </is>
      </c>
      <c r="E7441" t="inlineStr">
        <is>
          <t>HÄRNÖSAND</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56753-2022</t>
        </is>
      </c>
      <c r="B7442" s="1" t="n">
        <v>44894</v>
      </c>
      <c r="C7442" s="1" t="n">
        <v>45657</v>
      </c>
      <c r="D7442" t="inlineStr">
        <is>
          <t>VÄSTERNORRLANDS LÄN</t>
        </is>
      </c>
      <c r="E7442" t="inlineStr">
        <is>
          <t>KRAMFORS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56816-2022</t>
        </is>
      </c>
      <c r="B7443" s="1" t="n">
        <v>44894</v>
      </c>
      <c r="C7443" s="1" t="n">
        <v>45657</v>
      </c>
      <c r="D7443" t="inlineStr">
        <is>
          <t>VÄSTERNORRLANDS LÄN</t>
        </is>
      </c>
      <c r="E7443" t="inlineStr">
        <is>
          <t>ÖRNSKÖLDSVIK</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56974-2022</t>
        </is>
      </c>
      <c r="B7444" s="1" t="n">
        <v>44894</v>
      </c>
      <c r="C7444" s="1" t="n">
        <v>45657</v>
      </c>
      <c r="D7444" t="inlineStr">
        <is>
          <t>VÄSTERNORRLANDS LÄN</t>
        </is>
      </c>
      <c r="E7444" t="inlineStr">
        <is>
          <t>ÖRNSKÖLDSVIK</t>
        </is>
      </c>
      <c r="F7444" t="inlineStr">
        <is>
          <t>Holmen skog AB</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57007-2022</t>
        </is>
      </c>
      <c r="B7445" s="1" t="n">
        <v>44894</v>
      </c>
      <c r="C7445" s="1" t="n">
        <v>45657</v>
      </c>
      <c r="D7445" t="inlineStr">
        <is>
          <t>VÄSTERNORRLANDS LÄN</t>
        </is>
      </c>
      <c r="E7445" t="inlineStr">
        <is>
          <t>SUNDSVALL</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56951-2022</t>
        </is>
      </c>
      <c r="B7446" s="1" t="n">
        <v>44894</v>
      </c>
      <c r="C7446" s="1" t="n">
        <v>45657</v>
      </c>
      <c r="D7446" t="inlineStr">
        <is>
          <t>VÄSTERNORRLANDS LÄN</t>
        </is>
      </c>
      <c r="E7446" t="inlineStr">
        <is>
          <t>ÖRNSKÖLDSVIK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56956-2022</t>
        </is>
      </c>
      <c r="B7447" s="1" t="n">
        <v>44894</v>
      </c>
      <c r="C7447" s="1" t="n">
        <v>45657</v>
      </c>
      <c r="D7447" t="inlineStr">
        <is>
          <t>VÄSTERNORRLANDS LÄN</t>
        </is>
      </c>
      <c r="E7447" t="inlineStr">
        <is>
          <t>ÅNGE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56975-2022</t>
        </is>
      </c>
      <c r="B7448" s="1" t="n">
        <v>44894</v>
      </c>
      <c r="C7448" s="1" t="n">
        <v>45657</v>
      </c>
      <c r="D7448" t="inlineStr">
        <is>
          <t>VÄSTERNORRLANDS LÄN</t>
        </is>
      </c>
      <c r="E7448" t="inlineStr">
        <is>
          <t>ÖRNSKÖLDSVIK</t>
        </is>
      </c>
      <c r="F7448" t="inlineStr">
        <is>
          <t>Holmen skog AB</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56996-2022</t>
        </is>
      </c>
      <c r="B7449" s="1" t="n">
        <v>44894</v>
      </c>
      <c r="C7449" s="1" t="n">
        <v>45657</v>
      </c>
      <c r="D7449" t="inlineStr">
        <is>
          <t>VÄSTERNORRLANDS LÄN</t>
        </is>
      </c>
      <c r="E7449" t="inlineStr">
        <is>
          <t>KRAMFORS</t>
        </is>
      </c>
      <c r="G7449" t="n">
        <v>13.8</v>
      </c>
      <c r="H7449" t="n">
        <v>0</v>
      </c>
      <c r="I7449" t="n">
        <v>0</v>
      </c>
      <c r="J7449" t="n">
        <v>0</v>
      </c>
      <c r="K7449" t="n">
        <v>0</v>
      </c>
      <c r="L7449" t="n">
        <v>0</v>
      </c>
      <c r="M7449" t="n">
        <v>0</v>
      </c>
      <c r="N7449" t="n">
        <v>0</v>
      </c>
      <c r="O7449" t="n">
        <v>0</v>
      </c>
      <c r="P7449" t="n">
        <v>0</v>
      </c>
      <c r="Q7449" t="n">
        <v>0</v>
      </c>
      <c r="R7449" s="2" t="inlineStr"/>
    </row>
    <row r="7450" ht="15" customHeight="1">
      <c r="A7450" t="inlineStr">
        <is>
          <t>A 57019-2022</t>
        </is>
      </c>
      <c r="B7450" s="1" t="n">
        <v>44895</v>
      </c>
      <c r="C7450" s="1" t="n">
        <v>45657</v>
      </c>
      <c r="D7450" t="inlineStr">
        <is>
          <t>VÄSTERNORRLANDS LÄN</t>
        </is>
      </c>
      <c r="E7450" t="inlineStr">
        <is>
          <t>SOLLEFTEÅ</t>
        </is>
      </c>
      <c r="F7450" t="inlineStr">
        <is>
          <t>SCA</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58588-2022</t>
        </is>
      </c>
      <c r="B7451" s="1" t="n">
        <v>44894</v>
      </c>
      <c r="C7451" s="1" t="n">
        <v>45657</v>
      </c>
      <c r="D7451" t="inlineStr">
        <is>
          <t>VÄSTERNORRLANDS LÄN</t>
        </is>
      </c>
      <c r="E7451" t="inlineStr">
        <is>
          <t>HÄRNÖSAND</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57020-2022</t>
        </is>
      </c>
      <c r="B7452" s="1" t="n">
        <v>44895</v>
      </c>
      <c r="C7452" s="1" t="n">
        <v>45657</v>
      </c>
      <c r="D7452" t="inlineStr">
        <is>
          <t>VÄSTERNORRLANDS LÄN</t>
        </is>
      </c>
      <c r="E7452" t="inlineStr">
        <is>
          <t>SOLLEFTEÅ</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57117-2022</t>
        </is>
      </c>
      <c r="B7453" s="1" t="n">
        <v>44895</v>
      </c>
      <c r="C7453" s="1" t="n">
        <v>45657</v>
      </c>
      <c r="D7453" t="inlineStr">
        <is>
          <t>VÄSTERNORRLANDS LÄN</t>
        </is>
      </c>
      <c r="E7453" t="inlineStr">
        <is>
          <t>ÖRNSKÖLDSVIK</t>
        </is>
      </c>
      <c r="F7453" t="inlineStr">
        <is>
          <t>Holmen skog AB</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57169-2022</t>
        </is>
      </c>
      <c r="B7454" s="1" t="n">
        <v>44895</v>
      </c>
      <c r="C7454" s="1" t="n">
        <v>45657</v>
      </c>
      <c r="D7454" t="inlineStr">
        <is>
          <t>VÄSTERNORRLANDS LÄN</t>
        </is>
      </c>
      <c r="E7454" t="inlineStr">
        <is>
          <t>ÖRNSKÖLDSVIK</t>
        </is>
      </c>
      <c r="F7454" t="inlineStr">
        <is>
          <t>Holmen skog AB</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57282-2022</t>
        </is>
      </c>
      <c r="B7455" s="1" t="n">
        <v>44895</v>
      </c>
      <c r="C7455" s="1" t="n">
        <v>45657</v>
      </c>
      <c r="D7455" t="inlineStr">
        <is>
          <t>VÄSTERNORRLANDS LÄN</t>
        </is>
      </c>
      <c r="E7455" t="inlineStr">
        <is>
          <t>SOLLEFTEÅ</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57289-2022</t>
        </is>
      </c>
      <c r="B7456" s="1" t="n">
        <v>44895</v>
      </c>
      <c r="C7456" s="1" t="n">
        <v>45657</v>
      </c>
      <c r="D7456" t="inlineStr">
        <is>
          <t>VÄSTERNORRLANDS LÄN</t>
        </is>
      </c>
      <c r="E7456" t="inlineStr">
        <is>
          <t>ÅNGE</t>
        </is>
      </c>
      <c r="F7456" t="inlineStr">
        <is>
          <t>SCA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57250-2022</t>
        </is>
      </c>
      <c r="B7457" s="1" t="n">
        <v>44895</v>
      </c>
      <c r="C7457" s="1" t="n">
        <v>45657</v>
      </c>
      <c r="D7457" t="inlineStr">
        <is>
          <t>VÄSTERNORRLANDS LÄN</t>
        </is>
      </c>
      <c r="E7457" t="inlineStr">
        <is>
          <t>ÅNGE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57268-2022</t>
        </is>
      </c>
      <c r="B7458" s="1" t="n">
        <v>44895</v>
      </c>
      <c r="C7458" s="1" t="n">
        <v>45657</v>
      </c>
      <c r="D7458" t="inlineStr">
        <is>
          <t>VÄSTERNORRLANDS LÄN</t>
        </is>
      </c>
      <c r="E7458" t="inlineStr">
        <is>
          <t>TIMRÅ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57287-2022</t>
        </is>
      </c>
      <c r="B7459" s="1" t="n">
        <v>44895</v>
      </c>
      <c r="C7459" s="1" t="n">
        <v>45657</v>
      </c>
      <c r="D7459" t="inlineStr">
        <is>
          <t>VÄSTERNORRLANDS LÄN</t>
        </is>
      </c>
      <c r="E7459" t="inlineStr">
        <is>
          <t>ÅNGE</t>
        </is>
      </c>
      <c r="F7459" t="inlineStr">
        <is>
          <t>SCA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57273-2022</t>
        </is>
      </c>
      <c r="B7460" s="1" t="n">
        <v>44895</v>
      </c>
      <c r="C7460" s="1" t="n">
        <v>45657</v>
      </c>
      <c r="D7460" t="inlineStr">
        <is>
          <t>VÄSTERNORRLANDS LÄN</t>
        </is>
      </c>
      <c r="E7460" t="inlineStr">
        <is>
          <t>SOLLEFTEÅ</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57286-2022</t>
        </is>
      </c>
      <c r="B7461" s="1" t="n">
        <v>44895</v>
      </c>
      <c r="C7461" s="1" t="n">
        <v>45657</v>
      </c>
      <c r="D7461" t="inlineStr">
        <is>
          <t>VÄSTERNORRLANDS LÄN</t>
        </is>
      </c>
      <c r="E7461" t="inlineStr">
        <is>
          <t>ÅNGE</t>
        </is>
      </c>
      <c r="F7461" t="inlineStr">
        <is>
          <t>SCA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57291-2022</t>
        </is>
      </c>
      <c r="B7462" s="1" t="n">
        <v>44895</v>
      </c>
      <c r="C7462" s="1" t="n">
        <v>45657</v>
      </c>
      <c r="D7462" t="inlineStr">
        <is>
          <t>VÄSTERNORRLANDS LÄN</t>
        </is>
      </c>
      <c r="E7462" t="inlineStr">
        <is>
          <t>ÅNGE</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57288-2022</t>
        </is>
      </c>
      <c r="B7463" s="1" t="n">
        <v>44895</v>
      </c>
      <c r="C7463" s="1" t="n">
        <v>45657</v>
      </c>
      <c r="D7463" t="inlineStr">
        <is>
          <t>VÄSTERNORRLANDS LÄN</t>
        </is>
      </c>
      <c r="E7463" t="inlineStr">
        <is>
          <t>ÅNGE</t>
        </is>
      </c>
      <c r="F7463" t="inlineStr">
        <is>
          <t>SCA</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58643-2022</t>
        </is>
      </c>
      <c r="B7464" s="1" t="n">
        <v>44895</v>
      </c>
      <c r="C7464" s="1" t="n">
        <v>45657</v>
      </c>
      <c r="D7464" t="inlineStr">
        <is>
          <t>VÄSTERNORRLANDS LÄN</t>
        </is>
      </c>
      <c r="E7464" t="inlineStr">
        <is>
          <t>SOLLEFTEÅ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58636-2022</t>
        </is>
      </c>
      <c r="B7465" s="1" t="n">
        <v>44895</v>
      </c>
      <c r="C7465" s="1" t="n">
        <v>45657</v>
      </c>
      <c r="D7465" t="inlineStr">
        <is>
          <t>VÄSTERNORRLANDS LÄN</t>
        </is>
      </c>
      <c r="E7465" t="inlineStr">
        <is>
          <t>SOLLEFTEÅ</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58646-2022</t>
        </is>
      </c>
      <c r="B7466" s="1" t="n">
        <v>44895</v>
      </c>
      <c r="C7466" s="1" t="n">
        <v>45657</v>
      </c>
      <c r="D7466" t="inlineStr">
        <is>
          <t>VÄSTERNORRLANDS LÄN</t>
        </is>
      </c>
      <c r="E7466" t="inlineStr">
        <is>
          <t>SOLLEFTEÅ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57320-2022</t>
        </is>
      </c>
      <c r="B7467" s="1" t="n">
        <v>44896</v>
      </c>
      <c r="C7467" s="1" t="n">
        <v>45657</v>
      </c>
      <c r="D7467" t="inlineStr">
        <is>
          <t>VÄSTERNORRLANDS LÄN</t>
        </is>
      </c>
      <c r="E7467" t="inlineStr">
        <is>
          <t>ÖRNSKÖLDSVIK</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57363-2022</t>
        </is>
      </c>
      <c r="B7468" s="1" t="n">
        <v>44896</v>
      </c>
      <c r="C7468" s="1" t="n">
        <v>45657</v>
      </c>
      <c r="D7468" t="inlineStr">
        <is>
          <t>VÄSTERNORRLANDS LÄN</t>
        </is>
      </c>
      <c r="E7468" t="inlineStr">
        <is>
          <t>SUNDSVALL</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57373-2022</t>
        </is>
      </c>
      <c r="B7469" s="1" t="n">
        <v>44896</v>
      </c>
      <c r="C7469" s="1" t="n">
        <v>45657</v>
      </c>
      <c r="D7469" t="inlineStr">
        <is>
          <t>VÄSTERNORRLANDS LÄN</t>
        </is>
      </c>
      <c r="E7469" t="inlineStr">
        <is>
          <t>SUNDSVALL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57428-2022</t>
        </is>
      </c>
      <c r="B7470" s="1" t="n">
        <v>44896</v>
      </c>
      <c r="C7470" s="1" t="n">
        <v>45657</v>
      </c>
      <c r="D7470" t="inlineStr">
        <is>
          <t>VÄSTERNORRLANDS LÄN</t>
        </is>
      </c>
      <c r="E7470" t="inlineStr">
        <is>
          <t>ÖRNSKÖLDSVIK</t>
        </is>
      </c>
      <c r="F7470" t="inlineStr">
        <is>
          <t>Holmen skog AB</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57498-2022</t>
        </is>
      </c>
      <c r="B7471" s="1" t="n">
        <v>44896</v>
      </c>
      <c r="C7471" s="1" t="n">
        <v>45657</v>
      </c>
      <c r="D7471" t="inlineStr">
        <is>
          <t>VÄSTERNORRLANDS LÄN</t>
        </is>
      </c>
      <c r="E7471" t="inlineStr">
        <is>
          <t>ÖRNSKÖLDSVIK</t>
        </is>
      </c>
      <c r="F7471" t="inlineStr">
        <is>
          <t>Holmen skog AB</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57505-2022</t>
        </is>
      </c>
      <c r="B7472" s="1" t="n">
        <v>44896</v>
      </c>
      <c r="C7472" s="1" t="n">
        <v>45657</v>
      </c>
      <c r="D7472" t="inlineStr">
        <is>
          <t>VÄSTERNORRLANDS LÄN</t>
        </is>
      </c>
      <c r="E7472" t="inlineStr">
        <is>
          <t>ÖRNSKÖLDSVIK</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57567-2022</t>
        </is>
      </c>
      <c r="B7473" s="1" t="n">
        <v>44896</v>
      </c>
      <c r="C7473" s="1" t="n">
        <v>45657</v>
      </c>
      <c r="D7473" t="inlineStr">
        <is>
          <t>VÄSTERNORRLANDS LÄN</t>
        </is>
      </c>
      <c r="E7473" t="inlineStr">
        <is>
          <t>ÖRNSKÖLDSVIK</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57509-2022</t>
        </is>
      </c>
      <c r="B7474" s="1" t="n">
        <v>44896</v>
      </c>
      <c r="C7474" s="1" t="n">
        <v>45657</v>
      </c>
      <c r="D7474" t="inlineStr">
        <is>
          <t>VÄSTERNORRLANDS LÄN</t>
        </is>
      </c>
      <c r="E7474" t="inlineStr">
        <is>
          <t>KRAMFORS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57592-2022</t>
        </is>
      </c>
      <c r="B7475" s="1" t="n">
        <v>44897</v>
      </c>
      <c r="C7475" s="1" t="n">
        <v>45657</v>
      </c>
      <c r="D7475" t="inlineStr">
        <is>
          <t>VÄSTERNORRLANDS LÄN</t>
        </is>
      </c>
      <c r="E7475" t="inlineStr">
        <is>
          <t>ÅNGE</t>
        </is>
      </c>
      <c r="F7475" t="inlineStr">
        <is>
          <t>SCA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57596-2022</t>
        </is>
      </c>
      <c r="B7476" s="1" t="n">
        <v>44897</v>
      </c>
      <c r="C7476" s="1" t="n">
        <v>45657</v>
      </c>
      <c r="D7476" t="inlineStr">
        <is>
          <t>VÄSTERNORRLANDS LÄN</t>
        </is>
      </c>
      <c r="E7476" t="inlineStr">
        <is>
          <t>ÅNGE</t>
        </is>
      </c>
      <c r="F7476" t="inlineStr">
        <is>
          <t>SCA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57601-2022</t>
        </is>
      </c>
      <c r="B7477" s="1" t="n">
        <v>44896</v>
      </c>
      <c r="C7477" s="1" t="n">
        <v>45657</v>
      </c>
      <c r="D7477" t="inlineStr">
        <is>
          <t>VÄSTERNORRLANDS LÄN</t>
        </is>
      </c>
      <c r="E7477" t="inlineStr">
        <is>
          <t>ÅNGE</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57593-2022</t>
        </is>
      </c>
      <c r="B7478" s="1" t="n">
        <v>44897</v>
      </c>
      <c r="C7478" s="1" t="n">
        <v>45657</v>
      </c>
      <c r="D7478" t="inlineStr">
        <is>
          <t>VÄSTERNORRLANDS LÄN</t>
        </is>
      </c>
      <c r="E7478" t="inlineStr">
        <is>
          <t>ÅNGE</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57602-2022</t>
        </is>
      </c>
      <c r="B7479" s="1" t="n">
        <v>44896</v>
      </c>
      <c r="C7479" s="1" t="n">
        <v>45657</v>
      </c>
      <c r="D7479" t="inlineStr">
        <is>
          <t>VÄSTERNORRLANDS LÄN</t>
        </is>
      </c>
      <c r="E7479" t="inlineStr">
        <is>
          <t>ÅNGE</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57591-2022</t>
        </is>
      </c>
      <c r="B7480" s="1" t="n">
        <v>44897</v>
      </c>
      <c r="C7480" s="1" t="n">
        <v>45657</v>
      </c>
      <c r="D7480" t="inlineStr">
        <is>
          <t>VÄSTERNORRLANDS LÄN</t>
        </is>
      </c>
      <c r="E7480" t="inlineStr">
        <is>
          <t>ÅNGE</t>
        </is>
      </c>
      <c r="F7480" t="inlineStr">
        <is>
          <t>SCA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57595-2022</t>
        </is>
      </c>
      <c r="B7481" s="1" t="n">
        <v>44897</v>
      </c>
      <c r="C7481" s="1" t="n">
        <v>45657</v>
      </c>
      <c r="D7481" t="inlineStr">
        <is>
          <t>VÄSTERNORRLANDS LÄN</t>
        </is>
      </c>
      <c r="E7481" t="inlineStr">
        <is>
          <t>ÅNGE</t>
        </is>
      </c>
      <c r="F7481" t="inlineStr">
        <is>
          <t>SCA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57598-2022</t>
        </is>
      </c>
      <c r="B7482" s="1" t="n">
        <v>44896</v>
      </c>
      <c r="C7482" s="1" t="n">
        <v>45657</v>
      </c>
      <c r="D7482" t="inlineStr">
        <is>
          <t>VÄSTERNORRLANDS LÄN</t>
        </is>
      </c>
      <c r="E7482" t="inlineStr">
        <is>
          <t>ÅNGE</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57636-2022</t>
        </is>
      </c>
      <c r="B7483" s="1" t="n">
        <v>44897</v>
      </c>
      <c r="C7483" s="1" t="n">
        <v>45657</v>
      </c>
      <c r="D7483" t="inlineStr">
        <is>
          <t>VÄSTERNORRLANDS LÄN</t>
        </is>
      </c>
      <c r="E7483" t="inlineStr">
        <is>
          <t>ÅNGE</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57686-2022</t>
        </is>
      </c>
      <c r="B7484" s="1" t="n">
        <v>44897</v>
      </c>
      <c r="C7484" s="1" t="n">
        <v>45657</v>
      </c>
      <c r="D7484" t="inlineStr">
        <is>
          <t>VÄSTERNORRLANDS LÄN</t>
        </is>
      </c>
      <c r="E7484" t="inlineStr">
        <is>
          <t>ÖRNSKÖLDSVIK</t>
        </is>
      </c>
      <c r="F7484" t="inlineStr">
        <is>
          <t>Holmen skog AB</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57832-2022</t>
        </is>
      </c>
      <c r="B7485" s="1" t="n">
        <v>44897</v>
      </c>
      <c r="C7485" s="1" t="n">
        <v>45657</v>
      </c>
      <c r="D7485" t="inlineStr">
        <is>
          <t>VÄSTERNORRLANDS LÄN</t>
        </is>
      </c>
      <c r="E7485" t="inlineStr">
        <is>
          <t>SUNDSVALL</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57830-2022</t>
        </is>
      </c>
      <c r="B7486" s="1" t="n">
        <v>44897</v>
      </c>
      <c r="C7486" s="1" t="n">
        <v>45657</v>
      </c>
      <c r="D7486" t="inlineStr">
        <is>
          <t>VÄSTERNORRLANDS LÄN</t>
        </is>
      </c>
      <c r="E7486" t="inlineStr">
        <is>
          <t>SUNDSVALL</t>
        </is>
      </c>
      <c r="F7486" t="inlineStr">
        <is>
          <t>SCA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57838-2022</t>
        </is>
      </c>
      <c r="B7487" s="1" t="n">
        <v>44897</v>
      </c>
      <c r="C7487" s="1" t="n">
        <v>45657</v>
      </c>
      <c r="D7487" t="inlineStr">
        <is>
          <t>VÄSTERNORRLANDS LÄN</t>
        </is>
      </c>
      <c r="E7487" t="inlineStr">
        <is>
          <t>SUNDSVALL</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59079-2022</t>
        </is>
      </c>
      <c r="B7488" s="1" t="n">
        <v>44897</v>
      </c>
      <c r="C7488" s="1" t="n">
        <v>45657</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57841-2022</t>
        </is>
      </c>
      <c r="B7489" s="1" t="n">
        <v>44897</v>
      </c>
      <c r="C7489" s="1" t="n">
        <v>45657</v>
      </c>
      <c r="D7489" t="inlineStr">
        <is>
          <t>VÄSTERNORRLANDS LÄN</t>
        </is>
      </c>
      <c r="E7489" t="inlineStr">
        <is>
          <t>TIMRÅ</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57846-2022</t>
        </is>
      </c>
      <c r="B7490" s="1" t="n">
        <v>44897</v>
      </c>
      <c r="C7490" s="1" t="n">
        <v>45657</v>
      </c>
      <c r="D7490" t="inlineStr">
        <is>
          <t>VÄSTERNORRLANDS LÄN</t>
        </is>
      </c>
      <c r="E7490" t="inlineStr">
        <is>
          <t>ÅNGE</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59073-2022</t>
        </is>
      </c>
      <c r="B7491" s="1" t="n">
        <v>44897</v>
      </c>
      <c r="C7491" s="1" t="n">
        <v>45657</v>
      </c>
      <c r="D7491" t="inlineStr">
        <is>
          <t>VÄSTERNORRLANDS LÄN</t>
        </is>
      </c>
      <c r="E7491" t="inlineStr">
        <is>
          <t>HÄRNÖSAND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57828-2022</t>
        </is>
      </c>
      <c r="B7492" s="1" t="n">
        <v>44897</v>
      </c>
      <c r="C7492" s="1" t="n">
        <v>45657</v>
      </c>
      <c r="D7492" t="inlineStr">
        <is>
          <t>VÄSTERNORRLANDS LÄN</t>
        </is>
      </c>
      <c r="E7492" t="inlineStr">
        <is>
          <t>SUNDSVALL</t>
        </is>
      </c>
      <c r="F7492" t="inlineStr">
        <is>
          <t>SCA</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57840-2022</t>
        </is>
      </c>
      <c r="B7493" s="1" t="n">
        <v>44897</v>
      </c>
      <c r="C7493" s="1" t="n">
        <v>45657</v>
      </c>
      <c r="D7493" t="inlineStr">
        <is>
          <t>VÄSTERNORRLANDS LÄN</t>
        </is>
      </c>
      <c r="E7493" t="inlineStr">
        <is>
          <t>TIMRÅ</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59084-2022</t>
        </is>
      </c>
      <c r="B7494" s="1" t="n">
        <v>44897</v>
      </c>
      <c r="C7494" s="1" t="n">
        <v>45657</v>
      </c>
      <c r="D7494" t="inlineStr">
        <is>
          <t>VÄSTERNORRLANDS LÄN</t>
        </is>
      </c>
      <c r="E7494" t="inlineStr">
        <is>
          <t>KRAMFORS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59336-2022</t>
        </is>
      </c>
      <c r="B7495" s="1" t="n">
        <v>44897</v>
      </c>
      <c r="C7495" s="1" t="n">
        <v>45657</v>
      </c>
      <c r="D7495" t="inlineStr">
        <is>
          <t>VÄSTERNORRLANDS LÄN</t>
        </is>
      </c>
      <c r="E7495" t="inlineStr">
        <is>
          <t>HÄRNÖSAND</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59321-2022</t>
        </is>
      </c>
      <c r="B7496" s="1" t="n">
        <v>44897</v>
      </c>
      <c r="C7496" s="1" t="n">
        <v>45657</v>
      </c>
      <c r="D7496" t="inlineStr">
        <is>
          <t>VÄSTERNORRLANDS LÄN</t>
        </is>
      </c>
      <c r="E7496" t="inlineStr">
        <is>
          <t>HÄRNÖSAND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57912-2022</t>
        </is>
      </c>
      <c r="B7497" s="1" t="n">
        <v>44900</v>
      </c>
      <c r="C7497" s="1" t="n">
        <v>45657</v>
      </c>
      <c r="D7497" t="inlineStr">
        <is>
          <t>VÄSTERNORRLANDS LÄN</t>
        </is>
      </c>
      <c r="E7497" t="inlineStr">
        <is>
          <t>ÖRNSKÖLDSVIK</t>
        </is>
      </c>
      <c r="F7497" t="inlineStr">
        <is>
          <t>Holmen skog AB</t>
        </is>
      </c>
      <c r="G7497" t="n">
        <v>18.5</v>
      </c>
      <c r="H7497" t="n">
        <v>0</v>
      </c>
      <c r="I7497" t="n">
        <v>0</v>
      </c>
      <c r="J7497" t="n">
        <v>0</v>
      </c>
      <c r="K7497" t="n">
        <v>0</v>
      </c>
      <c r="L7497" t="n">
        <v>0</v>
      </c>
      <c r="M7497" t="n">
        <v>0</v>
      </c>
      <c r="N7497" t="n">
        <v>0</v>
      </c>
      <c r="O7497" t="n">
        <v>0</v>
      </c>
      <c r="P7497" t="n">
        <v>0</v>
      </c>
      <c r="Q7497" t="n">
        <v>0</v>
      </c>
      <c r="R7497" s="2" t="inlineStr"/>
    </row>
    <row r="7498" ht="15" customHeight="1">
      <c r="A7498" t="inlineStr">
        <is>
          <t>A 57915-2022</t>
        </is>
      </c>
      <c r="B7498" s="1" t="n">
        <v>44900</v>
      </c>
      <c r="C7498" s="1" t="n">
        <v>45657</v>
      </c>
      <c r="D7498" t="inlineStr">
        <is>
          <t>VÄSTERNORRLANDS LÄN</t>
        </is>
      </c>
      <c r="E7498" t="inlineStr">
        <is>
          <t>ÖRNSKÖLDSVIK</t>
        </is>
      </c>
      <c r="F7498" t="inlineStr">
        <is>
          <t>Holmen skog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57991-2022</t>
        </is>
      </c>
      <c r="B7499" s="1" t="n">
        <v>44900</v>
      </c>
      <c r="C7499" s="1" t="n">
        <v>45657</v>
      </c>
      <c r="D7499" t="inlineStr">
        <is>
          <t>VÄSTERNORRLANDS LÄN</t>
        </is>
      </c>
      <c r="E7499" t="inlineStr">
        <is>
          <t>SOLLEFTEÅ</t>
        </is>
      </c>
      <c r="G7499" t="n">
        <v>14.2</v>
      </c>
      <c r="H7499" t="n">
        <v>0</v>
      </c>
      <c r="I7499" t="n">
        <v>0</v>
      </c>
      <c r="J7499" t="n">
        <v>0</v>
      </c>
      <c r="K7499" t="n">
        <v>0</v>
      </c>
      <c r="L7499" t="n">
        <v>0</v>
      </c>
      <c r="M7499" t="n">
        <v>0</v>
      </c>
      <c r="N7499" t="n">
        <v>0</v>
      </c>
      <c r="O7499" t="n">
        <v>0</v>
      </c>
      <c r="P7499" t="n">
        <v>0</v>
      </c>
      <c r="Q7499" t="n">
        <v>0</v>
      </c>
      <c r="R7499" s="2" t="inlineStr"/>
    </row>
    <row r="7500" ht="15" customHeight="1">
      <c r="A7500" t="inlineStr">
        <is>
          <t>A 58173-2022</t>
        </is>
      </c>
      <c r="B7500" s="1" t="n">
        <v>44900</v>
      </c>
      <c r="C7500" s="1" t="n">
        <v>45657</v>
      </c>
      <c r="D7500" t="inlineStr">
        <is>
          <t>VÄSTERNORRLANDS LÄN</t>
        </is>
      </c>
      <c r="E7500" t="inlineStr">
        <is>
          <t>SOLLEFTEÅ</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58172-2022</t>
        </is>
      </c>
      <c r="B7501" s="1" t="n">
        <v>44900</v>
      </c>
      <c r="C7501" s="1" t="n">
        <v>45657</v>
      </c>
      <c r="D7501" t="inlineStr">
        <is>
          <t>VÄSTERNORRLANDS LÄN</t>
        </is>
      </c>
      <c r="E7501" t="inlineStr">
        <is>
          <t>SOLLEFTEÅ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58185-2022</t>
        </is>
      </c>
      <c r="B7502" s="1" t="n">
        <v>44900</v>
      </c>
      <c r="C7502" s="1" t="n">
        <v>45657</v>
      </c>
      <c r="D7502" t="inlineStr">
        <is>
          <t>VÄSTERNORRLANDS LÄN</t>
        </is>
      </c>
      <c r="E7502" t="inlineStr">
        <is>
          <t>SUNDSVALL</t>
        </is>
      </c>
      <c r="F7502" t="inlineStr">
        <is>
          <t>SCA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58171-2022</t>
        </is>
      </c>
      <c r="B7503" s="1" t="n">
        <v>44900</v>
      </c>
      <c r="C7503" s="1" t="n">
        <v>45657</v>
      </c>
      <c r="D7503" t="inlineStr">
        <is>
          <t>VÄSTERNORRLANDS LÄN</t>
        </is>
      </c>
      <c r="E7503" t="inlineStr">
        <is>
          <t>SOLLEFTEÅ</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58188-2022</t>
        </is>
      </c>
      <c r="B7504" s="1" t="n">
        <v>44900</v>
      </c>
      <c r="C7504" s="1" t="n">
        <v>45657</v>
      </c>
      <c r="D7504" t="inlineStr">
        <is>
          <t>VÄSTERNORRLANDS LÄN</t>
        </is>
      </c>
      <c r="E7504" t="inlineStr">
        <is>
          <t>TIMRÅ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58024-2022</t>
        </is>
      </c>
      <c r="B7505" s="1" t="n">
        <v>44900</v>
      </c>
      <c r="C7505" s="1" t="n">
        <v>45657</v>
      </c>
      <c r="D7505" t="inlineStr">
        <is>
          <t>VÄSTERNORRLANDS LÄN</t>
        </is>
      </c>
      <c r="E7505" t="inlineStr">
        <is>
          <t>KRAMFORS</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58165-2022</t>
        </is>
      </c>
      <c r="B7506" s="1" t="n">
        <v>44900</v>
      </c>
      <c r="C7506" s="1" t="n">
        <v>45657</v>
      </c>
      <c r="D7506" t="inlineStr">
        <is>
          <t>VÄSTERNORRLANDS LÄN</t>
        </is>
      </c>
      <c r="E7506" t="inlineStr">
        <is>
          <t>SUNDSVALL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58220-2022</t>
        </is>
      </c>
      <c r="B7507" s="1" t="n">
        <v>44901</v>
      </c>
      <c r="C7507" s="1" t="n">
        <v>45657</v>
      </c>
      <c r="D7507" t="inlineStr">
        <is>
          <t>VÄSTERNORRLANDS LÄN</t>
        </is>
      </c>
      <c r="E7507" t="inlineStr">
        <is>
          <t>ÖRNSKÖLDSVIK</t>
        </is>
      </c>
      <c r="F7507" t="inlineStr">
        <is>
          <t>Holmen skog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58275-2022</t>
        </is>
      </c>
      <c r="B7508" s="1" t="n">
        <v>44901</v>
      </c>
      <c r="C7508" s="1" t="n">
        <v>45657</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58285-2022</t>
        </is>
      </c>
      <c r="B7509" s="1" t="n">
        <v>44901</v>
      </c>
      <c r="C7509" s="1" t="n">
        <v>45657</v>
      </c>
      <c r="D7509" t="inlineStr">
        <is>
          <t>VÄSTERNORRLANDS LÄN</t>
        </is>
      </c>
      <c r="E7509" t="inlineStr">
        <is>
          <t>SUNDSVALL</t>
        </is>
      </c>
      <c r="G7509" t="n">
        <v>12.5</v>
      </c>
      <c r="H7509" t="n">
        <v>0</v>
      </c>
      <c r="I7509" t="n">
        <v>0</v>
      </c>
      <c r="J7509" t="n">
        <v>0</v>
      </c>
      <c r="K7509" t="n">
        <v>0</v>
      </c>
      <c r="L7509" t="n">
        <v>0</v>
      </c>
      <c r="M7509" t="n">
        <v>0</v>
      </c>
      <c r="N7509" t="n">
        <v>0</v>
      </c>
      <c r="O7509" t="n">
        <v>0</v>
      </c>
      <c r="P7509" t="n">
        <v>0</v>
      </c>
      <c r="Q7509" t="n">
        <v>0</v>
      </c>
      <c r="R7509" s="2" t="inlineStr"/>
    </row>
    <row r="7510" ht="15" customHeight="1">
      <c r="A7510" t="inlineStr">
        <is>
          <t>A 58407-2022</t>
        </is>
      </c>
      <c r="B7510" s="1" t="n">
        <v>44901</v>
      </c>
      <c r="C7510" s="1" t="n">
        <v>45657</v>
      </c>
      <c r="D7510" t="inlineStr">
        <is>
          <t>VÄSTERNORRLANDS LÄN</t>
        </is>
      </c>
      <c r="E7510" t="inlineStr">
        <is>
          <t>ÖRNSKÖLDSVIK</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58290-2022</t>
        </is>
      </c>
      <c r="B7511" s="1" t="n">
        <v>44901</v>
      </c>
      <c r="C7511" s="1" t="n">
        <v>45657</v>
      </c>
      <c r="D7511" t="inlineStr">
        <is>
          <t>VÄSTERNORRLANDS LÄN</t>
        </is>
      </c>
      <c r="E7511" t="inlineStr">
        <is>
          <t>SUNDSVALL</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58352-2022</t>
        </is>
      </c>
      <c r="B7512" s="1" t="n">
        <v>44901</v>
      </c>
      <c r="C7512" s="1" t="n">
        <v>45657</v>
      </c>
      <c r="D7512" t="inlineStr">
        <is>
          <t>VÄSTERNORRLANDS LÄN</t>
        </is>
      </c>
      <c r="E7512" t="inlineStr">
        <is>
          <t>SUNDSVALL</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58401-2022</t>
        </is>
      </c>
      <c r="B7513" s="1" t="n">
        <v>44901</v>
      </c>
      <c r="C7513" s="1" t="n">
        <v>45657</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58228-2022</t>
        </is>
      </c>
      <c r="B7514" s="1" t="n">
        <v>44901</v>
      </c>
      <c r="C7514" s="1" t="n">
        <v>45657</v>
      </c>
      <c r="D7514" t="inlineStr">
        <is>
          <t>VÄSTERNORRLANDS LÄN</t>
        </is>
      </c>
      <c r="E7514" t="inlineStr">
        <is>
          <t>ÖRNSKÖLDSVIK</t>
        </is>
      </c>
      <c r="F7514" t="inlineStr">
        <is>
          <t>Holmen skog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58419-2022</t>
        </is>
      </c>
      <c r="B7515" s="1" t="n">
        <v>44901</v>
      </c>
      <c r="C7515" s="1" t="n">
        <v>45657</v>
      </c>
      <c r="D7515" t="inlineStr">
        <is>
          <t>VÄSTERNORRLANDS LÄN</t>
        </is>
      </c>
      <c r="E7515" t="inlineStr">
        <is>
          <t>SUNDSVALL</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58424-2022</t>
        </is>
      </c>
      <c r="B7516" s="1" t="n">
        <v>44901</v>
      </c>
      <c r="C7516" s="1" t="n">
        <v>45657</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58358-2022</t>
        </is>
      </c>
      <c r="B7517" s="1" t="n">
        <v>44901</v>
      </c>
      <c r="C7517" s="1" t="n">
        <v>45657</v>
      </c>
      <c r="D7517" t="inlineStr">
        <is>
          <t>VÄSTERNORRLANDS LÄN</t>
        </is>
      </c>
      <c r="E7517" t="inlineStr">
        <is>
          <t>ÖRNSKÖLDSVIK</t>
        </is>
      </c>
      <c r="F7517" t="inlineStr">
        <is>
          <t>Holmen skog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59954-2022</t>
        </is>
      </c>
      <c r="B7518" s="1" t="n">
        <v>44901</v>
      </c>
      <c r="C7518" s="1" t="n">
        <v>45657</v>
      </c>
      <c r="D7518" t="inlineStr">
        <is>
          <t>VÄSTERNORRLANDS LÄN</t>
        </is>
      </c>
      <c r="E7518" t="inlineStr">
        <is>
          <t>ÖRNSKÖLDSVIK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58445-2022</t>
        </is>
      </c>
      <c r="B7519" s="1" t="n">
        <v>44901</v>
      </c>
      <c r="C7519" s="1" t="n">
        <v>45657</v>
      </c>
      <c r="D7519" t="inlineStr">
        <is>
          <t>VÄSTERNORRLANDS LÄN</t>
        </is>
      </c>
      <c r="E7519" t="inlineStr">
        <is>
          <t>ÅNGE</t>
        </is>
      </c>
      <c r="F7519" t="inlineStr">
        <is>
          <t>SCA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59942-2022</t>
        </is>
      </c>
      <c r="B7520" s="1" t="n">
        <v>44901</v>
      </c>
      <c r="C7520" s="1" t="n">
        <v>45657</v>
      </c>
      <c r="D7520" t="inlineStr">
        <is>
          <t>VÄSTERNORRLANDS LÄN</t>
        </is>
      </c>
      <c r="E7520" t="inlineStr">
        <is>
          <t>TIMRÅ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58444-2022</t>
        </is>
      </c>
      <c r="B7521" s="1" t="n">
        <v>44901</v>
      </c>
      <c r="C7521" s="1" t="n">
        <v>45657</v>
      </c>
      <c r="D7521" t="inlineStr">
        <is>
          <t>VÄSTERNORRLANDS LÄN</t>
        </is>
      </c>
      <c r="E7521" t="inlineStr">
        <is>
          <t>ÅNGE</t>
        </is>
      </c>
      <c r="F7521" t="inlineStr">
        <is>
          <t>SCA</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58469-2022</t>
        </is>
      </c>
      <c r="B7522" s="1" t="n">
        <v>44902</v>
      </c>
      <c r="C7522" s="1" t="n">
        <v>45657</v>
      </c>
      <c r="D7522" t="inlineStr">
        <is>
          <t>VÄSTERNORRLANDS LÄN</t>
        </is>
      </c>
      <c r="E7522" t="inlineStr">
        <is>
          <t>ÅNGE</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58568-2022</t>
        </is>
      </c>
      <c r="B7523" s="1" t="n">
        <v>44902</v>
      </c>
      <c r="C7523" s="1" t="n">
        <v>45657</v>
      </c>
      <c r="D7523" t="inlineStr">
        <is>
          <t>VÄSTERNORRLANDS LÄN</t>
        </is>
      </c>
      <c r="E7523" t="inlineStr">
        <is>
          <t>ÖRNSKÖLDSVIK</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60109-2022</t>
        </is>
      </c>
      <c r="B7524" s="1" t="n">
        <v>44902</v>
      </c>
      <c r="C7524" s="1" t="n">
        <v>45657</v>
      </c>
      <c r="D7524" t="inlineStr">
        <is>
          <t>VÄSTERNORRLANDS LÄN</t>
        </is>
      </c>
      <c r="E7524" t="inlineStr">
        <is>
          <t>ÖRNSKÖLDSVIK</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58713-2022</t>
        </is>
      </c>
      <c r="B7525" s="1" t="n">
        <v>44902</v>
      </c>
      <c r="C7525" s="1" t="n">
        <v>45657</v>
      </c>
      <c r="D7525" t="inlineStr">
        <is>
          <t>VÄSTERNORRLANDS LÄN</t>
        </is>
      </c>
      <c r="E7525" t="inlineStr">
        <is>
          <t>SUNDSVALL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58765-2022</t>
        </is>
      </c>
      <c r="B7526" s="1" t="n">
        <v>44903</v>
      </c>
      <c r="C7526" s="1" t="n">
        <v>45657</v>
      </c>
      <c r="D7526" t="inlineStr">
        <is>
          <t>VÄSTERNORRLANDS LÄN</t>
        </is>
      </c>
      <c r="E7526" t="inlineStr">
        <is>
          <t>SOLLEFTEÅ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58781-2022</t>
        </is>
      </c>
      <c r="B7527" s="1" t="n">
        <v>44903</v>
      </c>
      <c r="C7527" s="1" t="n">
        <v>45657</v>
      </c>
      <c r="D7527" t="inlineStr">
        <is>
          <t>VÄSTERNORRLANDS LÄN</t>
        </is>
      </c>
      <c r="E7527" t="inlineStr">
        <is>
          <t>SUNDSVALL</t>
        </is>
      </c>
      <c r="F7527" t="inlineStr">
        <is>
          <t>Holmen skog AB</t>
        </is>
      </c>
      <c r="G7527" t="n">
        <v>16.3</v>
      </c>
      <c r="H7527" t="n">
        <v>0</v>
      </c>
      <c r="I7527" t="n">
        <v>0</v>
      </c>
      <c r="J7527" t="n">
        <v>0</v>
      </c>
      <c r="K7527" t="n">
        <v>0</v>
      </c>
      <c r="L7527" t="n">
        <v>0</v>
      </c>
      <c r="M7527" t="n">
        <v>0</v>
      </c>
      <c r="N7527" t="n">
        <v>0</v>
      </c>
      <c r="O7527" t="n">
        <v>0</v>
      </c>
      <c r="P7527" t="n">
        <v>0</v>
      </c>
      <c r="Q7527" t="n">
        <v>0</v>
      </c>
      <c r="R7527" s="2" t="inlineStr"/>
    </row>
    <row r="7528" ht="15" customHeight="1">
      <c r="A7528" t="inlineStr">
        <is>
          <t>A 58775-2022</t>
        </is>
      </c>
      <c r="B7528" s="1" t="n">
        <v>44903</v>
      </c>
      <c r="C7528" s="1" t="n">
        <v>45657</v>
      </c>
      <c r="D7528" t="inlineStr">
        <is>
          <t>VÄSTERNORRLANDS LÄN</t>
        </is>
      </c>
      <c r="E7528" t="inlineStr">
        <is>
          <t>ÖRNSKÖLDSVIK</t>
        </is>
      </c>
      <c r="F7528" t="inlineStr">
        <is>
          <t>Holmen skog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58943-2022</t>
        </is>
      </c>
      <c r="B7529" s="1" t="n">
        <v>44903</v>
      </c>
      <c r="C7529" s="1" t="n">
        <v>45657</v>
      </c>
      <c r="D7529" t="inlineStr">
        <is>
          <t>VÄSTERNORRLANDS LÄN</t>
        </is>
      </c>
      <c r="E7529" t="inlineStr">
        <is>
          <t>ÅNGE</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59036-2022</t>
        </is>
      </c>
      <c r="B7530" s="1" t="n">
        <v>44903</v>
      </c>
      <c r="C7530" s="1" t="n">
        <v>45657</v>
      </c>
      <c r="D7530" t="inlineStr">
        <is>
          <t>VÄSTERNORRLANDS LÄN</t>
        </is>
      </c>
      <c r="E7530" t="inlineStr">
        <is>
          <t>SOLLEFTEÅ</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59034-2022</t>
        </is>
      </c>
      <c r="B7531" s="1" t="n">
        <v>44903</v>
      </c>
      <c r="C7531" s="1" t="n">
        <v>45657</v>
      </c>
      <c r="D7531" t="inlineStr">
        <is>
          <t>VÄSTERNORRLANDS LÄN</t>
        </is>
      </c>
      <c r="E7531" t="inlineStr">
        <is>
          <t>HÄRNÖSAND</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59038-2022</t>
        </is>
      </c>
      <c r="B7532" s="1" t="n">
        <v>44903</v>
      </c>
      <c r="C7532" s="1" t="n">
        <v>45657</v>
      </c>
      <c r="D7532" t="inlineStr">
        <is>
          <t>VÄSTERNORRLANDS LÄN</t>
        </is>
      </c>
      <c r="E7532" t="inlineStr">
        <is>
          <t>SOLLEFTEÅ</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59037-2022</t>
        </is>
      </c>
      <c r="B7533" s="1" t="n">
        <v>44903</v>
      </c>
      <c r="C7533" s="1" t="n">
        <v>45657</v>
      </c>
      <c r="D7533" t="inlineStr">
        <is>
          <t>VÄSTERNORRLANDS LÄN</t>
        </is>
      </c>
      <c r="E7533" t="inlineStr">
        <is>
          <t>SOLLEFTEÅ</t>
        </is>
      </c>
      <c r="F7533" t="inlineStr">
        <is>
          <t>SCA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60319-2022</t>
        </is>
      </c>
      <c r="B7534" s="1" t="n">
        <v>44903</v>
      </c>
      <c r="C7534" s="1" t="n">
        <v>45657</v>
      </c>
      <c r="D7534" t="inlineStr">
        <is>
          <t>VÄSTERNORRLANDS LÄN</t>
        </is>
      </c>
      <c r="E7534" t="inlineStr">
        <is>
          <t>ÖRNSKÖLDSVIK</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60314-2022</t>
        </is>
      </c>
      <c r="B7535" s="1" t="n">
        <v>44903</v>
      </c>
      <c r="C7535" s="1" t="n">
        <v>45657</v>
      </c>
      <c r="D7535" t="inlineStr">
        <is>
          <t>VÄSTERNORRLANDS LÄN</t>
        </is>
      </c>
      <c r="E7535" t="inlineStr">
        <is>
          <t>KRAMFORS</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59296-2022</t>
        </is>
      </c>
      <c r="B7536" s="1" t="n">
        <v>44904</v>
      </c>
      <c r="C7536" s="1" t="n">
        <v>45657</v>
      </c>
      <c r="D7536" t="inlineStr">
        <is>
          <t>VÄSTERNORRLANDS LÄN</t>
        </is>
      </c>
      <c r="E7536" t="inlineStr">
        <is>
          <t>SUNDSVALL</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59115-2022</t>
        </is>
      </c>
      <c r="B7537" s="1" t="n">
        <v>44904</v>
      </c>
      <c r="C7537" s="1" t="n">
        <v>45657</v>
      </c>
      <c r="D7537" t="inlineStr">
        <is>
          <t>VÄSTERNORRLANDS LÄN</t>
        </is>
      </c>
      <c r="E7537" t="inlineStr">
        <is>
          <t>SUNDSVALL</t>
        </is>
      </c>
      <c r="G7537" t="n">
        <v>12.2</v>
      </c>
      <c r="H7537" t="n">
        <v>0</v>
      </c>
      <c r="I7537" t="n">
        <v>0</v>
      </c>
      <c r="J7537" t="n">
        <v>0</v>
      </c>
      <c r="K7537" t="n">
        <v>0</v>
      </c>
      <c r="L7537" t="n">
        <v>0</v>
      </c>
      <c r="M7537" t="n">
        <v>0</v>
      </c>
      <c r="N7537" t="n">
        <v>0</v>
      </c>
      <c r="O7537" t="n">
        <v>0</v>
      </c>
      <c r="P7537" t="n">
        <v>0</v>
      </c>
      <c r="Q7537" t="n">
        <v>0</v>
      </c>
      <c r="R7537" s="2" t="inlineStr"/>
    </row>
    <row r="7538" ht="15" customHeight="1">
      <c r="A7538" t="inlineStr">
        <is>
          <t>A 59121-2022</t>
        </is>
      </c>
      <c r="B7538" s="1" t="n">
        <v>44904</v>
      </c>
      <c r="C7538" s="1" t="n">
        <v>45657</v>
      </c>
      <c r="D7538" t="inlineStr">
        <is>
          <t>VÄSTERNORRLANDS LÄN</t>
        </is>
      </c>
      <c r="E7538" t="inlineStr">
        <is>
          <t>ÖRNSKÖLDSVIK</t>
        </is>
      </c>
      <c r="F7538" t="inlineStr">
        <is>
          <t>Holmen skog AB</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59128-2022</t>
        </is>
      </c>
      <c r="B7539" s="1" t="n">
        <v>44904</v>
      </c>
      <c r="C7539" s="1" t="n">
        <v>45657</v>
      </c>
      <c r="D7539" t="inlineStr">
        <is>
          <t>VÄSTERNORRLANDS LÄN</t>
        </is>
      </c>
      <c r="E7539" t="inlineStr">
        <is>
          <t>TIMRÅ</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59111-2022</t>
        </is>
      </c>
      <c r="B7540" s="1" t="n">
        <v>44904</v>
      </c>
      <c r="C7540" s="1" t="n">
        <v>45657</v>
      </c>
      <c r="D7540" t="inlineStr">
        <is>
          <t>VÄSTERNORRLANDS LÄN</t>
        </is>
      </c>
      <c r="E7540" t="inlineStr">
        <is>
          <t>KRAMFORS</t>
        </is>
      </c>
      <c r="F7540" t="inlineStr">
        <is>
          <t>Kommuner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59122-2022</t>
        </is>
      </c>
      <c r="B7541" s="1" t="n">
        <v>44904</v>
      </c>
      <c r="C7541" s="1" t="n">
        <v>45657</v>
      </c>
      <c r="D7541" t="inlineStr">
        <is>
          <t>VÄSTERNORRLANDS LÄN</t>
        </is>
      </c>
      <c r="E7541" t="inlineStr">
        <is>
          <t>SUNDSVALL</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59308-2022</t>
        </is>
      </c>
      <c r="B7542" s="1" t="n">
        <v>44904</v>
      </c>
      <c r="C7542" s="1" t="n">
        <v>45657</v>
      </c>
      <c r="D7542" t="inlineStr">
        <is>
          <t>VÄSTERNORRLANDS LÄN</t>
        </is>
      </c>
      <c r="E7542" t="inlineStr">
        <is>
          <t>ÖRNSKÖLDSVIK</t>
        </is>
      </c>
      <c r="F7542" t="inlineStr">
        <is>
          <t>Kommuner</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59222-2022</t>
        </is>
      </c>
      <c r="B7543" s="1" t="n">
        <v>44904</v>
      </c>
      <c r="C7543" s="1" t="n">
        <v>45657</v>
      </c>
      <c r="D7543" t="inlineStr">
        <is>
          <t>VÄSTERNORRLANDS LÄN</t>
        </is>
      </c>
      <c r="E7543" t="inlineStr">
        <is>
          <t>ÖRNSKÖLDSVIK</t>
        </is>
      </c>
      <c r="F7543" t="inlineStr">
        <is>
          <t>Holmen skog AB</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59335-2022</t>
        </is>
      </c>
      <c r="B7544" s="1" t="n">
        <v>44904</v>
      </c>
      <c r="C7544" s="1" t="n">
        <v>45657</v>
      </c>
      <c r="D7544" t="inlineStr">
        <is>
          <t>VÄSTERNORRLANDS LÄN</t>
        </is>
      </c>
      <c r="E7544" t="inlineStr">
        <is>
          <t>SUNDSVALL</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59148-2022</t>
        </is>
      </c>
      <c r="B7545" s="1" t="n">
        <v>44904</v>
      </c>
      <c r="C7545" s="1" t="n">
        <v>45657</v>
      </c>
      <c r="D7545" t="inlineStr">
        <is>
          <t>VÄSTERNORRLANDS LÄN</t>
        </is>
      </c>
      <c r="E7545" t="inlineStr">
        <is>
          <t>ÖRNSKÖLDSVIK</t>
        </is>
      </c>
      <c r="F7545" t="inlineStr">
        <is>
          <t>Holmen skog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59365-2022</t>
        </is>
      </c>
      <c r="B7546" s="1" t="n">
        <v>44904</v>
      </c>
      <c r="C7546" s="1" t="n">
        <v>45657</v>
      </c>
      <c r="D7546" t="inlineStr">
        <is>
          <t>VÄSTERNORRLANDS LÄN</t>
        </is>
      </c>
      <c r="E7546" t="inlineStr">
        <is>
          <t>KRAMFORS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59371-2022</t>
        </is>
      </c>
      <c r="B7547" s="1" t="n">
        <v>44904</v>
      </c>
      <c r="C7547" s="1" t="n">
        <v>45657</v>
      </c>
      <c r="D7547" t="inlineStr">
        <is>
          <t>VÄSTERNORRLANDS LÄN</t>
        </is>
      </c>
      <c r="E7547" t="inlineStr">
        <is>
          <t>SOLLEFTEÅ</t>
        </is>
      </c>
      <c r="F7547" t="inlineStr">
        <is>
          <t>SCA</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59334-2022</t>
        </is>
      </c>
      <c r="B7548" s="1" t="n">
        <v>44904</v>
      </c>
      <c r="C7548" s="1" t="n">
        <v>45657</v>
      </c>
      <c r="D7548" t="inlineStr">
        <is>
          <t>VÄSTERNORRLANDS LÄN</t>
        </is>
      </c>
      <c r="E7548" t="inlineStr">
        <is>
          <t>ÖRNSKÖLDSVIK</t>
        </is>
      </c>
      <c r="F7548" t="inlineStr">
        <is>
          <t>Holmen skog AB</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59363-2022</t>
        </is>
      </c>
      <c r="B7549" s="1" t="n">
        <v>44904</v>
      </c>
      <c r="C7549" s="1" t="n">
        <v>45657</v>
      </c>
      <c r="D7549" t="inlineStr">
        <is>
          <t>VÄSTERNORRLANDS LÄN</t>
        </is>
      </c>
      <c r="E7549" t="inlineStr">
        <is>
          <t>KRAMFORS</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60462-2022</t>
        </is>
      </c>
      <c r="B7550" s="1" t="n">
        <v>44904</v>
      </c>
      <c r="C7550" s="1" t="n">
        <v>45657</v>
      </c>
      <c r="D7550" t="inlineStr">
        <is>
          <t>VÄSTERNORRLANDS LÄN</t>
        </is>
      </c>
      <c r="E7550" t="inlineStr">
        <is>
          <t>ÖRNSKÖLDSVIK</t>
        </is>
      </c>
      <c r="F7550" t="inlineStr">
        <is>
          <t>Kyrkan</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60482-2022</t>
        </is>
      </c>
      <c r="B7551" s="1" t="n">
        <v>44904</v>
      </c>
      <c r="C7551" s="1" t="n">
        <v>45657</v>
      </c>
      <c r="D7551" t="inlineStr">
        <is>
          <t>VÄSTERNORRLANDS LÄN</t>
        </is>
      </c>
      <c r="E7551" t="inlineStr">
        <is>
          <t>SOLLEFTEÅ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60551-2022</t>
        </is>
      </c>
      <c r="B7552" s="1" t="n">
        <v>44904</v>
      </c>
      <c r="C7552" s="1" t="n">
        <v>45657</v>
      </c>
      <c r="D7552" t="inlineStr">
        <is>
          <t>VÄSTERNORRLANDS LÄN</t>
        </is>
      </c>
      <c r="E7552" t="inlineStr">
        <is>
          <t>ÖRNSKÖLDSVIK</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59491-2022</t>
        </is>
      </c>
      <c r="B7553" s="1" t="n">
        <v>44907</v>
      </c>
      <c r="C7553" s="1" t="n">
        <v>45657</v>
      </c>
      <c r="D7553" t="inlineStr">
        <is>
          <t>VÄSTERNORRLANDS LÄN</t>
        </is>
      </c>
      <c r="E7553" t="inlineStr">
        <is>
          <t>ÖRNSKÖLDSVIK</t>
        </is>
      </c>
      <c r="F7553" t="inlineStr">
        <is>
          <t>Holmen skog AB</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59512-2022</t>
        </is>
      </c>
      <c r="B7554" s="1" t="n">
        <v>44907</v>
      </c>
      <c r="C7554" s="1" t="n">
        <v>45657</v>
      </c>
      <c r="D7554" t="inlineStr">
        <is>
          <t>VÄSTERNORRLANDS LÄN</t>
        </is>
      </c>
      <c r="E7554" t="inlineStr">
        <is>
          <t>SUNDSVALL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59520-2022</t>
        </is>
      </c>
      <c r="B7555" s="1" t="n">
        <v>44907</v>
      </c>
      <c r="C7555" s="1" t="n">
        <v>45657</v>
      </c>
      <c r="D7555" t="inlineStr">
        <is>
          <t>VÄSTERNORRLANDS LÄN</t>
        </is>
      </c>
      <c r="E7555" t="inlineStr">
        <is>
          <t>ÅNGE</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59626-2022</t>
        </is>
      </c>
      <c r="B7556" s="1" t="n">
        <v>44907</v>
      </c>
      <c r="C7556" s="1" t="n">
        <v>45657</v>
      </c>
      <c r="D7556" t="inlineStr">
        <is>
          <t>VÄSTERNORRLANDS LÄN</t>
        </is>
      </c>
      <c r="E7556" t="inlineStr">
        <is>
          <t>ÅNGE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60813-2022</t>
        </is>
      </c>
      <c r="B7557" s="1" t="n">
        <v>44907</v>
      </c>
      <c r="C7557" s="1" t="n">
        <v>45657</v>
      </c>
      <c r="D7557" t="inlineStr">
        <is>
          <t>VÄSTERNORRLANDS LÄN</t>
        </is>
      </c>
      <c r="E7557" t="inlineStr">
        <is>
          <t>KRAMFORS</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59654-2022</t>
        </is>
      </c>
      <c r="B7558" s="1" t="n">
        <v>44908</v>
      </c>
      <c r="C7558" s="1" t="n">
        <v>45657</v>
      </c>
      <c r="D7558" t="inlineStr">
        <is>
          <t>VÄSTERNORRLANDS LÄN</t>
        </is>
      </c>
      <c r="E7558" t="inlineStr">
        <is>
          <t>SUNDSVALL</t>
        </is>
      </c>
      <c r="F7558" t="inlineStr">
        <is>
          <t>Naturvårdsverket</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60817-2022</t>
        </is>
      </c>
      <c r="B7559" s="1" t="n">
        <v>44907</v>
      </c>
      <c r="C7559" s="1" t="n">
        <v>45657</v>
      </c>
      <c r="D7559" t="inlineStr">
        <is>
          <t>VÄSTERNORRLANDS LÄN</t>
        </is>
      </c>
      <c r="E7559" t="inlineStr">
        <is>
          <t>KRAMFORS</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60856-2022</t>
        </is>
      </c>
      <c r="B7560" s="1" t="n">
        <v>44907</v>
      </c>
      <c r="C7560" s="1" t="n">
        <v>45657</v>
      </c>
      <c r="D7560" t="inlineStr">
        <is>
          <t>VÄSTERNORRLANDS LÄN</t>
        </is>
      </c>
      <c r="E7560" t="inlineStr">
        <is>
          <t>SOLLEFTEÅ</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59639-2022</t>
        </is>
      </c>
      <c r="B7561" s="1" t="n">
        <v>44908</v>
      </c>
      <c r="C7561" s="1" t="n">
        <v>45657</v>
      </c>
      <c r="D7561" t="inlineStr">
        <is>
          <t>VÄSTERNORRLANDS LÄN</t>
        </is>
      </c>
      <c r="E7561" t="inlineStr">
        <is>
          <t>SUNDSVALL</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59647-2022</t>
        </is>
      </c>
      <c r="B7562" s="1" t="n">
        <v>44908</v>
      </c>
      <c r="C7562" s="1" t="n">
        <v>45657</v>
      </c>
      <c r="D7562" t="inlineStr">
        <is>
          <t>VÄSTERNORRLANDS LÄN</t>
        </is>
      </c>
      <c r="E7562" t="inlineStr">
        <is>
          <t>SOLLEFTEÅ</t>
        </is>
      </c>
      <c r="F7562" t="inlineStr">
        <is>
          <t>SCA</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60753-2022</t>
        </is>
      </c>
      <c r="B7563" s="1" t="n">
        <v>44907</v>
      </c>
      <c r="C7563" s="1" t="n">
        <v>45657</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59770-2022</t>
        </is>
      </c>
      <c r="B7564" s="1" t="n">
        <v>44908</v>
      </c>
      <c r="C7564" s="1" t="n">
        <v>45657</v>
      </c>
      <c r="D7564" t="inlineStr">
        <is>
          <t>VÄSTERNORRLANDS LÄN</t>
        </is>
      </c>
      <c r="E7564" t="inlineStr">
        <is>
          <t>SUNDSVALL</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59750-2022</t>
        </is>
      </c>
      <c r="B7565" s="1" t="n">
        <v>44908</v>
      </c>
      <c r="C7565" s="1" t="n">
        <v>45657</v>
      </c>
      <c r="D7565" t="inlineStr">
        <is>
          <t>VÄSTERNORRLANDS LÄN</t>
        </is>
      </c>
      <c r="E7565" t="inlineStr">
        <is>
          <t>ÖRNSKÖLDSVIK</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59726-2022</t>
        </is>
      </c>
      <c r="B7566" s="1" t="n">
        <v>44908</v>
      </c>
      <c r="C7566" s="1" t="n">
        <v>45657</v>
      </c>
      <c r="D7566" t="inlineStr">
        <is>
          <t>VÄSTERNORRLANDS LÄN</t>
        </is>
      </c>
      <c r="E7566" t="inlineStr">
        <is>
          <t>ÖRNSKÖLDSVIK</t>
        </is>
      </c>
      <c r="F7566" t="inlineStr">
        <is>
          <t>Holmen skog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60916-2022</t>
        </is>
      </c>
      <c r="B7567" s="1" t="n">
        <v>44908</v>
      </c>
      <c r="C7567" s="1" t="n">
        <v>45657</v>
      </c>
      <c r="D7567" t="inlineStr">
        <is>
          <t>VÄSTERNORRLANDS LÄN</t>
        </is>
      </c>
      <c r="E7567" t="inlineStr">
        <is>
          <t>KRAMFORS</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60865-2022</t>
        </is>
      </c>
      <c r="B7568" s="1" t="n">
        <v>44908</v>
      </c>
      <c r="C7568" s="1" t="n">
        <v>45657</v>
      </c>
      <c r="D7568" t="inlineStr">
        <is>
          <t>VÄSTERNORRLANDS LÄN</t>
        </is>
      </c>
      <c r="E7568" t="inlineStr">
        <is>
          <t>KRAMFORS</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60875-2022</t>
        </is>
      </c>
      <c r="B7569" s="1" t="n">
        <v>44908</v>
      </c>
      <c r="C7569" s="1" t="n">
        <v>45657</v>
      </c>
      <c r="D7569" t="inlineStr">
        <is>
          <t>VÄSTERNORRLANDS LÄN</t>
        </is>
      </c>
      <c r="E7569" t="inlineStr">
        <is>
          <t>KRAMFORS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60889-2022</t>
        </is>
      </c>
      <c r="B7570" s="1" t="n">
        <v>44908</v>
      </c>
      <c r="C7570" s="1" t="n">
        <v>45657</v>
      </c>
      <c r="D7570" t="inlineStr">
        <is>
          <t>VÄSTERNORRLANDS LÄN</t>
        </is>
      </c>
      <c r="E7570" t="inlineStr">
        <is>
          <t>KRAMFORS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60929-2022</t>
        </is>
      </c>
      <c r="B7571" s="1" t="n">
        <v>44908</v>
      </c>
      <c r="C7571" s="1" t="n">
        <v>45657</v>
      </c>
      <c r="D7571" t="inlineStr">
        <is>
          <t>VÄSTERNORRLANDS LÄN</t>
        </is>
      </c>
      <c r="E7571" t="inlineStr">
        <is>
          <t>ÖRNSKÖLDSVIK</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59908-2022</t>
        </is>
      </c>
      <c r="B7572" s="1" t="n">
        <v>44908</v>
      </c>
      <c r="C7572" s="1" t="n">
        <v>45657</v>
      </c>
      <c r="D7572" t="inlineStr">
        <is>
          <t>VÄSTERNORRLANDS LÄN</t>
        </is>
      </c>
      <c r="E7572" t="inlineStr">
        <is>
          <t>SOLLEFTEÅ</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61159-2022</t>
        </is>
      </c>
      <c r="B7573" s="1" t="n">
        <v>44908</v>
      </c>
      <c r="C7573" s="1" t="n">
        <v>45657</v>
      </c>
      <c r="D7573" t="inlineStr">
        <is>
          <t>VÄSTERNORRLANDS LÄN</t>
        </is>
      </c>
      <c r="E7573" t="inlineStr">
        <is>
          <t>ÖRNSKÖLDSVIK</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59787-2022</t>
        </is>
      </c>
      <c r="B7574" s="1" t="n">
        <v>44908</v>
      </c>
      <c r="C7574" s="1" t="n">
        <v>45657</v>
      </c>
      <c r="D7574" t="inlineStr">
        <is>
          <t>VÄSTERNORRLANDS LÄN</t>
        </is>
      </c>
      <c r="E7574" t="inlineStr">
        <is>
          <t>ÖRNSKÖLDSVIK</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60885-2022</t>
        </is>
      </c>
      <c r="B7575" s="1" t="n">
        <v>44908</v>
      </c>
      <c r="C7575" s="1" t="n">
        <v>45657</v>
      </c>
      <c r="D7575" t="inlineStr">
        <is>
          <t>VÄSTERNORRLANDS LÄN</t>
        </is>
      </c>
      <c r="E7575" t="inlineStr">
        <is>
          <t>KRAMFORS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60907-2022</t>
        </is>
      </c>
      <c r="B7576" s="1" t="n">
        <v>44908</v>
      </c>
      <c r="C7576" s="1" t="n">
        <v>45657</v>
      </c>
      <c r="D7576" t="inlineStr">
        <is>
          <t>VÄSTERNORRLANDS LÄN</t>
        </is>
      </c>
      <c r="E7576" t="inlineStr">
        <is>
          <t>KRAMFORS</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59849-2022</t>
        </is>
      </c>
      <c r="B7577" s="1" t="n">
        <v>44908</v>
      </c>
      <c r="C7577" s="1" t="n">
        <v>45657</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59854-2022</t>
        </is>
      </c>
      <c r="B7578" s="1" t="n">
        <v>44908</v>
      </c>
      <c r="C7578" s="1" t="n">
        <v>45657</v>
      </c>
      <c r="D7578" t="inlineStr">
        <is>
          <t>VÄSTERNORRLANDS LÄN</t>
        </is>
      </c>
      <c r="E7578" t="inlineStr">
        <is>
          <t>SOLLEFTEÅ</t>
        </is>
      </c>
      <c r="F7578" t="inlineStr">
        <is>
          <t>Holmen skog AB</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60165-2022</t>
        </is>
      </c>
      <c r="B7579" s="1" t="n">
        <v>44909</v>
      </c>
      <c r="C7579" s="1" t="n">
        <v>45657</v>
      </c>
      <c r="D7579" t="inlineStr">
        <is>
          <t>VÄSTERNORRLANDS LÄN</t>
        </is>
      </c>
      <c r="E7579" t="inlineStr">
        <is>
          <t>SUNDSVALL</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60166-2022</t>
        </is>
      </c>
      <c r="B7580" s="1" t="n">
        <v>44909</v>
      </c>
      <c r="C7580" s="1" t="n">
        <v>45657</v>
      </c>
      <c r="D7580" t="inlineStr">
        <is>
          <t>VÄSTERNORRLANDS LÄN</t>
        </is>
      </c>
      <c r="E7580" t="inlineStr">
        <is>
          <t>TIMRÅ</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60170-2022</t>
        </is>
      </c>
      <c r="B7581" s="1" t="n">
        <v>44909</v>
      </c>
      <c r="C7581" s="1" t="n">
        <v>45657</v>
      </c>
      <c r="D7581" t="inlineStr">
        <is>
          <t>VÄSTERNORRLANDS LÄN</t>
        </is>
      </c>
      <c r="E7581" t="inlineStr">
        <is>
          <t>SOLLEFTEÅ</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60169-2022</t>
        </is>
      </c>
      <c r="B7582" s="1" t="n">
        <v>44909</v>
      </c>
      <c r="C7582" s="1" t="n">
        <v>45657</v>
      </c>
      <c r="D7582" t="inlineStr">
        <is>
          <t>VÄSTERNORRLANDS LÄN</t>
        </is>
      </c>
      <c r="E7582" t="inlineStr">
        <is>
          <t>SOLLEFTEÅ</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61228-2022</t>
        </is>
      </c>
      <c r="B7583" s="1" t="n">
        <v>44909</v>
      </c>
      <c r="C7583" s="1" t="n">
        <v>45657</v>
      </c>
      <c r="D7583" t="inlineStr">
        <is>
          <t>VÄSTERNORRLANDS LÄN</t>
        </is>
      </c>
      <c r="E7583" t="inlineStr">
        <is>
          <t>ÖRNSKÖLDSVIK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60171-2022</t>
        </is>
      </c>
      <c r="B7584" s="1" t="n">
        <v>44909</v>
      </c>
      <c r="C7584" s="1" t="n">
        <v>45657</v>
      </c>
      <c r="D7584" t="inlineStr">
        <is>
          <t>VÄSTERNORRLANDS LÄN</t>
        </is>
      </c>
      <c r="E7584" t="inlineStr">
        <is>
          <t>SOLLEFTEÅ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61322-2022</t>
        </is>
      </c>
      <c r="B7585" s="1" t="n">
        <v>44909</v>
      </c>
      <c r="C7585" s="1" t="n">
        <v>45657</v>
      </c>
      <c r="D7585" t="inlineStr">
        <is>
          <t>VÄSTERNORRLANDS LÄN</t>
        </is>
      </c>
      <c r="E7585" t="inlineStr">
        <is>
          <t>ÖRNSKÖLDSVIK</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60168-2022</t>
        </is>
      </c>
      <c r="B7586" s="1" t="n">
        <v>44909</v>
      </c>
      <c r="C7586" s="1" t="n">
        <v>45657</v>
      </c>
      <c r="D7586" t="inlineStr">
        <is>
          <t>VÄSTERNORRLANDS LÄN</t>
        </is>
      </c>
      <c r="E7586" t="inlineStr">
        <is>
          <t>SOLLEFTEÅ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61232-2022</t>
        </is>
      </c>
      <c r="B7587" s="1" t="n">
        <v>44909</v>
      </c>
      <c r="C7587" s="1" t="n">
        <v>45657</v>
      </c>
      <c r="D7587" t="inlineStr">
        <is>
          <t>VÄSTERNORRLANDS LÄN</t>
        </is>
      </c>
      <c r="E7587" t="inlineStr">
        <is>
          <t>ÖRNSKÖLDSVIK</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61252-2022</t>
        </is>
      </c>
      <c r="B7588" s="1" t="n">
        <v>44909</v>
      </c>
      <c r="C7588" s="1" t="n">
        <v>45657</v>
      </c>
      <c r="D7588" t="inlineStr">
        <is>
          <t>VÄSTERNORRLANDS LÄN</t>
        </is>
      </c>
      <c r="E7588" t="inlineStr">
        <is>
          <t>KRAMFORS</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60278-2022</t>
        </is>
      </c>
      <c r="B7589" s="1" t="n">
        <v>44910</v>
      </c>
      <c r="C7589" s="1" t="n">
        <v>45657</v>
      </c>
      <c r="D7589" t="inlineStr">
        <is>
          <t>VÄSTERNORRLANDS LÄN</t>
        </is>
      </c>
      <c r="E7589" t="inlineStr">
        <is>
          <t>ÖRNSKÖLDSVIK</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60331-2022</t>
        </is>
      </c>
      <c r="B7590" s="1" t="n">
        <v>44910</v>
      </c>
      <c r="C7590" s="1" t="n">
        <v>45657</v>
      </c>
      <c r="D7590" t="inlineStr">
        <is>
          <t>VÄSTERNORRLANDS LÄN</t>
        </is>
      </c>
      <c r="E7590" t="inlineStr">
        <is>
          <t>ÖRNSKÖLDSVIK</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60338-2022</t>
        </is>
      </c>
      <c r="B7591" s="1" t="n">
        <v>44910</v>
      </c>
      <c r="C7591" s="1" t="n">
        <v>45657</v>
      </c>
      <c r="D7591" t="inlineStr">
        <is>
          <t>VÄSTERNORRLANDS LÄN</t>
        </is>
      </c>
      <c r="E7591" t="inlineStr">
        <is>
          <t>SOLLEFTEÅ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60344-2022</t>
        </is>
      </c>
      <c r="B7592" s="1" t="n">
        <v>44910</v>
      </c>
      <c r="C7592" s="1" t="n">
        <v>45657</v>
      </c>
      <c r="D7592" t="inlineStr">
        <is>
          <t>VÄSTERNORRLANDS LÄN</t>
        </is>
      </c>
      <c r="E7592" t="inlineStr">
        <is>
          <t>ÖRNSKÖLDSVIK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60406-2022</t>
        </is>
      </c>
      <c r="B7593" s="1" t="n">
        <v>44910</v>
      </c>
      <c r="C7593" s="1" t="n">
        <v>45657</v>
      </c>
      <c r="D7593" t="inlineStr">
        <is>
          <t>VÄSTERNORRLANDS LÄN</t>
        </is>
      </c>
      <c r="E7593" t="inlineStr">
        <is>
          <t>ÖRNSKÖLDSVIK</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60420-2022</t>
        </is>
      </c>
      <c r="B7594" s="1" t="n">
        <v>44910</v>
      </c>
      <c r="C7594" s="1" t="n">
        <v>45657</v>
      </c>
      <c r="D7594" t="inlineStr">
        <is>
          <t>VÄSTERNORRLANDS LÄN</t>
        </is>
      </c>
      <c r="E7594" t="inlineStr">
        <is>
          <t>SOLLEFTEÅ</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61473-2022</t>
        </is>
      </c>
      <c r="B7595" s="1" t="n">
        <v>44910</v>
      </c>
      <c r="C7595" s="1" t="n">
        <v>45657</v>
      </c>
      <c r="D7595" t="inlineStr">
        <is>
          <t>VÄSTERNORRLANDS LÄN</t>
        </is>
      </c>
      <c r="E7595" t="inlineStr">
        <is>
          <t>SOLLEFTEÅ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60337-2022</t>
        </is>
      </c>
      <c r="B7596" s="1" t="n">
        <v>44910</v>
      </c>
      <c r="C7596" s="1" t="n">
        <v>45657</v>
      </c>
      <c r="D7596" t="inlineStr">
        <is>
          <t>VÄSTERNORRLANDS LÄN</t>
        </is>
      </c>
      <c r="E7596" t="inlineStr">
        <is>
          <t>ÖRNSKÖLDSVIK</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60355-2022</t>
        </is>
      </c>
      <c r="B7597" s="1" t="n">
        <v>44910</v>
      </c>
      <c r="C7597" s="1" t="n">
        <v>45657</v>
      </c>
      <c r="D7597" t="inlineStr">
        <is>
          <t>VÄSTERNORRLANDS LÄN</t>
        </is>
      </c>
      <c r="E7597" t="inlineStr">
        <is>
          <t>ÖRNSKÖLDSVIK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60369-2022</t>
        </is>
      </c>
      <c r="B7598" s="1" t="n">
        <v>44910</v>
      </c>
      <c r="C7598" s="1" t="n">
        <v>45657</v>
      </c>
      <c r="D7598" t="inlineStr">
        <is>
          <t>VÄSTERNORRLANDS LÄN</t>
        </is>
      </c>
      <c r="E7598" t="inlineStr">
        <is>
          <t>ÅNGE</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60399-2022</t>
        </is>
      </c>
      <c r="B7599" s="1" t="n">
        <v>44910</v>
      </c>
      <c r="C7599" s="1" t="n">
        <v>45657</v>
      </c>
      <c r="D7599" t="inlineStr">
        <is>
          <t>VÄSTERNORRLANDS LÄN</t>
        </is>
      </c>
      <c r="E7599" t="inlineStr">
        <is>
          <t>SUNDSVALL</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60407-2022</t>
        </is>
      </c>
      <c r="B7600" s="1" t="n">
        <v>44910</v>
      </c>
      <c r="C7600" s="1" t="n">
        <v>45657</v>
      </c>
      <c r="D7600" t="inlineStr">
        <is>
          <t>VÄSTERNORRLANDS LÄN</t>
        </is>
      </c>
      <c r="E7600" t="inlineStr">
        <is>
          <t>ÖRNSKÖLDSVIK</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61459-2022</t>
        </is>
      </c>
      <c r="B7601" s="1" t="n">
        <v>44910</v>
      </c>
      <c r="C7601" s="1" t="n">
        <v>45657</v>
      </c>
      <c r="D7601" t="inlineStr">
        <is>
          <t>VÄSTERNORRLANDS LÄN</t>
        </is>
      </c>
      <c r="E7601" t="inlineStr">
        <is>
          <t>SOLLEFTEÅ</t>
        </is>
      </c>
      <c r="G7601" t="n">
        <v>20.6</v>
      </c>
      <c r="H7601" t="n">
        <v>0</v>
      </c>
      <c r="I7601" t="n">
        <v>0</v>
      </c>
      <c r="J7601" t="n">
        <v>0</v>
      </c>
      <c r="K7601" t="n">
        <v>0</v>
      </c>
      <c r="L7601" t="n">
        <v>0</v>
      </c>
      <c r="M7601" t="n">
        <v>0</v>
      </c>
      <c r="N7601" t="n">
        <v>0</v>
      </c>
      <c r="O7601" t="n">
        <v>0</v>
      </c>
      <c r="P7601" t="n">
        <v>0</v>
      </c>
      <c r="Q7601" t="n">
        <v>0</v>
      </c>
      <c r="R7601" s="2" t="inlineStr"/>
    </row>
    <row r="7602" ht="15" customHeight="1">
      <c r="A7602" t="inlineStr">
        <is>
          <t>A 60405-2022</t>
        </is>
      </c>
      <c r="B7602" s="1" t="n">
        <v>44910</v>
      </c>
      <c r="C7602" s="1" t="n">
        <v>45657</v>
      </c>
      <c r="D7602" t="inlineStr">
        <is>
          <t>VÄSTERNORRLANDS LÄN</t>
        </is>
      </c>
      <c r="E7602" t="inlineStr">
        <is>
          <t>ÖRNSKÖLDSVIK</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61576-2022</t>
        </is>
      </c>
      <c r="B7603" s="1" t="n">
        <v>44910</v>
      </c>
      <c r="C7603" s="1" t="n">
        <v>45657</v>
      </c>
      <c r="D7603" t="inlineStr">
        <is>
          <t>VÄSTERNORRLANDS LÄN</t>
        </is>
      </c>
      <c r="E7603" t="inlineStr">
        <is>
          <t>TIMRÅ</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61506-2022</t>
        </is>
      </c>
      <c r="B7604" s="1" t="n">
        <v>44910</v>
      </c>
      <c r="C7604" s="1" t="n">
        <v>45657</v>
      </c>
      <c r="D7604" t="inlineStr">
        <is>
          <t>VÄSTERNORRLANDS LÄN</t>
        </is>
      </c>
      <c r="E7604" t="inlineStr">
        <is>
          <t>ÖRNSKÖLDSVIK</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60604-2022</t>
        </is>
      </c>
      <c r="B7605" s="1" t="n">
        <v>44911</v>
      </c>
      <c r="C7605" s="1" t="n">
        <v>45657</v>
      </c>
      <c r="D7605" t="inlineStr">
        <is>
          <t>VÄSTERNORRLANDS LÄN</t>
        </is>
      </c>
      <c r="E7605" t="inlineStr">
        <is>
          <t>SUNDSVALL</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60613-2022</t>
        </is>
      </c>
      <c r="B7606" s="1" t="n">
        <v>44911</v>
      </c>
      <c r="C7606" s="1" t="n">
        <v>45657</v>
      </c>
      <c r="D7606" t="inlineStr">
        <is>
          <t>VÄSTERNORRLANDS LÄN</t>
        </is>
      </c>
      <c r="E7606" t="inlineStr">
        <is>
          <t>SUNDSVALL</t>
        </is>
      </c>
      <c r="F7606" t="inlineStr">
        <is>
          <t>Kyrkan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60665-2022</t>
        </is>
      </c>
      <c r="B7607" s="1" t="n">
        <v>44911</v>
      </c>
      <c r="C7607" s="1" t="n">
        <v>45657</v>
      </c>
      <c r="D7607" t="inlineStr">
        <is>
          <t>VÄSTERNORRLANDS LÄN</t>
        </is>
      </c>
      <c r="E7607" t="inlineStr">
        <is>
          <t>SOLLEFTEÅ</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60664-2022</t>
        </is>
      </c>
      <c r="B7608" s="1" t="n">
        <v>44911</v>
      </c>
      <c r="C7608" s="1" t="n">
        <v>45657</v>
      </c>
      <c r="D7608" t="inlineStr">
        <is>
          <t>VÄSTERNORRLANDS LÄN</t>
        </is>
      </c>
      <c r="E7608" t="inlineStr">
        <is>
          <t>SOLLEFTEÅ</t>
        </is>
      </c>
      <c r="F7608" t="inlineStr">
        <is>
          <t>SCA</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60651-2022</t>
        </is>
      </c>
      <c r="B7609" s="1" t="n">
        <v>44911</v>
      </c>
      <c r="C7609" s="1" t="n">
        <v>45657</v>
      </c>
      <c r="D7609" t="inlineStr">
        <is>
          <t>VÄSTERNORRLANDS LÄN</t>
        </is>
      </c>
      <c r="E7609" t="inlineStr">
        <is>
          <t>SUNDSVALL</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60658-2022</t>
        </is>
      </c>
      <c r="B7610" s="1" t="n">
        <v>44911</v>
      </c>
      <c r="C7610" s="1" t="n">
        <v>45657</v>
      </c>
      <c r="D7610" t="inlineStr">
        <is>
          <t>VÄSTERNORRLANDS LÄN</t>
        </is>
      </c>
      <c r="E7610" t="inlineStr">
        <is>
          <t>ÅNGE</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60684-2022</t>
        </is>
      </c>
      <c r="B7611" s="1" t="n">
        <v>44911</v>
      </c>
      <c r="C7611" s="1" t="n">
        <v>45657</v>
      </c>
      <c r="D7611" t="inlineStr">
        <is>
          <t>VÄSTERNORRLANDS LÄN</t>
        </is>
      </c>
      <c r="E7611" t="inlineStr">
        <is>
          <t>SUNDSVALL</t>
        </is>
      </c>
      <c r="F7611" t="inlineStr">
        <is>
          <t>SCA</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60650-2022</t>
        </is>
      </c>
      <c r="B7612" s="1" t="n">
        <v>44911</v>
      </c>
      <c r="C7612" s="1" t="n">
        <v>45657</v>
      </c>
      <c r="D7612" t="inlineStr">
        <is>
          <t>VÄSTERNORRLANDS LÄN</t>
        </is>
      </c>
      <c r="E7612" t="inlineStr">
        <is>
          <t>SUNDSVALL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60666-2022</t>
        </is>
      </c>
      <c r="B7613" s="1" t="n">
        <v>44911</v>
      </c>
      <c r="C7613" s="1" t="n">
        <v>45657</v>
      </c>
      <c r="D7613" t="inlineStr">
        <is>
          <t>VÄSTERNORRLANDS LÄN</t>
        </is>
      </c>
      <c r="E7613" t="inlineStr">
        <is>
          <t>SOLLEFTEÅ</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60890-2022</t>
        </is>
      </c>
      <c r="B7614" s="1" t="n">
        <v>44914</v>
      </c>
      <c r="C7614" s="1" t="n">
        <v>45657</v>
      </c>
      <c r="D7614" t="inlineStr">
        <is>
          <t>VÄSTERNORRLANDS LÄN</t>
        </is>
      </c>
      <c r="E7614" t="inlineStr">
        <is>
          <t>SUNDSVALL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61049-2022</t>
        </is>
      </c>
      <c r="B7615" s="1" t="n">
        <v>44915</v>
      </c>
      <c r="C7615" s="1" t="n">
        <v>45657</v>
      </c>
      <c r="D7615" t="inlineStr">
        <is>
          <t>VÄSTERNORRLANDS LÄN</t>
        </is>
      </c>
      <c r="E7615" t="inlineStr">
        <is>
          <t>SUNDSVALL</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60770-2022</t>
        </is>
      </c>
      <c r="B7616" s="1" t="n">
        <v>44914</v>
      </c>
      <c r="C7616" s="1" t="n">
        <v>45657</v>
      </c>
      <c r="D7616" t="inlineStr">
        <is>
          <t>VÄSTERNORRLANDS LÄN</t>
        </is>
      </c>
      <c r="E7616" t="inlineStr">
        <is>
          <t>ÅNGE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60841-2022</t>
        </is>
      </c>
      <c r="B7617" s="1" t="n">
        <v>44914</v>
      </c>
      <c r="C7617" s="1" t="n">
        <v>45657</v>
      </c>
      <c r="D7617" t="inlineStr">
        <is>
          <t>VÄSTERNORRLANDS LÄN</t>
        </is>
      </c>
      <c r="E7617" t="inlineStr">
        <is>
          <t>ÖRNSKÖLDSVIK</t>
        </is>
      </c>
      <c r="F7617" t="inlineStr">
        <is>
          <t>Holmen skog AB</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60860-2022</t>
        </is>
      </c>
      <c r="B7618" s="1" t="n">
        <v>44914</v>
      </c>
      <c r="C7618" s="1" t="n">
        <v>45657</v>
      </c>
      <c r="D7618" t="inlineStr">
        <is>
          <t>VÄSTERNORRLANDS LÄN</t>
        </is>
      </c>
      <c r="E7618" t="inlineStr">
        <is>
          <t>ÅNGE</t>
        </is>
      </c>
      <c r="F7618" t="inlineStr">
        <is>
          <t>Holmen skog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60888-2022</t>
        </is>
      </c>
      <c r="B7619" s="1" t="n">
        <v>44914</v>
      </c>
      <c r="C7619" s="1" t="n">
        <v>45657</v>
      </c>
      <c r="D7619" t="inlineStr">
        <is>
          <t>VÄSTERNORRLANDS LÄN</t>
        </is>
      </c>
      <c r="E7619" t="inlineStr">
        <is>
          <t>ÖRNSKÖLDSVIK</t>
        </is>
      </c>
      <c r="F7619" t="inlineStr">
        <is>
          <t>Holmen skog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62001-2022</t>
        </is>
      </c>
      <c r="B7620" s="1" t="n">
        <v>44914</v>
      </c>
      <c r="C7620" s="1" t="n">
        <v>45657</v>
      </c>
      <c r="D7620" t="inlineStr">
        <is>
          <t>VÄSTERNORRLANDS LÄN</t>
        </is>
      </c>
      <c r="E7620" t="inlineStr">
        <is>
          <t>ÖRNSKÖLDSVIK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61090-2022</t>
        </is>
      </c>
      <c r="B7621" s="1" t="n">
        <v>44915</v>
      </c>
      <c r="C7621" s="1" t="n">
        <v>45657</v>
      </c>
      <c r="D7621" t="inlineStr">
        <is>
          <t>VÄSTERNORRLANDS LÄN</t>
        </is>
      </c>
      <c r="E7621" t="inlineStr">
        <is>
          <t>ÖRNSKÖLDSVIK</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61085-2022</t>
        </is>
      </c>
      <c r="B7622" s="1" t="n">
        <v>44915</v>
      </c>
      <c r="C7622" s="1" t="n">
        <v>45657</v>
      </c>
      <c r="D7622" t="inlineStr">
        <is>
          <t>VÄSTERNORRLANDS LÄN</t>
        </is>
      </c>
      <c r="E7622" t="inlineStr">
        <is>
          <t>ÖRNSKÖLDSVIK</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61081-2022</t>
        </is>
      </c>
      <c r="B7623" s="1" t="n">
        <v>44915</v>
      </c>
      <c r="C7623" s="1" t="n">
        <v>45657</v>
      </c>
      <c r="D7623" t="inlineStr">
        <is>
          <t>VÄSTERNORRLANDS LÄN</t>
        </is>
      </c>
      <c r="E7623" t="inlineStr">
        <is>
          <t>ÖRNSKÖLDSVIK</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61183-2022</t>
        </is>
      </c>
      <c r="B7624" s="1" t="n">
        <v>44915</v>
      </c>
      <c r="C7624" s="1" t="n">
        <v>45657</v>
      </c>
      <c r="D7624" t="inlineStr">
        <is>
          <t>VÄSTERNORRLANDS LÄN</t>
        </is>
      </c>
      <c r="E7624" t="inlineStr">
        <is>
          <t>ÖRNSKÖLDSVIK</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61244-2022</t>
        </is>
      </c>
      <c r="B7625" s="1" t="n">
        <v>44915</v>
      </c>
      <c r="C7625" s="1" t="n">
        <v>45657</v>
      </c>
      <c r="D7625" t="inlineStr">
        <is>
          <t>VÄSTERNORRLANDS LÄN</t>
        </is>
      </c>
      <c r="E7625" t="inlineStr">
        <is>
          <t>ÖRNSKÖLDSVIK</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61304-2022</t>
        </is>
      </c>
      <c r="B7626" s="1" t="n">
        <v>44915</v>
      </c>
      <c r="C7626" s="1" t="n">
        <v>45657</v>
      </c>
      <c r="D7626" t="inlineStr">
        <is>
          <t>VÄSTERNORRLANDS LÄN</t>
        </is>
      </c>
      <c r="E7626" t="inlineStr">
        <is>
          <t>KRAMFORS</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61095-2022</t>
        </is>
      </c>
      <c r="B7627" s="1" t="n">
        <v>44915</v>
      </c>
      <c r="C7627" s="1" t="n">
        <v>45657</v>
      </c>
      <c r="D7627" t="inlineStr">
        <is>
          <t>VÄSTERNORRLANDS LÄN</t>
        </is>
      </c>
      <c r="E7627" t="inlineStr">
        <is>
          <t>ÖRNSKÖLDSVIK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61187-2022</t>
        </is>
      </c>
      <c r="B7628" s="1" t="n">
        <v>44915</v>
      </c>
      <c r="C7628" s="1" t="n">
        <v>45657</v>
      </c>
      <c r="D7628" t="inlineStr">
        <is>
          <t>VÄSTERNORRLANDS LÄN</t>
        </is>
      </c>
      <c r="E7628" t="inlineStr">
        <is>
          <t>ÖRNSKÖLDSVIK</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61373-2022</t>
        </is>
      </c>
      <c r="B7629" s="1" t="n">
        <v>44915</v>
      </c>
      <c r="C7629" s="1" t="n">
        <v>45657</v>
      </c>
      <c r="D7629" t="inlineStr">
        <is>
          <t>VÄSTERNORRLANDS LÄN</t>
        </is>
      </c>
      <c r="E7629" t="inlineStr">
        <is>
          <t>TIMRÅ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61384-2022</t>
        </is>
      </c>
      <c r="B7630" s="1" t="n">
        <v>44915</v>
      </c>
      <c r="C7630" s="1" t="n">
        <v>45657</v>
      </c>
      <c r="D7630" t="inlineStr">
        <is>
          <t>VÄSTERNORRLANDS LÄN</t>
        </is>
      </c>
      <c r="E7630" t="inlineStr">
        <is>
          <t>SOLLEFTEÅ</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61345-2022</t>
        </is>
      </c>
      <c r="B7631" s="1" t="n">
        <v>44915</v>
      </c>
      <c r="C7631" s="1" t="n">
        <v>45657</v>
      </c>
      <c r="D7631" t="inlineStr">
        <is>
          <t>VÄSTERNORRLANDS LÄN</t>
        </is>
      </c>
      <c r="E7631" t="inlineStr">
        <is>
          <t>SOLLEFTEÅ</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61341-2022</t>
        </is>
      </c>
      <c r="B7632" s="1" t="n">
        <v>44915</v>
      </c>
      <c r="C7632" s="1" t="n">
        <v>45657</v>
      </c>
      <c r="D7632" t="inlineStr">
        <is>
          <t>VÄSTERNORRLANDS LÄN</t>
        </is>
      </c>
      <c r="E7632" t="inlineStr">
        <is>
          <t>SOLLEFTEÅ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61376-2022</t>
        </is>
      </c>
      <c r="B7633" s="1" t="n">
        <v>44915</v>
      </c>
      <c r="C7633" s="1" t="n">
        <v>45657</v>
      </c>
      <c r="D7633" t="inlineStr">
        <is>
          <t>VÄSTERNORRLANDS LÄN</t>
        </is>
      </c>
      <c r="E7633" t="inlineStr">
        <is>
          <t>SOLLEFTEÅ</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61392-2022</t>
        </is>
      </c>
      <c r="B7634" s="1" t="n">
        <v>44915</v>
      </c>
      <c r="C7634" s="1" t="n">
        <v>45657</v>
      </c>
      <c r="D7634" t="inlineStr">
        <is>
          <t>VÄSTERNORRLANDS LÄN</t>
        </is>
      </c>
      <c r="E7634" t="inlineStr">
        <is>
          <t>ÖRNSKÖLDSVIK</t>
        </is>
      </c>
      <c r="F7634" t="inlineStr">
        <is>
          <t>SCA</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61391-2022</t>
        </is>
      </c>
      <c r="B7635" s="1" t="n">
        <v>44915</v>
      </c>
      <c r="C7635" s="1" t="n">
        <v>45657</v>
      </c>
      <c r="D7635" t="inlineStr">
        <is>
          <t>VÄSTERNORRLANDS LÄN</t>
        </is>
      </c>
      <c r="E7635" t="inlineStr">
        <is>
          <t>SOLLEFTEÅ</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61383-2022</t>
        </is>
      </c>
      <c r="B7636" s="1" t="n">
        <v>44915</v>
      </c>
      <c r="C7636" s="1" t="n">
        <v>45657</v>
      </c>
      <c r="D7636" t="inlineStr">
        <is>
          <t>VÄSTERNORRLANDS LÄN</t>
        </is>
      </c>
      <c r="E7636" t="inlineStr">
        <is>
          <t>SOLLEFTEÅ</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61408-2022</t>
        </is>
      </c>
      <c r="B7637" s="1" t="n">
        <v>44916</v>
      </c>
      <c r="C7637" s="1" t="n">
        <v>45657</v>
      </c>
      <c r="D7637" t="inlineStr">
        <is>
          <t>VÄSTERNORRLANDS LÄN</t>
        </is>
      </c>
      <c r="E7637" t="inlineStr">
        <is>
          <t>ÖRNSKÖLDSVIK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61437-2022</t>
        </is>
      </c>
      <c r="B7638" s="1" t="n">
        <v>44916</v>
      </c>
      <c r="C7638" s="1" t="n">
        <v>45657</v>
      </c>
      <c r="D7638" t="inlineStr">
        <is>
          <t>VÄSTERNORRLANDS LÄN</t>
        </is>
      </c>
      <c r="E7638" t="inlineStr">
        <is>
          <t>HÄRNÖSAND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61445-2022</t>
        </is>
      </c>
      <c r="B7639" s="1" t="n">
        <v>44916</v>
      </c>
      <c r="C7639" s="1" t="n">
        <v>45657</v>
      </c>
      <c r="D7639" t="inlineStr">
        <is>
          <t>VÄSTERNORRLANDS LÄN</t>
        </is>
      </c>
      <c r="E7639" t="inlineStr">
        <is>
          <t>ÖRNSKÖLDSVIK</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61585-2022</t>
        </is>
      </c>
      <c r="B7640" s="1" t="n">
        <v>44916</v>
      </c>
      <c r="C7640" s="1" t="n">
        <v>45657</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61440-2022</t>
        </is>
      </c>
      <c r="B7641" s="1" t="n">
        <v>44916</v>
      </c>
      <c r="C7641" s="1" t="n">
        <v>45657</v>
      </c>
      <c r="D7641" t="inlineStr">
        <is>
          <t>VÄSTERNORRLANDS LÄN</t>
        </is>
      </c>
      <c r="E7641" t="inlineStr">
        <is>
          <t>HÄRNÖSAND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61630-2022</t>
        </is>
      </c>
      <c r="B7642" s="1" t="n">
        <v>44916</v>
      </c>
      <c r="C7642" s="1" t="n">
        <v>45657</v>
      </c>
      <c r="D7642" t="inlineStr">
        <is>
          <t>VÄSTERNORRLANDS LÄN</t>
        </is>
      </c>
      <c r="E7642" t="inlineStr">
        <is>
          <t>ÖRNSKÖLDSVIK</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62224-2022</t>
        </is>
      </c>
      <c r="B7643" s="1" t="n">
        <v>44916</v>
      </c>
      <c r="C7643" s="1" t="n">
        <v>45657</v>
      </c>
      <c r="D7643" t="inlineStr">
        <is>
          <t>VÄSTERNORRLANDS LÄN</t>
        </is>
      </c>
      <c r="E7643" t="inlineStr">
        <is>
          <t>KRAMFORS</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62340-2022</t>
        </is>
      </c>
      <c r="B7644" s="1" t="n">
        <v>44916</v>
      </c>
      <c r="C7644" s="1" t="n">
        <v>45657</v>
      </c>
      <c r="D7644" t="inlineStr">
        <is>
          <t>VÄSTERNORRLANDS LÄN</t>
        </is>
      </c>
      <c r="E7644" t="inlineStr">
        <is>
          <t>ÖRNSKÖLDSVIK</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62226-2022</t>
        </is>
      </c>
      <c r="B7645" s="1" t="n">
        <v>44916</v>
      </c>
      <c r="C7645" s="1" t="n">
        <v>45657</v>
      </c>
      <c r="D7645" t="inlineStr">
        <is>
          <t>VÄSTERNORRLANDS LÄN</t>
        </is>
      </c>
      <c r="E7645" t="inlineStr">
        <is>
          <t>KRAMFORS</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62337-2022</t>
        </is>
      </c>
      <c r="B7646" s="1" t="n">
        <v>44916</v>
      </c>
      <c r="C7646" s="1" t="n">
        <v>45657</v>
      </c>
      <c r="D7646" t="inlineStr">
        <is>
          <t>VÄSTERNORRLANDS LÄN</t>
        </is>
      </c>
      <c r="E7646" t="inlineStr">
        <is>
          <t>ÖRNSKÖLDSVIK</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62217-2022</t>
        </is>
      </c>
      <c r="B7647" s="1" t="n">
        <v>44916</v>
      </c>
      <c r="C7647" s="1" t="n">
        <v>45657</v>
      </c>
      <c r="D7647" t="inlineStr">
        <is>
          <t>VÄSTERNORRLANDS LÄN</t>
        </is>
      </c>
      <c r="E7647" t="inlineStr">
        <is>
          <t>SOLLEFTEÅ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62331-2022</t>
        </is>
      </c>
      <c r="B7648" s="1" t="n">
        <v>44916</v>
      </c>
      <c r="C7648" s="1" t="n">
        <v>45657</v>
      </c>
      <c r="D7648" t="inlineStr">
        <is>
          <t>VÄSTERNORRLANDS LÄN</t>
        </is>
      </c>
      <c r="E7648" t="inlineStr">
        <is>
          <t>ÖRNSKÖLDSVIK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62342-2022</t>
        </is>
      </c>
      <c r="B7649" s="1" t="n">
        <v>44916</v>
      </c>
      <c r="C7649" s="1" t="n">
        <v>45657</v>
      </c>
      <c r="D7649" t="inlineStr">
        <is>
          <t>VÄSTERNORRLANDS LÄN</t>
        </is>
      </c>
      <c r="E7649" t="inlineStr">
        <is>
          <t>ÖRNSKÖLDSVIK</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62333-2022</t>
        </is>
      </c>
      <c r="B7650" s="1" t="n">
        <v>44916</v>
      </c>
      <c r="C7650" s="1" t="n">
        <v>45657</v>
      </c>
      <c r="D7650" t="inlineStr">
        <is>
          <t>VÄSTERNORRLANDS LÄN</t>
        </is>
      </c>
      <c r="E7650" t="inlineStr">
        <is>
          <t>ÖRNSKÖLDSVIK</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61674-2022</t>
        </is>
      </c>
      <c r="B7651" s="1" t="n">
        <v>44917</v>
      </c>
      <c r="C7651" s="1" t="n">
        <v>45657</v>
      </c>
      <c r="D7651" t="inlineStr">
        <is>
          <t>VÄSTERNORRLANDS LÄN</t>
        </is>
      </c>
      <c r="E7651" t="inlineStr">
        <is>
          <t>ÖRNSKÖLDSVIK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61727-2022</t>
        </is>
      </c>
      <c r="B7652" s="1" t="n">
        <v>44917</v>
      </c>
      <c r="C7652" s="1" t="n">
        <v>45657</v>
      </c>
      <c r="D7652" t="inlineStr">
        <is>
          <t>VÄSTERNORRLANDS LÄN</t>
        </is>
      </c>
      <c r="E7652" t="inlineStr">
        <is>
          <t>SUNDSVALL</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61735-2022</t>
        </is>
      </c>
      <c r="B7653" s="1" t="n">
        <v>44917</v>
      </c>
      <c r="C7653" s="1" t="n">
        <v>45657</v>
      </c>
      <c r="D7653" t="inlineStr">
        <is>
          <t>VÄSTERNORRLANDS LÄN</t>
        </is>
      </c>
      <c r="E7653" t="inlineStr">
        <is>
          <t>SUNDSVALL</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61733-2022</t>
        </is>
      </c>
      <c r="B7654" s="1" t="n">
        <v>44917</v>
      </c>
      <c r="C7654" s="1" t="n">
        <v>45657</v>
      </c>
      <c r="D7654" t="inlineStr">
        <is>
          <t>VÄSTERNORRLANDS LÄN</t>
        </is>
      </c>
      <c r="E7654" t="inlineStr">
        <is>
          <t>SUNDSVALL</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61920-2022</t>
        </is>
      </c>
      <c r="B7655" s="1" t="n">
        <v>44917</v>
      </c>
      <c r="C7655" s="1" t="n">
        <v>45657</v>
      </c>
      <c r="D7655" t="inlineStr">
        <is>
          <t>VÄSTERNORRLANDS LÄN</t>
        </is>
      </c>
      <c r="E7655" t="inlineStr">
        <is>
          <t>SOLLEFTEÅ</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61936-2022</t>
        </is>
      </c>
      <c r="B7656" s="1" t="n">
        <v>44917</v>
      </c>
      <c r="C7656" s="1" t="n">
        <v>45657</v>
      </c>
      <c r="D7656" t="inlineStr">
        <is>
          <t>VÄSTERNORRLANDS LÄN</t>
        </is>
      </c>
      <c r="E7656" t="inlineStr">
        <is>
          <t>SOLLEFTEÅ</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62662-2022</t>
        </is>
      </c>
      <c r="B7657" s="1" t="n">
        <v>44917</v>
      </c>
      <c r="C7657" s="1" t="n">
        <v>45657</v>
      </c>
      <c r="D7657" t="inlineStr">
        <is>
          <t>VÄSTERNORRLANDS LÄN</t>
        </is>
      </c>
      <c r="E7657" t="inlineStr">
        <is>
          <t>SOLLEFTEÅ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61933-2022</t>
        </is>
      </c>
      <c r="B7658" s="1" t="n">
        <v>44917</v>
      </c>
      <c r="C7658" s="1" t="n">
        <v>45657</v>
      </c>
      <c r="D7658" t="inlineStr">
        <is>
          <t>VÄSTERNORRLANDS LÄN</t>
        </is>
      </c>
      <c r="E7658" t="inlineStr">
        <is>
          <t>ÖRNSKÖLDSVIK</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62076-2022</t>
        </is>
      </c>
      <c r="B7659" s="1" t="n">
        <v>44918</v>
      </c>
      <c r="C7659" s="1" t="n">
        <v>45657</v>
      </c>
      <c r="D7659" t="inlineStr">
        <is>
          <t>VÄSTERNORRLANDS LÄN</t>
        </is>
      </c>
      <c r="E7659" t="inlineStr">
        <is>
          <t>SUNDSVALL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38-2023</t>
        </is>
      </c>
      <c r="B7660" s="1" t="n">
        <v>44918</v>
      </c>
      <c r="C7660" s="1" t="n">
        <v>45657</v>
      </c>
      <c r="D7660" t="inlineStr">
        <is>
          <t>VÄSTERNORRLANDS LÄN</t>
        </is>
      </c>
      <c r="E7660" t="inlineStr">
        <is>
          <t>ÖRNSKÖLDSVIK</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28-2023</t>
        </is>
      </c>
      <c r="B7661" s="1" t="n">
        <v>44918</v>
      </c>
      <c r="C7661" s="1" t="n">
        <v>45657</v>
      </c>
      <c r="D7661" t="inlineStr">
        <is>
          <t>VÄSTERNORRLANDS LÄN</t>
        </is>
      </c>
      <c r="E7661" t="inlineStr">
        <is>
          <t>SOLLEFTEÅ</t>
        </is>
      </c>
      <c r="G7661" t="n">
        <v>23.8</v>
      </c>
      <c r="H7661" t="n">
        <v>0</v>
      </c>
      <c r="I7661" t="n">
        <v>0</v>
      </c>
      <c r="J7661" t="n">
        <v>0</v>
      </c>
      <c r="K7661" t="n">
        <v>0</v>
      </c>
      <c r="L7661" t="n">
        <v>0</v>
      </c>
      <c r="M7661" t="n">
        <v>0</v>
      </c>
      <c r="N7661" t="n">
        <v>0</v>
      </c>
      <c r="O7661" t="n">
        <v>0</v>
      </c>
      <c r="P7661" t="n">
        <v>0</v>
      </c>
      <c r="Q7661" t="n">
        <v>0</v>
      </c>
      <c r="R7661" s="2" t="inlineStr"/>
    </row>
    <row r="7662" ht="15" customHeight="1">
      <c r="A7662" t="inlineStr">
        <is>
          <t>A 62091-2022</t>
        </is>
      </c>
      <c r="B7662" s="1" t="n">
        <v>44919</v>
      </c>
      <c r="C7662" s="1" t="n">
        <v>45657</v>
      </c>
      <c r="D7662" t="inlineStr">
        <is>
          <t>VÄSTERNORRLANDS LÄN</t>
        </is>
      </c>
      <c r="E7662" t="inlineStr">
        <is>
          <t>ÖRNSKÖLDSVIK</t>
        </is>
      </c>
      <c r="G7662" t="n">
        <v>44.3</v>
      </c>
      <c r="H7662" t="n">
        <v>0</v>
      </c>
      <c r="I7662" t="n">
        <v>0</v>
      </c>
      <c r="J7662" t="n">
        <v>0</v>
      </c>
      <c r="K7662" t="n">
        <v>0</v>
      </c>
      <c r="L7662" t="n">
        <v>0</v>
      </c>
      <c r="M7662" t="n">
        <v>0</v>
      </c>
      <c r="N7662" t="n">
        <v>0</v>
      </c>
      <c r="O7662" t="n">
        <v>0</v>
      </c>
      <c r="P7662" t="n">
        <v>0</v>
      </c>
      <c r="Q7662" t="n">
        <v>0</v>
      </c>
      <c r="R7662" s="2" t="inlineStr"/>
    </row>
    <row r="7663" ht="15" customHeight="1">
      <c r="A7663" t="inlineStr">
        <is>
          <t>A 62085-2022</t>
        </is>
      </c>
      <c r="B7663" s="1" t="n">
        <v>44919</v>
      </c>
      <c r="C7663" s="1" t="n">
        <v>45657</v>
      </c>
      <c r="D7663" t="inlineStr">
        <is>
          <t>VÄSTERNORRLANDS LÄN</t>
        </is>
      </c>
      <c r="E7663" t="inlineStr">
        <is>
          <t>ÖRNSKÖLDSVIK</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62089-2022</t>
        </is>
      </c>
      <c r="B7664" s="1" t="n">
        <v>44919</v>
      </c>
      <c r="C7664" s="1" t="n">
        <v>45657</v>
      </c>
      <c r="D7664" t="inlineStr">
        <is>
          <t>VÄSTERNORRLANDS LÄN</t>
        </is>
      </c>
      <c r="E7664" t="inlineStr">
        <is>
          <t>ÖRNSKÖLDSVIK</t>
        </is>
      </c>
      <c r="G7664" t="n">
        <v>24.7</v>
      </c>
      <c r="H7664" t="n">
        <v>0</v>
      </c>
      <c r="I7664" t="n">
        <v>0</v>
      </c>
      <c r="J7664" t="n">
        <v>0</v>
      </c>
      <c r="K7664" t="n">
        <v>0</v>
      </c>
      <c r="L7664" t="n">
        <v>0</v>
      </c>
      <c r="M7664" t="n">
        <v>0</v>
      </c>
      <c r="N7664" t="n">
        <v>0</v>
      </c>
      <c r="O7664" t="n">
        <v>0</v>
      </c>
      <c r="P7664" t="n">
        <v>0</v>
      </c>
      <c r="Q7664" t="n">
        <v>0</v>
      </c>
      <c r="R7664" s="2" t="inlineStr"/>
    </row>
    <row r="7665" ht="15" customHeight="1">
      <c r="A7665" t="inlineStr">
        <is>
          <t>A 62090-2022</t>
        </is>
      </c>
      <c r="B7665" s="1" t="n">
        <v>44919</v>
      </c>
      <c r="C7665" s="1" t="n">
        <v>45657</v>
      </c>
      <c r="D7665" t="inlineStr">
        <is>
          <t>VÄSTERNORRLANDS LÄN</t>
        </is>
      </c>
      <c r="E7665" t="inlineStr">
        <is>
          <t>ÖRNSKÖLDSVIK</t>
        </is>
      </c>
      <c r="G7665" t="n">
        <v>24.8</v>
      </c>
      <c r="H7665" t="n">
        <v>0</v>
      </c>
      <c r="I7665" t="n">
        <v>0</v>
      </c>
      <c r="J7665" t="n">
        <v>0</v>
      </c>
      <c r="K7665" t="n">
        <v>0</v>
      </c>
      <c r="L7665" t="n">
        <v>0</v>
      </c>
      <c r="M7665" t="n">
        <v>0</v>
      </c>
      <c r="N7665" t="n">
        <v>0</v>
      </c>
      <c r="O7665" t="n">
        <v>0</v>
      </c>
      <c r="P7665" t="n">
        <v>0</v>
      </c>
      <c r="Q7665" t="n">
        <v>0</v>
      </c>
      <c r="R7665" s="2" t="inlineStr"/>
    </row>
    <row r="7666" ht="15" customHeight="1">
      <c r="A7666" t="inlineStr">
        <is>
          <t>A 62107-2022</t>
        </is>
      </c>
      <c r="B7666" s="1" t="n">
        <v>44920</v>
      </c>
      <c r="C7666" s="1" t="n">
        <v>45657</v>
      </c>
      <c r="D7666" t="inlineStr">
        <is>
          <t>VÄSTERNORRLANDS LÄN</t>
        </is>
      </c>
      <c r="E7666" t="inlineStr">
        <is>
          <t>ÖRNSKÖLDSVIK</t>
        </is>
      </c>
      <c r="G7666" t="n">
        <v>26.3</v>
      </c>
      <c r="H7666" t="n">
        <v>0</v>
      </c>
      <c r="I7666" t="n">
        <v>0</v>
      </c>
      <c r="J7666" t="n">
        <v>0</v>
      </c>
      <c r="K7666" t="n">
        <v>0</v>
      </c>
      <c r="L7666" t="n">
        <v>0</v>
      </c>
      <c r="M7666" t="n">
        <v>0</v>
      </c>
      <c r="N7666" t="n">
        <v>0</v>
      </c>
      <c r="O7666" t="n">
        <v>0</v>
      </c>
      <c r="P7666" t="n">
        <v>0</v>
      </c>
      <c r="Q7666" t="n">
        <v>0</v>
      </c>
      <c r="R7666" s="2" t="inlineStr"/>
    </row>
    <row r="7667" ht="15" customHeight="1">
      <c r="A7667" t="inlineStr">
        <is>
          <t>A 62113-2022</t>
        </is>
      </c>
      <c r="B7667" s="1" t="n">
        <v>44921</v>
      </c>
      <c r="C7667" s="1" t="n">
        <v>45657</v>
      </c>
      <c r="D7667" t="inlineStr">
        <is>
          <t>VÄSTERNORRLANDS LÄN</t>
        </is>
      </c>
      <c r="E7667" t="inlineStr">
        <is>
          <t>TIMRÅ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62262-2022</t>
        </is>
      </c>
      <c r="B7668" s="1" t="n">
        <v>44922</v>
      </c>
      <c r="C7668" s="1" t="n">
        <v>45657</v>
      </c>
      <c r="D7668" t="inlineStr">
        <is>
          <t>VÄSTERNORRLANDS LÄN</t>
        </is>
      </c>
      <c r="E7668" t="inlineStr">
        <is>
          <t>SOLLEFTEÅ</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62260-2022</t>
        </is>
      </c>
      <c r="B7669" s="1" t="n">
        <v>44922</v>
      </c>
      <c r="C7669" s="1" t="n">
        <v>45657</v>
      </c>
      <c r="D7669" t="inlineStr">
        <is>
          <t>VÄSTERNORRLANDS LÄN</t>
        </is>
      </c>
      <c r="E7669" t="inlineStr">
        <is>
          <t>SOLLEFTEÅ</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62257-2022</t>
        </is>
      </c>
      <c r="B7670" s="1" t="n">
        <v>44922</v>
      </c>
      <c r="C7670" s="1" t="n">
        <v>45657</v>
      </c>
      <c r="D7670" t="inlineStr">
        <is>
          <t>VÄSTERNORRLANDS LÄN</t>
        </is>
      </c>
      <c r="E7670" t="inlineStr">
        <is>
          <t>ÖRNSKÖLDSVIK</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62261-2022</t>
        </is>
      </c>
      <c r="B7671" s="1" t="n">
        <v>44922</v>
      </c>
      <c r="C7671" s="1" t="n">
        <v>45657</v>
      </c>
      <c r="D7671" t="inlineStr">
        <is>
          <t>VÄSTERNORRLANDS LÄN</t>
        </is>
      </c>
      <c r="E7671" t="inlineStr">
        <is>
          <t>ÅNGE</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192-2023</t>
        </is>
      </c>
      <c r="B7672" s="1" t="n">
        <v>44922</v>
      </c>
      <c r="C7672" s="1" t="n">
        <v>45657</v>
      </c>
      <c r="D7672" t="inlineStr">
        <is>
          <t>VÄSTERNORRLANDS LÄN</t>
        </is>
      </c>
      <c r="E7672" t="inlineStr">
        <is>
          <t>SOLLEFTEÅ</t>
        </is>
      </c>
      <c r="G7672" t="n">
        <v>20.9</v>
      </c>
      <c r="H7672" t="n">
        <v>0</v>
      </c>
      <c r="I7672" t="n">
        <v>0</v>
      </c>
      <c r="J7672" t="n">
        <v>0</v>
      </c>
      <c r="K7672" t="n">
        <v>0</v>
      </c>
      <c r="L7672" t="n">
        <v>0</v>
      </c>
      <c r="M7672" t="n">
        <v>0</v>
      </c>
      <c r="N7672" t="n">
        <v>0</v>
      </c>
      <c r="O7672" t="n">
        <v>0</v>
      </c>
      <c r="P7672" t="n">
        <v>0</v>
      </c>
      <c r="Q7672" t="n">
        <v>0</v>
      </c>
      <c r="R7672" s="2" t="inlineStr"/>
    </row>
    <row r="7673" ht="15" customHeight="1">
      <c r="A7673" t="inlineStr">
        <is>
          <t>A 62357-2022</t>
        </is>
      </c>
      <c r="B7673" s="1" t="n">
        <v>44923</v>
      </c>
      <c r="C7673" s="1" t="n">
        <v>45657</v>
      </c>
      <c r="D7673" t="inlineStr">
        <is>
          <t>VÄSTERNORRLANDS LÄN</t>
        </is>
      </c>
      <c r="E7673" t="inlineStr">
        <is>
          <t>ÖRNSKÖLDSVIK</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62290-2022</t>
        </is>
      </c>
      <c r="B7674" s="1" t="n">
        <v>44923</v>
      </c>
      <c r="C7674" s="1" t="n">
        <v>45657</v>
      </c>
      <c r="D7674" t="inlineStr">
        <is>
          <t>VÄSTERNORRLANDS LÄN</t>
        </is>
      </c>
      <c r="E7674" t="inlineStr">
        <is>
          <t>ÅNGE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62406-2022</t>
        </is>
      </c>
      <c r="B7675" s="1" t="n">
        <v>44923</v>
      </c>
      <c r="C7675" s="1" t="n">
        <v>45657</v>
      </c>
      <c r="D7675" t="inlineStr">
        <is>
          <t>VÄSTERNORRLANDS LÄN</t>
        </is>
      </c>
      <c r="E7675" t="inlineStr">
        <is>
          <t>SOLLEFTEÅ</t>
        </is>
      </c>
      <c r="F7675" t="inlineStr">
        <is>
          <t>SCA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62524-2022</t>
        </is>
      </c>
      <c r="B7676" s="1" t="n">
        <v>44924</v>
      </c>
      <c r="C7676" s="1" t="n">
        <v>45657</v>
      </c>
      <c r="D7676" t="inlineStr">
        <is>
          <t>VÄSTERNORRLANDS LÄN</t>
        </is>
      </c>
      <c r="E7676" t="inlineStr">
        <is>
          <t>ÖRNSKÖLDSVIK</t>
        </is>
      </c>
      <c r="F7676" t="inlineStr">
        <is>
          <t>Holmen skog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62507-2022</t>
        </is>
      </c>
      <c r="B7677" s="1" t="n">
        <v>44924</v>
      </c>
      <c r="C7677" s="1" t="n">
        <v>45657</v>
      </c>
      <c r="D7677" t="inlineStr">
        <is>
          <t>VÄSTERNORRLANDS LÄN</t>
        </is>
      </c>
      <c r="E7677" t="inlineStr">
        <is>
          <t>SOLLEFTEÅ</t>
        </is>
      </c>
      <c r="F7677" t="inlineStr">
        <is>
          <t>Holmen skog AB</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62441-2022</t>
        </is>
      </c>
      <c r="B7678" s="1" t="n">
        <v>44924</v>
      </c>
      <c r="C7678" s="1" t="n">
        <v>45657</v>
      </c>
      <c r="D7678" t="inlineStr">
        <is>
          <t>VÄSTERNORRLANDS LÄN</t>
        </is>
      </c>
      <c r="E7678" t="inlineStr">
        <is>
          <t>ÅNGE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62438-2022</t>
        </is>
      </c>
      <c r="B7679" s="1" t="n">
        <v>44924</v>
      </c>
      <c r="C7679" s="1" t="n">
        <v>45657</v>
      </c>
      <c r="D7679" t="inlineStr">
        <is>
          <t>VÄSTERNORRLANDS LÄN</t>
        </is>
      </c>
      <c r="E7679" t="inlineStr">
        <is>
          <t>ÅNGE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528-2023</t>
        </is>
      </c>
      <c r="B7680" s="1" t="n">
        <v>44924</v>
      </c>
      <c r="C7680" s="1" t="n">
        <v>45657</v>
      </c>
      <c r="D7680" t="inlineStr">
        <is>
          <t>VÄSTERNORRLANDS LÄN</t>
        </is>
      </c>
      <c r="E7680" t="inlineStr">
        <is>
          <t>TIMRÅ</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524-2023</t>
        </is>
      </c>
      <c r="B7681" s="1" t="n">
        <v>44924</v>
      </c>
      <c r="C7681" s="1" t="n">
        <v>45657</v>
      </c>
      <c r="D7681" t="inlineStr">
        <is>
          <t>VÄSTERNORRLANDS LÄN</t>
        </is>
      </c>
      <c r="E7681" t="inlineStr">
        <is>
          <t>TIMRÅ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62745-2022</t>
        </is>
      </c>
      <c r="B7682" s="1" t="n">
        <v>44925</v>
      </c>
      <c r="C7682" s="1" t="n">
        <v>45657</v>
      </c>
      <c r="D7682" t="inlineStr">
        <is>
          <t>VÄSTERNORRLANDS LÄN</t>
        </is>
      </c>
      <c r="E7682" t="inlineStr">
        <is>
          <t>SOLLEFTEÅ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62750-2022</t>
        </is>
      </c>
      <c r="B7683" s="1" t="n">
        <v>44925</v>
      </c>
      <c r="C7683" s="1" t="n">
        <v>45657</v>
      </c>
      <c r="D7683" t="inlineStr">
        <is>
          <t>VÄSTERNORRLANDS LÄN</t>
        </is>
      </c>
      <c r="E7683" t="inlineStr">
        <is>
          <t>SOLLEFTEÅ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62710-2022</t>
        </is>
      </c>
      <c r="B7684" s="1" t="n">
        <v>44925</v>
      </c>
      <c r="C7684" s="1" t="n">
        <v>45657</v>
      </c>
      <c r="D7684" t="inlineStr">
        <is>
          <t>VÄSTERNORRLANDS LÄN</t>
        </is>
      </c>
      <c r="E7684" t="inlineStr">
        <is>
          <t>SOLLEFTEÅ</t>
        </is>
      </c>
      <c r="F7684" t="inlineStr">
        <is>
          <t>Holmen skog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62751-2022</t>
        </is>
      </c>
      <c r="B7685" s="1" t="n">
        <v>44925</v>
      </c>
      <c r="C7685" s="1" t="n">
        <v>45657</v>
      </c>
      <c r="D7685" t="inlineStr">
        <is>
          <t>VÄSTERNORRLANDS LÄN</t>
        </is>
      </c>
      <c r="E7685" t="inlineStr">
        <is>
          <t>ÖRNSKÖLDSVIK</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200-2023</t>
        </is>
      </c>
      <c r="B7686" s="1" t="n">
        <v>44928</v>
      </c>
      <c r="C7686" s="1" t="n">
        <v>45657</v>
      </c>
      <c r="D7686" t="inlineStr">
        <is>
          <t>VÄSTERNORRLANDS LÄN</t>
        </is>
      </c>
      <c r="E7686" t="inlineStr">
        <is>
          <t>SUNDSVALL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279-2023</t>
        </is>
      </c>
      <c r="B7687" s="1" t="n">
        <v>44928</v>
      </c>
      <c r="C7687" s="1" t="n">
        <v>45657</v>
      </c>
      <c r="D7687" t="inlineStr">
        <is>
          <t>VÄSTERNORRLANDS LÄN</t>
        </is>
      </c>
      <c r="E7687" t="inlineStr">
        <is>
          <t>SOLLEFTEÅ</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284-2023</t>
        </is>
      </c>
      <c r="B7688" s="1" t="n">
        <v>44928</v>
      </c>
      <c r="C7688" s="1" t="n">
        <v>45657</v>
      </c>
      <c r="D7688" t="inlineStr">
        <is>
          <t>VÄSTERNORRLANDS LÄN</t>
        </is>
      </c>
      <c r="E7688" t="inlineStr">
        <is>
          <t>SUNDSVALL</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795-2023</t>
        </is>
      </c>
      <c r="B7689" s="1" t="n">
        <v>44928</v>
      </c>
      <c r="C7689" s="1" t="n">
        <v>45657</v>
      </c>
      <c r="D7689" t="inlineStr">
        <is>
          <t>VÄSTERNORRLANDS LÄN</t>
        </is>
      </c>
      <c r="E7689" t="inlineStr">
        <is>
          <t>SUNDSVALL</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287-2023</t>
        </is>
      </c>
      <c r="B7690" s="1" t="n">
        <v>44928</v>
      </c>
      <c r="C7690" s="1" t="n">
        <v>45657</v>
      </c>
      <c r="D7690" t="inlineStr">
        <is>
          <t>VÄSTERNORRLANDS LÄN</t>
        </is>
      </c>
      <c r="E7690" t="inlineStr">
        <is>
          <t>ÖRNSKÖLDSVIK</t>
        </is>
      </c>
      <c r="F7690" t="inlineStr">
        <is>
          <t>SCA</t>
        </is>
      </c>
      <c r="G7690" t="n">
        <v>0.2</v>
      </c>
      <c r="H7690" t="n">
        <v>0</v>
      </c>
      <c r="I7690" t="n">
        <v>0</v>
      </c>
      <c r="J7690" t="n">
        <v>0</v>
      </c>
      <c r="K7690" t="n">
        <v>0</v>
      </c>
      <c r="L7690" t="n">
        <v>0</v>
      </c>
      <c r="M7690" t="n">
        <v>0</v>
      </c>
      <c r="N7690" t="n">
        <v>0</v>
      </c>
      <c r="O7690" t="n">
        <v>0</v>
      </c>
      <c r="P7690" t="n">
        <v>0</v>
      </c>
      <c r="Q7690" t="n">
        <v>0</v>
      </c>
      <c r="R7690" s="2" t="inlineStr"/>
    </row>
    <row r="7691" ht="15" customHeight="1">
      <c r="A7691" t="inlineStr">
        <is>
          <t>A 282-2023</t>
        </is>
      </c>
      <c r="B7691" s="1" t="n">
        <v>44928</v>
      </c>
      <c r="C7691" s="1" t="n">
        <v>45657</v>
      </c>
      <c r="D7691" t="inlineStr">
        <is>
          <t>VÄSTERNORRLANDS LÄN</t>
        </is>
      </c>
      <c r="E7691" t="inlineStr">
        <is>
          <t>SOLLEFTEÅ</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304-2023</t>
        </is>
      </c>
      <c r="B7692" s="1" t="n">
        <v>44929</v>
      </c>
      <c r="C7692" s="1" t="n">
        <v>45657</v>
      </c>
      <c r="D7692" t="inlineStr">
        <is>
          <t>VÄSTERNORRLANDS LÄN</t>
        </is>
      </c>
      <c r="E7692" t="inlineStr">
        <is>
          <t>SUNDSVALL</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394-2023</t>
        </is>
      </c>
      <c r="B7693" s="1" t="n">
        <v>44929</v>
      </c>
      <c r="C7693" s="1" t="n">
        <v>45657</v>
      </c>
      <c r="D7693" t="inlineStr">
        <is>
          <t>VÄSTERNORRLANDS LÄN</t>
        </is>
      </c>
      <c r="E7693" t="inlineStr">
        <is>
          <t>ÖRNSKÖLDSVIK</t>
        </is>
      </c>
      <c r="F7693" t="inlineStr">
        <is>
          <t>Holmen skog AB</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303-2023</t>
        </is>
      </c>
      <c r="B7694" s="1" t="n">
        <v>44929</v>
      </c>
      <c r="C7694" s="1" t="n">
        <v>45657</v>
      </c>
      <c r="D7694" t="inlineStr">
        <is>
          <t>VÄSTERNORRLANDS LÄN</t>
        </is>
      </c>
      <c r="E7694" t="inlineStr">
        <is>
          <t>SUNDSVALL</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338-2023</t>
        </is>
      </c>
      <c r="B7695" s="1" t="n">
        <v>44929</v>
      </c>
      <c r="C7695" s="1" t="n">
        <v>45657</v>
      </c>
      <c r="D7695" t="inlineStr">
        <is>
          <t>VÄSTERNORRLANDS LÄN</t>
        </is>
      </c>
      <c r="E7695" t="inlineStr">
        <is>
          <t>ÖRNSKÖLDSVIK</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399-2023</t>
        </is>
      </c>
      <c r="B7696" s="1" t="n">
        <v>44929</v>
      </c>
      <c r="C7696" s="1" t="n">
        <v>45657</v>
      </c>
      <c r="D7696" t="inlineStr">
        <is>
          <t>VÄSTERNORRLANDS LÄN</t>
        </is>
      </c>
      <c r="E7696" t="inlineStr">
        <is>
          <t>ÖRNSKÖLDSVIK</t>
        </is>
      </c>
      <c r="F7696" t="inlineStr">
        <is>
          <t>Holmen skog AB</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1116-2023</t>
        </is>
      </c>
      <c r="B7697" s="1" t="n">
        <v>44929</v>
      </c>
      <c r="C7697" s="1" t="n">
        <v>45657</v>
      </c>
      <c r="D7697" t="inlineStr">
        <is>
          <t>VÄSTERNORRLANDS LÄN</t>
        </is>
      </c>
      <c r="E7697" t="inlineStr">
        <is>
          <t>ÅNGE</t>
        </is>
      </c>
      <c r="G7697" t="n">
        <v>17.2</v>
      </c>
      <c r="H7697" t="n">
        <v>0</v>
      </c>
      <c r="I7697" t="n">
        <v>0</v>
      </c>
      <c r="J7697" t="n">
        <v>0</v>
      </c>
      <c r="K7697" t="n">
        <v>0</v>
      </c>
      <c r="L7697" t="n">
        <v>0</v>
      </c>
      <c r="M7697" t="n">
        <v>0</v>
      </c>
      <c r="N7697" t="n">
        <v>0</v>
      </c>
      <c r="O7697" t="n">
        <v>0</v>
      </c>
      <c r="P7697" t="n">
        <v>0</v>
      </c>
      <c r="Q7697" t="n">
        <v>0</v>
      </c>
      <c r="R7697" s="2" t="inlineStr"/>
    </row>
    <row r="7698" ht="15" customHeight="1">
      <c r="A7698" t="inlineStr">
        <is>
          <t>A 1103-2023</t>
        </is>
      </c>
      <c r="B7698" s="1" t="n">
        <v>44929</v>
      </c>
      <c r="C7698" s="1" t="n">
        <v>45657</v>
      </c>
      <c r="D7698" t="inlineStr">
        <is>
          <t>VÄSTERNORRLANDS LÄN</t>
        </is>
      </c>
      <c r="E7698" t="inlineStr">
        <is>
          <t>ÅNGE</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1090-2023</t>
        </is>
      </c>
      <c r="B7699" s="1" t="n">
        <v>44929</v>
      </c>
      <c r="C7699" s="1" t="n">
        <v>45657</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482-2023</t>
        </is>
      </c>
      <c r="B7700" s="1" t="n">
        <v>44929</v>
      </c>
      <c r="C7700" s="1" t="n">
        <v>45657</v>
      </c>
      <c r="D7700" t="inlineStr">
        <is>
          <t>VÄSTERNORRLANDS LÄN</t>
        </is>
      </c>
      <c r="E7700" t="inlineStr">
        <is>
          <t>ÅNGE</t>
        </is>
      </c>
      <c r="F7700" t="inlineStr">
        <is>
          <t>SCA</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1127-2023</t>
        </is>
      </c>
      <c r="B7701" s="1" t="n">
        <v>44929</v>
      </c>
      <c r="C7701" s="1" t="n">
        <v>45657</v>
      </c>
      <c r="D7701" t="inlineStr">
        <is>
          <t>VÄSTERNORRLANDS LÄN</t>
        </is>
      </c>
      <c r="E7701" t="inlineStr">
        <is>
          <t>ÅNGE</t>
        </is>
      </c>
      <c r="G7701" t="n">
        <v>10.5</v>
      </c>
      <c r="H7701" t="n">
        <v>0</v>
      </c>
      <c r="I7701" t="n">
        <v>0</v>
      </c>
      <c r="J7701" t="n">
        <v>0</v>
      </c>
      <c r="K7701" t="n">
        <v>0</v>
      </c>
      <c r="L7701" t="n">
        <v>0</v>
      </c>
      <c r="M7701" t="n">
        <v>0</v>
      </c>
      <c r="N7701" t="n">
        <v>0</v>
      </c>
      <c r="O7701" t="n">
        <v>0</v>
      </c>
      <c r="P7701" t="n">
        <v>0</v>
      </c>
      <c r="Q7701" t="n">
        <v>0</v>
      </c>
      <c r="R7701" s="2" t="inlineStr"/>
    </row>
    <row r="7702" ht="15" customHeight="1">
      <c r="A7702" t="inlineStr">
        <is>
          <t>A 1095-2023</t>
        </is>
      </c>
      <c r="B7702" s="1" t="n">
        <v>44929</v>
      </c>
      <c r="C7702" s="1" t="n">
        <v>45657</v>
      </c>
      <c r="D7702" t="inlineStr">
        <is>
          <t>VÄSTERNORRLANDS LÄN</t>
        </is>
      </c>
      <c r="E7702" t="inlineStr">
        <is>
          <t>ÅNGE</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712-2023</t>
        </is>
      </c>
      <c r="B7703" s="1" t="n">
        <v>44930</v>
      </c>
      <c r="C7703" s="1" t="n">
        <v>45657</v>
      </c>
      <c r="D7703" t="inlineStr">
        <is>
          <t>VÄSTERNORRLANDS LÄN</t>
        </is>
      </c>
      <c r="E7703" t="inlineStr">
        <is>
          <t>SUNDSVALL</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723-2023</t>
        </is>
      </c>
      <c r="B7704" s="1" t="n">
        <v>44930</v>
      </c>
      <c r="C7704" s="1" t="n">
        <v>45657</v>
      </c>
      <c r="D7704" t="inlineStr">
        <is>
          <t>VÄSTERNORRLANDS LÄN</t>
        </is>
      </c>
      <c r="E7704" t="inlineStr">
        <is>
          <t>ÅNGE</t>
        </is>
      </c>
      <c r="F7704" t="inlineStr">
        <is>
          <t>SCA</t>
        </is>
      </c>
      <c r="G7704" t="n">
        <v>9.6</v>
      </c>
      <c r="H7704" t="n">
        <v>0</v>
      </c>
      <c r="I7704" t="n">
        <v>0</v>
      </c>
      <c r="J7704" t="n">
        <v>0</v>
      </c>
      <c r="K7704" t="n">
        <v>0</v>
      </c>
      <c r="L7704" t="n">
        <v>0</v>
      </c>
      <c r="M7704" t="n">
        <v>0</v>
      </c>
      <c r="N7704" t="n">
        <v>0</v>
      </c>
      <c r="O7704" t="n">
        <v>0</v>
      </c>
      <c r="P7704" t="n">
        <v>0</v>
      </c>
      <c r="Q7704" t="n">
        <v>0</v>
      </c>
      <c r="R7704" s="2" t="inlineStr"/>
    </row>
    <row r="7705" ht="15" customHeight="1">
      <c r="A7705" t="inlineStr">
        <is>
          <t>A 512-2023</t>
        </is>
      </c>
      <c r="B7705" s="1" t="n">
        <v>44930</v>
      </c>
      <c r="C7705" s="1" t="n">
        <v>45657</v>
      </c>
      <c r="D7705" t="inlineStr">
        <is>
          <t>VÄSTERNORRLANDS LÄN</t>
        </is>
      </c>
      <c r="E7705" t="inlineStr">
        <is>
          <t>SUNDSVALL</t>
        </is>
      </c>
      <c r="F7705" t="inlineStr">
        <is>
          <t>Holmen skog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580-2023</t>
        </is>
      </c>
      <c r="B7706" s="1" t="n">
        <v>44930</v>
      </c>
      <c r="C7706" s="1" t="n">
        <v>45657</v>
      </c>
      <c r="D7706" t="inlineStr">
        <is>
          <t>VÄSTERNORRLANDS LÄN</t>
        </is>
      </c>
      <c r="E7706" t="inlineStr">
        <is>
          <t>ÖRNSKÖLDSVIK</t>
        </is>
      </c>
      <c r="F7706" t="inlineStr">
        <is>
          <t>Kommuner</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721-2023</t>
        </is>
      </c>
      <c r="B7707" s="1" t="n">
        <v>44930</v>
      </c>
      <c r="C7707" s="1" t="n">
        <v>45657</v>
      </c>
      <c r="D7707" t="inlineStr">
        <is>
          <t>VÄSTERNORRLANDS LÄN</t>
        </is>
      </c>
      <c r="E7707" t="inlineStr">
        <is>
          <t>ÅNGE</t>
        </is>
      </c>
      <c r="F7707" t="inlineStr">
        <is>
          <t>SCA</t>
        </is>
      </c>
      <c r="G7707" t="n">
        <v>23.6</v>
      </c>
      <c r="H7707" t="n">
        <v>0</v>
      </c>
      <c r="I7707" t="n">
        <v>0</v>
      </c>
      <c r="J7707" t="n">
        <v>0</v>
      </c>
      <c r="K7707" t="n">
        <v>0</v>
      </c>
      <c r="L7707" t="n">
        <v>0</v>
      </c>
      <c r="M7707" t="n">
        <v>0</v>
      </c>
      <c r="N7707" t="n">
        <v>0</v>
      </c>
      <c r="O7707" t="n">
        <v>0</v>
      </c>
      <c r="P7707" t="n">
        <v>0</v>
      </c>
      <c r="Q7707" t="n">
        <v>0</v>
      </c>
      <c r="R7707" s="2" t="inlineStr"/>
    </row>
    <row r="7708" ht="15" customHeight="1">
      <c r="A7708" t="inlineStr">
        <is>
          <t>A 704-2023</t>
        </is>
      </c>
      <c r="B7708" s="1" t="n">
        <v>44930</v>
      </c>
      <c r="C7708" s="1" t="n">
        <v>45657</v>
      </c>
      <c r="D7708" t="inlineStr">
        <is>
          <t>VÄSTERNORRLANDS LÄN</t>
        </is>
      </c>
      <c r="E7708" t="inlineStr">
        <is>
          <t>TIMRÅ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722-2023</t>
        </is>
      </c>
      <c r="B7709" s="1" t="n">
        <v>44930</v>
      </c>
      <c r="C7709" s="1" t="n">
        <v>45657</v>
      </c>
      <c r="D7709" t="inlineStr">
        <is>
          <t>VÄSTERNORRLANDS LÄN</t>
        </is>
      </c>
      <c r="E7709" t="inlineStr">
        <is>
          <t>ÅNGE</t>
        </is>
      </c>
      <c r="F7709" t="inlineStr">
        <is>
          <t>SCA</t>
        </is>
      </c>
      <c r="G7709" t="n">
        <v>10.7</v>
      </c>
      <c r="H7709" t="n">
        <v>0</v>
      </c>
      <c r="I7709" t="n">
        <v>0</v>
      </c>
      <c r="J7709" t="n">
        <v>0</v>
      </c>
      <c r="K7709" t="n">
        <v>0</v>
      </c>
      <c r="L7709" t="n">
        <v>0</v>
      </c>
      <c r="M7709" t="n">
        <v>0</v>
      </c>
      <c r="N7709" t="n">
        <v>0</v>
      </c>
      <c r="O7709" t="n">
        <v>0</v>
      </c>
      <c r="P7709" t="n">
        <v>0</v>
      </c>
      <c r="Q7709" t="n">
        <v>0</v>
      </c>
      <c r="R7709" s="2" t="inlineStr"/>
    </row>
    <row r="7710" ht="15" customHeight="1">
      <c r="A7710" t="inlineStr">
        <is>
          <t>A 714-2023</t>
        </is>
      </c>
      <c r="B7710" s="1" t="n">
        <v>44930</v>
      </c>
      <c r="C7710" s="1" t="n">
        <v>45657</v>
      </c>
      <c r="D7710" t="inlineStr">
        <is>
          <t>VÄSTERNORRLANDS LÄN</t>
        </is>
      </c>
      <c r="E7710" t="inlineStr">
        <is>
          <t>SOLLEFTEÅ</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720-2023</t>
        </is>
      </c>
      <c r="B7711" s="1" t="n">
        <v>44930</v>
      </c>
      <c r="C7711" s="1" t="n">
        <v>45657</v>
      </c>
      <c r="D7711" t="inlineStr">
        <is>
          <t>VÄSTERNORRLANDS LÄN</t>
        </is>
      </c>
      <c r="E7711" t="inlineStr">
        <is>
          <t>ÅNGE</t>
        </is>
      </c>
      <c r="F7711" t="inlineStr">
        <is>
          <t>SCA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777-2023</t>
        </is>
      </c>
      <c r="B7712" s="1" t="n">
        <v>44931</v>
      </c>
      <c r="C7712" s="1" t="n">
        <v>45657</v>
      </c>
      <c r="D7712" t="inlineStr">
        <is>
          <t>VÄSTERNORRLANDS LÄN</t>
        </is>
      </c>
      <c r="E7712" t="inlineStr">
        <is>
          <t>ÖRNSKÖLDSVIK</t>
        </is>
      </c>
      <c r="F7712" t="inlineStr">
        <is>
          <t>Holmen skog AB</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758-2023</t>
        </is>
      </c>
      <c r="B7713" s="1" t="n">
        <v>44931</v>
      </c>
      <c r="C7713" s="1" t="n">
        <v>45657</v>
      </c>
      <c r="D7713" t="inlineStr">
        <is>
          <t>VÄSTERNORRLANDS LÄN</t>
        </is>
      </c>
      <c r="E7713" t="inlineStr">
        <is>
          <t>ÖRNSKÖLDSVIK</t>
        </is>
      </c>
      <c r="F7713" t="inlineStr">
        <is>
          <t>Holmen skog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763-2023</t>
        </is>
      </c>
      <c r="B7714" s="1" t="n">
        <v>44931</v>
      </c>
      <c r="C7714" s="1" t="n">
        <v>45657</v>
      </c>
      <c r="D7714" t="inlineStr">
        <is>
          <t>VÄSTERNORRLANDS LÄN</t>
        </is>
      </c>
      <c r="E7714" t="inlineStr">
        <is>
          <t>ÖRNSKÖLDSVIK</t>
        </is>
      </c>
      <c r="F7714" t="inlineStr">
        <is>
          <t>Holmen skog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767-2023</t>
        </is>
      </c>
      <c r="B7715" s="1" t="n">
        <v>44931</v>
      </c>
      <c r="C7715" s="1" t="n">
        <v>45657</v>
      </c>
      <c r="D7715" t="inlineStr">
        <is>
          <t>VÄSTERNORRLANDS LÄN</t>
        </is>
      </c>
      <c r="E7715" t="inlineStr">
        <is>
          <t>ÖRNSKÖLDSVIK</t>
        </is>
      </c>
      <c r="F7715" t="inlineStr">
        <is>
          <t>Holmen skog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732-2023</t>
        </is>
      </c>
      <c r="B7716" s="1" t="n">
        <v>44931</v>
      </c>
      <c r="C7716" s="1" t="n">
        <v>45657</v>
      </c>
      <c r="D7716" t="inlineStr">
        <is>
          <t>VÄSTERNORRLANDS LÄN</t>
        </is>
      </c>
      <c r="E7716" t="inlineStr">
        <is>
          <t>ÅNGE</t>
        </is>
      </c>
      <c r="F7716" t="inlineStr">
        <is>
          <t>Sveaskog</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1313-2023</t>
        </is>
      </c>
      <c r="B7717" s="1" t="n">
        <v>44931</v>
      </c>
      <c r="C7717" s="1" t="n">
        <v>45657</v>
      </c>
      <c r="D7717" t="inlineStr">
        <is>
          <t>VÄSTERNORRLANDS LÄN</t>
        </is>
      </c>
      <c r="E7717" t="inlineStr">
        <is>
          <t>SUNDSVALL</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918-2023</t>
        </is>
      </c>
      <c r="B7718" s="1" t="n">
        <v>44931</v>
      </c>
      <c r="C7718" s="1" t="n">
        <v>45657</v>
      </c>
      <c r="D7718" t="inlineStr">
        <is>
          <t>VÄSTERNORRLANDS LÄN</t>
        </is>
      </c>
      <c r="E7718" t="inlineStr">
        <is>
          <t>SOLLEFTEÅ</t>
        </is>
      </c>
      <c r="F7718" t="inlineStr">
        <is>
          <t>SCA</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965-2023</t>
        </is>
      </c>
      <c r="B7719" s="1" t="n">
        <v>44934</v>
      </c>
      <c r="C7719" s="1" t="n">
        <v>45657</v>
      </c>
      <c r="D7719" t="inlineStr">
        <is>
          <t>VÄSTERNORRLANDS LÄN</t>
        </is>
      </c>
      <c r="E7719" t="inlineStr">
        <is>
          <t>SOLLEFTEÅ</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964-2023</t>
        </is>
      </c>
      <c r="B7720" s="1" t="n">
        <v>44934</v>
      </c>
      <c r="C7720" s="1" t="n">
        <v>45657</v>
      </c>
      <c r="D7720" t="inlineStr">
        <is>
          <t>VÄSTERNORRLANDS LÄN</t>
        </is>
      </c>
      <c r="E7720" t="inlineStr">
        <is>
          <t>SOLLEFTEÅ</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1157-2023</t>
        </is>
      </c>
      <c r="B7721" s="1" t="n">
        <v>44935</v>
      </c>
      <c r="C7721" s="1" t="n">
        <v>45657</v>
      </c>
      <c r="D7721" t="inlineStr">
        <is>
          <t>VÄSTERNORRLANDS LÄN</t>
        </is>
      </c>
      <c r="E7721" t="inlineStr">
        <is>
          <t>SUNDSVALL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1235-2023</t>
        </is>
      </c>
      <c r="B7722" s="1" t="n">
        <v>44935</v>
      </c>
      <c r="C7722" s="1" t="n">
        <v>45657</v>
      </c>
      <c r="D7722" t="inlineStr">
        <is>
          <t>VÄSTERNORRLANDS LÄN</t>
        </is>
      </c>
      <c r="E7722" t="inlineStr">
        <is>
          <t>ÅNGE</t>
        </is>
      </c>
      <c r="F7722" t="inlineStr">
        <is>
          <t>SCA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1606-2023</t>
        </is>
      </c>
      <c r="B7723" s="1" t="n">
        <v>44935</v>
      </c>
      <c r="C7723" s="1" t="n">
        <v>45657</v>
      </c>
      <c r="D7723" t="inlineStr">
        <is>
          <t>VÄSTERNORRLANDS LÄN</t>
        </is>
      </c>
      <c r="E7723" t="inlineStr">
        <is>
          <t>ÖRNSKÖLDSVIK</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1333-2023</t>
        </is>
      </c>
      <c r="B7724" s="1" t="n">
        <v>44936</v>
      </c>
      <c r="C7724" s="1" t="n">
        <v>45657</v>
      </c>
      <c r="D7724" t="inlineStr">
        <is>
          <t>VÄSTERNORRLANDS LÄN</t>
        </is>
      </c>
      <c r="E7724" t="inlineStr">
        <is>
          <t>ÖRNSKÖLDSVIK</t>
        </is>
      </c>
      <c r="F7724" t="inlineStr">
        <is>
          <t>Holmen skog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1371-2023</t>
        </is>
      </c>
      <c r="B7725" s="1" t="n">
        <v>44936</v>
      </c>
      <c r="C7725" s="1" t="n">
        <v>45657</v>
      </c>
      <c r="D7725" t="inlineStr">
        <is>
          <t>VÄSTERNORRLANDS LÄN</t>
        </is>
      </c>
      <c r="E7725" t="inlineStr">
        <is>
          <t>SUNDSVALL</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1275-2023</t>
        </is>
      </c>
      <c r="B7726" s="1" t="n">
        <v>44936</v>
      </c>
      <c r="C7726" s="1" t="n">
        <v>45657</v>
      </c>
      <c r="D7726" t="inlineStr">
        <is>
          <t>VÄSTERNORRLANDS LÄN</t>
        </is>
      </c>
      <c r="E7726" t="inlineStr">
        <is>
          <t>SOLLEFTEÅ</t>
        </is>
      </c>
      <c r="G7726" t="n">
        <v>14.4</v>
      </c>
      <c r="H7726" t="n">
        <v>0</v>
      </c>
      <c r="I7726" t="n">
        <v>0</v>
      </c>
      <c r="J7726" t="n">
        <v>0</v>
      </c>
      <c r="K7726" t="n">
        <v>0</v>
      </c>
      <c r="L7726" t="n">
        <v>0</v>
      </c>
      <c r="M7726" t="n">
        <v>0</v>
      </c>
      <c r="N7726" t="n">
        <v>0</v>
      </c>
      <c r="O7726" t="n">
        <v>0</v>
      </c>
      <c r="P7726" t="n">
        <v>0</v>
      </c>
      <c r="Q7726" t="n">
        <v>0</v>
      </c>
      <c r="R7726" s="2" t="inlineStr"/>
    </row>
    <row r="7727" ht="15" customHeight="1">
      <c r="A7727" t="inlineStr">
        <is>
          <t>A 1375-2023</t>
        </is>
      </c>
      <c r="B7727" s="1" t="n">
        <v>44936</v>
      </c>
      <c r="C7727" s="1" t="n">
        <v>45657</v>
      </c>
      <c r="D7727" t="inlineStr">
        <is>
          <t>VÄSTERNORRLANDS LÄN</t>
        </is>
      </c>
      <c r="E7727" t="inlineStr">
        <is>
          <t>SUNDSVALL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1382-2023</t>
        </is>
      </c>
      <c r="B7728" s="1" t="n">
        <v>44936</v>
      </c>
      <c r="C7728" s="1" t="n">
        <v>45657</v>
      </c>
      <c r="D7728" t="inlineStr">
        <is>
          <t>VÄSTERNORRLANDS LÄN</t>
        </is>
      </c>
      <c r="E7728" t="inlineStr">
        <is>
          <t>HÄRNÖSAND</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1416-2023</t>
        </is>
      </c>
      <c r="B7729" s="1" t="n">
        <v>44936</v>
      </c>
      <c r="C7729" s="1" t="n">
        <v>45657</v>
      </c>
      <c r="D7729" t="inlineStr">
        <is>
          <t>VÄSTERNORRLANDS LÄN</t>
        </is>
      </c>
      <c r="E7729" t="inlineStr">
        <is>
          <t>TIMRÅ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1686-2023</t>
        </is>
      </c>
      <c r="B7730" s="1" t="n">
        <v>44936</v>
      </c>
      <c r="C7730" s="1" t="n">
        <v>45657</v>
      </c>
      <c r="D7730" t="inlineStr">
        <is>
          <t>VÄSTERNORRLANDS LÄN</t>
        </is>
      </c>
      <c r="E7730" t="inlineStr">
        <is>
          <t>ÖRNSKÖLDSVIK</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1412-2023</t>
        </is>
      </c>
      <c r="B7731" s="1" t="n">
        <v>44936</v>
      </c>
      <c r="C7731" s="1" t="n">
        <v>45657</v>
      </c>
      <c r="D7731" t="inlineStr">
        <is>
          <t>VÄSTERNORRLANDS LÄN</t>
        </is>
      </c>
      <c r="E7731" t="inlineStr">
        <is>
          <t>ÅNGE</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1417-2023</t>
        </is>
      </c>
      <c r="B7732" s="1" t="n">
        <v>44936</v>
      </c>
      <c r="C7732" s="1" t="n">
        <v>45657</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1415-2023</t>
        </is>
      </c>
      <c r="B7733" s="1" t="n">
        <v>44936</v>
      </c>
      <c r="C7733" s="1" t="n">
        <v>45657</v>
      </c>
      <c r="D7733" t="inlineStr">
        <is>
          <t>VÄSTERNORRLANDS LÄN</t>
        </is>
      </c>
      <c r="E7733" t="inlineStr">
        <is>
          <t>TIMRÅ</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1420-2023</t>
        </is>
      </c>
      <c r="B7734" s="1" t="n">
        <v>44936</v>
      </c>
      <c r="C7734" s="1" t="n">
        <v>45657</v>
      </c>
      <c r="D7734" t="inlineStr">
        <is>
          <t>VÄSTERNORRLANDS LÄN</t>
        </is>
      </c>
      <c r="E7734" t="inlineStr">
        <is>
          <t>ÅNGE</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1689-2023</t>
        </is>
      </c>
      <c r="B7735" s="1" t="n">
        <v>44936</v>
      </c>
      <c r="C7735" s="1" t="n">
        <v>45657</v>
      </c>
      <c r="D7735" t="inlineStr">
        <is>
          <t>VÄSTERNORRLANDS LÄN</t>
        </is>
      </c>
      <c r="E7735" t="inlineStr">
        <is>
          <t>ÖRNSKÖLDSVIK</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1473-2023</t>
        </is>
      </c>
      <c r="B7736" s="1" t="n">
        <v>44937</v>
      </c>
      <c r="C7736" s="1" t="n">
        <v>45657</v>
      </c>
      <c r="D7736" t="inlineStr">
        <is>
          <t>VÄSTERNORRLANDS LÄN</t>
        </is>
      </c>
      <c r="E7736" t="inlineStr">
        <is>
          <t>SUNDSVALL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1483-2023</t>
        </is>
      </c>
      <c r="B7737" s="1" t="n">
        <v>44937</v>
      </c>
      <c r="C7737" s="1" t="n">
        <v>45657</v>
      </c>
      <c r="D7737" t="inlineStr">
        <is>
          <t>VÄSTERNORRLANDS LÄN</t>
        </is>
      </c>
      <c r="E7737" t="inlineStr">
        <is>
          <t>SUNDSVALL</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1573-2023</t>
        </is>
      </c>
      <c r="B7738" s="1" t="n">
        <v>44937</v>
      </c>
      <c r="C7738" s="1" t="n">
        <v>45657</v>
      </c>
      <c r="D7738" t="inlineStr">
        <is>
          <t>VÄSTERNORRLANDS LÄN</t>
        </is>
      </c>
      <c r="E7738" t="inlineStr">
        <is>
          <t>SUNDSVALL</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1643-2023</t>
        </is>
      </c>
      <c r="B7739" s="1" t="n">
        <v>44937</v>
      </c>
      <c r="C7739" s="1" t="n">
        <v>45657</v>
      </c>
      <c r="D7739" t="inlineStr">
        <is>
          <t>VÄSTERNORRLANDS LÄN</t>
        </is>
      </c>
      <c r="E7739" t="inlineStr">
        <is>
          <t>HÄRNÖSAND</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1803-2023</t>
        </is>
      </c>
      <c r="B7740" s="1" t="n">
        <v>44937</v>
      </c>
      <c r="C7740" s="1" t="n">
        <v>45657</v>
      </c>
      <c r="D7740" t="inlineStr">
        <is>
          <t>VÄSTERNORRLANDS LÄN</t>
        </is>
      </c>
      <c r="E7740" t="inlineStr">
        <is>
          <t>SOLLEFTEÅ</t>
        </is>
      </c>
      <c r="G7740" t="n">
        <v>8.1</v>
      </c>
      <c r="H7740" t="n">
        <v>0</v>
      </c>
      <c r="I7740" t="n">
        <v>0</v>
      </c>
      <c r="J7740" t="n">
        <v>0</v>
      </c>
      <c r="K7740" t="n">
        <v>0</v>
      </c>
      <c r="L7740" t="n">
        <v>0</v>
      </c>
      <c r="M7740" t="n">
        <v>0</v>
      </c>
      <c r="N7740" t="n">
        <v>0</v>
      </c>
      <c r="O7740" t="n">
        <v>0</v>
      </c>
      <c r="P7740" t="n">
        <v>0</v>
      </c>
      <c r="Q7740" t="n">
        <v>0</v>
      </c>
      <c r="R7740" s="2" t="inlineStr"/>
    </row>
    <row r="7741" ht="15" customHeight="1">
      <c r="A7741" t="inlineStr">
        <is>
          <t>A 1807-2023</t>
        </is>
      </c>
      <c r="B7741" s="1" t="n">
        <v>44937</v>
      </c>
      <c r="C7741" s="1" t="n">
        <v>45657</v>
      </c>
      <c r="D7741" t="inlineStr">
        <is>
          <t>VÄSTERNORRLANDS LÄN</t>
        </is>
      </c>
      <c r="E7741" t="inlineStr">
        <is>
          <t>ÖRNSKÖLDSVIK</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1769-2023</t>
        </is>
      </c>
      <c r="B7742" s="1" t="n">
        <v>44938</v>
      </c>
      <c r="C7742" s="1" t="n">
        <v>45657</v>
      </c>
      <c r="D7742" t="inlineStr">
        <is>
          <t>VÄSTERNORRLANDS LÄN</t>
        </is>
      </c>
      <c r="E7742" t="inlineStr">
        <is>
          <t>ÅNGE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1868-2023</t>
        </is>
      </c>
      <c r="B7743" s="1" t="n">
        <v>44938</v>
      </c>
      <c r="C7743" s="1" t="n">
        <v>45657</v>
      </c>
      <c r="D7743" t="inlineStr">
        <is>
          <t>VÄSTERNORRLANDS LÄN</t>
        </is>
      </c>
      <c r="E7743" t="inlineStr">
        <is>
          <t>SOLLEFTEÅ</t>
        </is>
      </c>
      <c r="F7743" t="inlineStr">
        <is>
          <t>SCA</t>
        </is>
      </c>
      <c r="G7743" t="n">
        <v>19.3</v>
      </c>
      <c r="H7743" t="n">
        <v>0</v>
      </c>
      <c r="I7743" t="n">
        <v>0</v>
      </c>
      <c r="J7743" t="n">
        <v>0</v>
      </c>
      <c r="K7743" t="n">
        <v>0</v>
      </c>
      <c r="L7743" t="n">
        <v>0</v>
      </c>
      <c r="M7743" t="n">
        <v>0</v>
      </c>
      <c r="N7743" t="n">
        <v>0</v>
      </c>
      <c r="O7743" t="n">
        <v>0</v>
      </c>
      <c r="P7743" t="n">
        <v>0</v>
      </c>
      <c r="Q7743" t="n">
        <v>0</v>
      </c>
      <c r="R7743" s="2" t="inlineStr"/>
    </row>
    <row r="7744" ht="15" customHeight="1">
      <c r="A7744" t="inlineStr">
        <is>
          <t>A 1948-2023</t>
        </is>
      </c>
      <c r="B7744" s="1" t="n">
        <v>44938</v>
      </c>
      <c r="C7744" s="1" t="n">
        <v>45657</v>
      </c>
      <c r="D7744" t="inlineStr">
        <is>
          <t>VÄSTERNORRLANDS LÄN</t>
        </is>
      </c>
      <c r="E7744" t="inlineStr">
        <is>
          <t>KRAMFORS</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1968-2023</t>
        </is>
      </c>
      <c r="B7745" s="1" t="n">
        <v>44938</v>
      </c>
      <c r="C7745" s="1" t="n">
        <v>45657</v>
      </c>
      <c r="D7745" t="inlineStr">
        <is>
          <t>VÄSTERNORRLANDS LÄN</t>
        </is>
      </c>
      <c r="E7745" t="inlineStr">
        <is>
          <t>ÖRNSKÖLDSVIK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1775-2023</t>
        </is>
      </c>
      <c r="B7746" s="1" t="n">
        <v>44938</v>
      </c>
      <c r="C7746" s="1" t="n">
        <v>45657</v>
      </c>
      <c r="D7746" t="inlineStr">
        <is>
          <t>VÄSTERNORRLANDS LÄN</t>
        </is>
      </c>
      <c r="E7746" t="inlineStr">
        <is>
          <t>ÅNGE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1972-2023</t>
        </is>
      </c>
      <c r="B7747" s="1" t="n">
        <v>44938</v>
      </c>
      <c r="C7747" s="1" t="n">
        <v>45657</v>
      </c>
      <c r="D7747" t="inlineStr">
        <is>
          <t>VÄSTERNORRLANDS LÄN</t>
        </is>
      </c>
      <c r="E7747" t="inlineStr">
        <is>
          <t>ÖRNSKÖLDSVIK</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1874-2023</t>
        </is>
      </c>
      <c r="B7748" s="1" t="n">
        <v>44938</v>
      </c>
      <c r="C7748" s="1" t="n">
        <v>45657</v>
      </c>
      <c r="D7748" t="inlineStr">
        <is>
          <t>VÄSTERNORRLANDS LÄN</t>
        </is>
      </c>
      <c r="E7748" t="inlineStr">
        <is>
          <t>SOLLEFTEÅ</t>
        </is>
      </c>
      <c r="F7748" t="inlineStr">
        <is>
          <t>SCA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1944-2023</t>
        </is>
      </c>
      <c r="B7749" s="1" t="n">
        <v>44938</v>
      </c>
      <c r="C7749" s="1" t="n">
        <v>45657</v>
      </c>
      <c r="D7749" t="inlineStr">
        <is>
          <t>VÄSTERNORRLANDS LÄN</t>
        </is>
      </c>
      <c r="E7749" t="inlineStr">
        <is>
          <t>KRAMFORS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1962-2023</t>
        </is>
      </c>
      <c r="B7750" s="1" t="n">
        <v>44938</v>
      </c>
      <c r="C7750" s="1" t="n">
        <v>45657</v>
      </c>
      <c r="D7750" t="inlineStr">
        <is>
          <t>VÄSTERNORRLANDS LÄN</t>
        </is>
      </c>
      <c r="E7750" t="inlineStr">
        <is>
          <t>ÖRNSKÖLDSVIK</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1957-2023</t>
        </is>
      </c>
      <c r="B7751" s="1" t="n">
        <v>44938</v>
      </c>
      <c r="C7751" s="1" t="n">
        <v>45657</v>
      </c>
      <c r="D7751" t="inlineStr">
        <is>
          <t>VÄSTERNORRLANDS LÄN</t>
        </is>
      </c>
      <c r="E7751" t="inlineStr">
        <is>
          <t>ÖRNSKÖLDSVIK</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2058-2023</t>
        </is>
      </c>
      <c r="B7752" s="1" t="n">
        <v>44938</v>
      </c>
      <c r="C7752" s="1" t="n">
        <v>45657</v>
      </c>
      <c r="D7752" t="inlineStr">
        <is>
          <t>VÄSTERNORRLANDS LÄN</t>
        </is>
      </c>
      <c r="E7752" t="inlineStr">
        <is>
          <t>SOLLEFTEÅ</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1896-2023</t>
        </is>
      </c>
      <c r="B7753" s="1" t="n">
        <v>44939</v>
      </c>
      <c r="C7753" s="1" t="n">
        <v>45657</v>
      </c>
      <c r="D7753" t="inlineStr">
        <is>
          <t>VÄSTERNORRLANDS LÄN</t>
        </is>
      </c>
      <c r="E7753" t="inlineStr">
        <is>
          <t>TIMRÅ</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1935-2023</t>
        </is>
      </c>
      <c r="B7754" s="1" t="n">
        <v>44939</v>
      </c>
      <c r="C7754" s="1" t="n">
        <v>45657</v>
      </c>
      <c r="D7754" t="inlineStr">
        <is>
          <t>VÄSTERNORRLANDS LÄN</t>
        </is>
      </c>
      <c r="E7754" t="inlineStr">
        <is>
          <t>TIMRÅ</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2106-2023</t>
        </is>
      </c>
      <c r="B7755" s="1" t="n">
        <v>44939</v>
      </c>
      <c r="C7755" s="1" t="n">
        <v>45657</v>
      </c>
      <c r="D7755" t="inlineStr">
        <is>
          <t>VÄSTERNORRLANDS LÄN</t>
        </is>
      </c>
      <c r="E7755" t="inlineStr">
        <is>
          <t>SUNDSVALL</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2115-2023</t>
        </is>
      </c>
      <c r="B7756" s="1" t="n">
        <v>44939</v>
      </c>
      <c r="C7756" s="1" t="n">
        <v>45657</v>
      </c>
      <c r="D7756" t="inlineStr">
        <is>
          <t>VÄSTERNORRLANDS LÄN</t>
        </is>
      </c>
      <c r="E7756" t="inlineStr">
        <is>
          <t>KRAMFORS</t>
        </is>
      </c>
      <c r="F7756" t="inlineStr">
        <is>
          <t>SCA</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1937-2023</t>
        </is>
      </c>
      <c r="B7757" s="1" t="n">
        <v>44939</v>
      </c>
      <c r="C7757" s="1" t="n">
        <v>45657</v>
      </c>
      <c r="D7757" t="inlineStr">
        <is>
          <t>VÄSTERNORRLANDS LÄN</t>
        </is>
      </c>
      <c r="E7757" t="inlineStr">
        <is>
          <t>ÖRNSKÖLDSVIK</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2108-2023</t>
        </is>
      </c>
      <c r="B7758" s="1" t="n">
        <v>44939</v>
      </c>
      <c r="C7758" s="1" t="n">
        <v>45657</v>
      </c>
      <c r="D7758" t="inlineStr">
        <is>
          <t>VÄSTERNORRLANDS LÄN</t>
        </is>
      </c>
      <c r="E7758" t="inlineStr">
        <is>
          <t>SUNDSVALL</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2121-2023</t>
        </is>
      </c>
      <c r="B7759" s="1" t="n">
        <v>44939</v>
      </c>
      <c r="C7759" s="1" t="n">
        <v>45657</v>
      </c>
      <c r="D7759" t="inlineStr">
        <is>
          <t>VÄSTERNORRLANDS LÄN</t>
        </is>
      </c>
      <c r="E7759" t="inlineStr">
        <is>
          <t>SOLLEFTEÅ</t>
        </is>
      </c>
      <c r="F7759" t="inlineStr">
        <is>
          <t>SCA</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1981-2023</t>
        </is>
      </c>
      <c r="B7760" s="1" t="n">
        <v>44939</v>
      </c>
      <c r="C7760" s="1" t="n">
        <v>45657</v>
      </c>
      <c r="D7760" t="inlineStr">
        <is>
          <t>VÄSTERNORRLANDS LÄN</t>
        </is>
      </c>
      <c r="E7760" t="inlineStr">
        <is>
          <t>SUNDSVALL</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2119-2023</t>
        </is>
      </c>
      <c r="B7761" s="1" t="n">
        <v>44939</v>
      </c>
      <c r="C7761" s="1" t="n">
        <v>45657</v>
      </c>
      <c r="D7761" t="inlineStr">
        <is>
          <t>VÄSTERNORRLANDS LÄN</t>
        </is>
      </c>
      <c r="E7761" t="inlineStr">
        <is>
          <t>SOLLEFTEÅ</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2132-2023</t>
        </is>
      </c>
      <c r="B7762" s="1" t="n">
        <v>44939</v>
      </c>
      <c r="C7762" s="1" t="n">
        <v>45657</v>
      </c>
      <c r="D7762" t="inlineStr">
        <is>
          <t>VÄSTERNORRLANDS LÄN</t>
        </is>
      </c>
      <c r="E7762" t="inlineStr">
        <is>
          <t>SOLLEFTEÅ</t>
        </is>
      </c>
      <c r="F7762" t="inlineStr">
        <is>
          <t>SCA</t>
        </is>
      </c>
      <c r="G7762" t="n">
        <v>19.4</v>
      </c>
      <c r="H7762" t="n">
        <v>0</v>
      </c>
      <c r="I7762" t="n">
        <v>0</v>
      </c>
      <c r="J7762" t="n">
        <v>0</v>
      </c>
      <c r="K7762" t="n">
        <v>0</v>
      </c>
      <c r="L7762" t="n">
        <v>0</v>
      </c>
      <c r="M7762" t="n">
        <v>0</v>
      </c>
      <c r="N7762" t="n">
        <v>0</v>
      </c>
      <c r="O7762" t="n">
        <v>0</v>
      </c>
      <c r="P7762" t="n">
        <v>0</v>
      </c>
      <c r="Q7762" t="n">
        <v>0</v>
      </c>
      <c r="R7762" s="2" t="inlineStr"/>
    </row>
    <row r="7763" ht="15" customHeight="1">
      <c r="A7763" t="inlineStr">
        <is>
          <t>A 2107-2023</t>
        </is>
      </c>
      <c r="B7763" s="1" t="n">
        <v>44939</v>
      </c>
      <c r="C7763" s="1" t="n">
        <v>45657</v>
      </c>
      <c r="D7763" t="inlineStr">
        <is>
          <t>VÄSTERNORRLANDS LÄN</t>
        </is>
      </c>
      <c r="E7763" t="inlineStr">
        <is>
          <t>SUNDSVALL</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2120-2023</t>
        </is>
      </c>
      <c r="B7764" s="1" t="n">
        <v>44939</v>
      </c>
      <c r="C7764" s="1" t="n">
        <v>45657</v>
      </c>
      <c r="D7764" t="inlineStr">
        <is>
          <t>VÄSTERNORRLANDS LÄN</t>
        </is>
      </c>
      <c r="E7764" t="inlineStr">
        <is>
          <t>SOLLEFTEÅ</t>
        </is>
      </c>
      <c r="F7764" t="inlineStr">
        <is>
          <t>SCA</t>
        </is>
      </c>
      <c r="G7764" t="n">
        <v>126.9</v>
      </c>
      <c r="H7764" t="n">
        <v>0</v>
      </c>
      <c r="I7764" t="n">
        <v>0</v>
      </c>
      <c r="J7764" t="n">
        <v>0</v>
      </c>
      <c r="K7764" t="n">
        <v>0</v>
      </c>
      <c r="L7764" t="n">
        <v>0</v>
      </c>
      <c r="M7764" t="n">
        <v>0</v>
      </c>
      <c r="N7764" t="n">
        <v>0</v>
      </c>
      <c r="O7764" t="n">
        <v>0</v>
      </c>
      <c r="P7764" t="n">
        <v>0</v>
      </c>
      <c r="Q7764" t="n">
        <v>0</v>
      </c>
      <c r="R7764" s="2" t="inlineStr"/>
    </row>
    <row r="7765" ht="15" customHeight="1">
      <c r="A7765" t="inlineStr">
        <is>
          <t>A 2129-2023</t>
        </is>
      </c>
      <c r="B7765" s="1" t="n">
        <v>44939</v>
      </c>
      <c r="C7765" s="1" t="n">
        <v>45657</v>
      </c>
      <c r="D7765" t="inlineStr">
        <is>
          <t>VÄSTERNORRLANDS LÄN</t>
        </is>
      </c>
      <c r="E7765" t="inlineStr">
        <is>
          <t>SUNDSVALL</t>
        </is>
      </c>
      <c r="F7765" t="inlineStr">
        <is>
          <t>SCA</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2109-2023</t>
        </is>
      </c>
      <c r="B7766" s="1" t="n">
        <v>44939</v>
      </c>
      <c r="C7766" s="1" t="n">
        <v>45657</v>
      </c>
      <c r="D7766" t="inlineStr">
        <is>
          <t>VÄSTERNORRLANDS LÄN</t>
        </is>
      </c>
      <c r="E7766" t="inlineStr">
        <is>
          <t>SUNDSVALL</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2114-2023</t>
        </is>
      </c>
      <c r="B7767" s="1" t="n">
        <v>44939</v>
      </c>
      <c r="C7767" s="1" t="n">
        <v>45657</v>
      </c>
      <c r="D7767" t="inlineStr">
        <is>
          <t>VÄSTERNORRLANDS LÄN</t>
        </is>
      </c>
      <c r="E7767" t="inlineStr">
        <is>
          <t>SOLLEFTEÅ</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2118-2023</t>
        </is>
      </c>
      <c r="B7768" s="1" t="n">
        <v>44939</v>
      </c>
      <c r="C7768" s="1" t="n">
        <v>45657</v>
      </c>
      <c r="D7768" t="inlineStr">
        <is>
          <t>VÄSTERNORRLANDS LÄN</t>
        </is>
      </c>
      <c r="E7768" t="inlineStr">
        <is>
          <t>SOLLEFTEÅ</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2131-2023</t>
        </is>
      </c>
      <c r="B7769" s="1" t="n">
        <v>44939</v>
      </c>
      <c r="C7769" s="1" t="n">
        <v>45657</v>
      </c>
      <c r="D7769" t="inlineStr">
        <is>
          <t>VÄSTERNORRLANDS LÄN</t>
        </is>
      </c>
      <c r="E7769" t="inlineStr">
        <is>
          <t>SUNDSVALL</t>
        </is>
      </c>
      <c r="F7769" t="inlineStr">
        <is>
          <t>SCA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2139-2023</t>
        </is>
      </c>
      <c r="B7770" s="1" t="n">
        <v>44940</v>
      </c>
      <c r="C7770" s="1" t="n">
        <v>45657</v>
      </c>
      <c r="D7770" t="inlineStr">
        <is>
          <t>VÄSTERNORRLANDS LÄN</t>
        </is>
      </c>
      <c r="E7770" t="inlineStr">
        <is>
          <t>SOLLEFTEÅ</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2140-2023</t>
        </is>
      </c>
      <c r="B7771" s="1" t="n">
        <v>44940</v>
      </c>
      <c r="C7771" s="1" t="n">
        <v>45657</v>
      </c>
      <c r="D7771" t="inlineStr">
        <is>
          <t>VÄSTERNORRLANDS LÄN</t>
        </is>
      </c>
      <c r="E7771" t="inlineStr">
        <is>
          <t>ÅNGE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2183-2023</t>
        </is>
      </c>
      <c r="B7772" s="1" t="n">
        <v>44942</v>
      </c>
      <c r="C7772" s="1" t="n">
        <v>45657</v>
      </c>
      <c r="D7772" t="inlineStr">
        <is>
          <t>VÄSTERNORRLANDS LÄN</t>
        </is>
      </c>
      <c r="E7772" t="inlineStr">
        <is>
          <t>SOLLEFTEÅ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2255-2023</t>
        </is>
      </c>
      <c r="B7773" s="1" t="n">
        <v>44942</v>
      </c>
      <c r="C7773" s="1" t="n">
        <v>45657</v>
      </c>
      <c r="D7773" t="inlineStr">
        <is>
          <t>VÄSTERNORRLANDS LÄN</t>
        </is>
      </c>
      <c r="E7773" t="inlineStr">
        <is>
          <t>ÖRNSKÖLDSVIK</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2312-2023</t>
        </is>
      </c>
      <c r="B7774" s="1" t="n">
        <v>44942</v>
      </c>
      <c r="C7774" s="1" t="n">
        <v>45657</v>
      </c>
      <c r="D7774" t="inlineStr">
        <is>
          <t>VÄSTERNORRLANDS LÄN</t>
        </is>
      </c>
      <c r="E7774" t="inlineStr">
        <is>
          <t>KRAMFORS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2407-2023</t>
        </is>
      </c>
      <c r="B7775" s="1" t="n">
        <v>44942</v>
      </c>
      <c r="C7775" s="1" t="n">
        <v>45657</v>
      </c>
      <c r="D7775" t="inlineStr">
        <is>
          <t>VÄSTERNORRLANDS LÄN</t>
        </is>
      </c>
      <c r="E7775" t="inlineStr">
        <is>
          <t>KRAMFORS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2399-2023</t>
        </is>
      </c>
      <c r="B7776" s="1" t="n">
        <v>44942</v>
      </c>
      <c r="C7776" s="1" t="n">
        <v>45657</v>
      </c>
      <c r="D7776" t="inlineStr">
        <is>
          <t>VÄSTERNORRLANDS LÄN</t>
        </is>
      </c>
      <c r="E7776" t="inlineStr">
        <is>
          <t>SUNDSVALL</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2408-2023</t>
        </is>
      </c>
      <c r="B7777" s="1" t="n">
        <v>44942</v>
      </c>
      <c r="C7777" s="1" t="n">
        <v>45657</v>
      </c>
      <c r="D7777" t="inlineStr">
        <is>
          <t>VÄSTERNORRLANDS LÄN</t>
        </is>
      </c>
      <c r="E7777" t="inlineStr">
        <is>
          <t>SOLLEFTEÅ</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2412-2023</t>
        </is>
      </c>
      <c r="B7778" s="1" t="n">
        <v>44942</v>
      </c>
      <c r="C7778" s="1" t="n">
        <v>45657</v>
      </c>
      <c r="D7778" t="inlineStr">
        <is>
          <t>VÄSTERNORRLANDS LÄN</t>
        </is>
      </c>
      <c r="E7778" t="inlineStr">
        <is>
          <t>SOLLEFTEÅ</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2428-2023</t>
        </is>
      </c>
      <c r="B7779" s="1" t="n">
        <v>44942</v>
      </c>
      <c r="C7779" s="1" t="n">
        <v>45657</v>
      </c>
      <c r="D7779" t="inlineStr">
        <is>
          <t>VÄSTERNORRLANDS LÄN</t>
        </is>
      </c>
      <c r="E7779" t="inlineStr">
        <is>
          <t>SUNDSVALL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2722-2023</t>
        </is>
      </c>
      <c r="B7780" s="1" t="n">
        <v>44942</v>
      </c>
      <c r="C7780" s="1" t="n">
        <v>45657</v>
      </c>
      <c r="D7780" t="inlineStr">
        <is>
          <t>VÄSTERNORRLANDS LÄN</t>
        </is>
      </c>
      <c r="E7780" t="inlineStr">
        <is>
          <t>ÖRNSKÖLDSVIK</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2523-2023</t>
        </is>
      </c>
      <c r="B7781" s="1" t="n">
        <v>44943</v>
      </c>
      <c r="C7781" s="1" t="n">
        <v>45657</v>
      </c>
      <c r="D7781" t="inlineStr">
        <is>
          <t>VÄSTERNORRLANDS LÄN</t>
        </is>
      </c>
      <c r="E7781" t="inlineStr">
        <is>
          <t>ÖRNSKÖLDSVIK</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2434-2023</t>
        </is>
      </c>
      <c r="B7782" s="1" t="n">
        <v>44943</v>
      </c>
      <c r="C7782" s="1" t="n">
        <v>45657</v>
      </c>
      <c r="D7782" t="inlineStr">
        <is>
          <t>VÄSTERNORRLANDS LÄN</t>
        </is>
      </c>
      <c r="E7782" t="inlineStr">
        <is>
          <t>TIMRÅ</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2597-2023</t>
        </is>
      </c>
      <c r="B7783" s="1" t="n">
        <v>44943</v>
      </c>
      <c r="C7783" s="1" t="n">
        <v>45657</v>
      </c>
      <c r="D7783" t="inlineStr">
        <is>
          <t>VÄSTERNORRLANDS LÄN</t>
        </is>
      </c>
      <c r="E7783" t="inlineStr">
        <is>
          <t>SOLLEFTEÅ</t>
        </is>
      </c>
      <c r="F7783" t="inlineStr">
        <is>
          <t>SCA</t>
        </is>
      </c>
      <c r="G7783" t="n">
        <v>12.5</v>
      </c>
      <c r="H7783" t="n">
        <v>0</v>
      </c>
      <c r="I7783" t="n">
        <v>0</v>
      </c>
      <c r="J7783" t="n">
        <v>0</v>
      </c>
      <c r="K7783" t="n">
        <v>0</v>
      </c>
      <c r="L7783" t="n">
        <v>0</v>
      </c>
      <c r="M7783" t="n">
        <v>0</v>
      </c>
      <c r="N7783" t="n">
        <v>0</v>
      </c>
      <c r="O7783" t="n">
        <v>0</v>
      </c>
      <c r="P7783" t="n">
        <v>0</v>
      </c>
      <c r="Q7783" t="n">
        <v>0</v>
      </c>
      <c r="R7783" s="2" t="inlineStr"/>
    </row>
    <row r="7784" ht="15" customHeight="1">
      <c r="A7784" t="inlineStr">
        <is>
          <t>A 2601-2023</t>
        </is>
      </c>
      <c r="B7784" s="1" t="n">
        <v>44943</v>
      </c>
      <c r="C7784" s="1" t="n">
        <v>45657</v>
      </c>
      <c r="D7784" t="inlineStr">
        <is>
          <t>VÄSTERNORRLANDS LÄN</t>
        </is>
      </c>
      <c r="E7784" t="inlineStr">
        <is>
          <t>KRAMFORS</t>
        </is>
      </c>
      <c r="F7784" t="inlineStr">
        <is>
          <t>SCA</t>
        </is>
      </c>
      <c r="G7784" t="n">
        <v>44.5</v>
      </c>
      <c r="H7784" t="n">
        <v>0</v>
      </c>
      <c r="I7784" t="n">
        <v>0</v>
      </c>
      <c r="J7784" t="n">
        <v>0</v>
      </c>
      <c r="K7784" t="n">
        <v>0</v>
      </c>
      <c r="L7784" t="n">
        <v>0</v>
      </c>
      <c r="M7784" t="n">
        <v>0</v>
      </c>
      <c r="N7784" t="n">
        <v>0</v>
      </c>
      <c r="O7784" t="n">
        <v>0</v>
      </c>
      <c r="P7784" t="n">
        <v>0</v>
      </c>
      <c r="Q7784" t="n">
        <v>0</v>
      </c>
      <c r="R7784" s="2" t="inlineStr"/>
    </row>
    <row r="7785" ht="15" customHeight="1">
      <c r="A7785" t="inlineStr">
        <is>
          <t>A 2756-2023</t>
        </is>
      </c>
      <c r="B7785" s="1" t="n">
        <v>44943</v>
      </c>
      <c r="C7785" s="1" t="n">
        <v>45657</v>
      </c>
      <c r="D7785" t="inlineStr">
        <is>
          <t>VÄSTERNORRLANDS LÄN</t>
        </is>
      </c>
      <c r="E7785" t="inlineStr">
        <is>
          <t>SOLLEFTEÅ</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2598-2023</t>
        </is>
      </c>
      <c r="B7786" s="1" t="n">
        <v>44943</v>
      </c>
      <c r="C7786" s="1" t="n">
        <v>45657</v>
      </c>
      <c r="D7786" t="inlineStr">
        <is>
          <t>VÄSTERNORRLANDS LÄN</t>
        </is>
      </c>
      <c r="E7786" t="inlineStr">
        <is>
          <t>SOLLEFTEÅ</t>
        </is>
      </c>
      <c r="F7786" t="inlineStr">
        <is>
          <t>SCA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2959-2023</t>
        </is>
      </c>
      <c r="B7787" s="1" t="n">
        <v>44944</v>
      </c>
      <c r="C7787" s="1" t="n">
        <v>45657</v>
      </c>
      <c r="D7787" t="inlineStr">
        <is>
          <t>VÄSTERNORRLANDS LÄN</t>
        </is>
      </c>
      <c r="E7787" t="inlineStr">
        <is>
          <t>ÖRNSKÖLDSVIK</t>
        </is>
      </c>
      <c r="F7787" t="inlineStr">
        <is>
          <t>Övriga Aktiebolag</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2965-2023</t>
        </is>
      </c>
      <c r="B7788" s="1" t="n">
        <v>44944</v>
      </c>
      <c r="C7788" s="1" t="n">
        <v>45657</v>
      </c>
      <c r="D7788" t="inlineStr">
        <is>
          <t>VÄSTERNORRLANDS LÄN</t>
        </is>
      </c>
      <c r="E7788" t="inlineStr">
        <is>
          <t>ÖRNSKÖLDSVIK</t>
        </is>
      </c>
      <c r="F7788" t="inlineStr">
        <is>
          <t>Övriga Aktiebolag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2972-2023</t>
        </is>
      </c>
      <c r="B7789" s="1" t="n">
        <v>44944</v>
      </c>
      <c r="C7789" s="1" t="n">
        <v>45657</v>
      </c>
      <c r="D7789" t="inlineStr">
        <is>
          <t>VÄSTERNORRLANDS LÄN</t>
        </is>
      </c>
      <c r="E7789" t="inlineStr">
        <is>
          <t>ÖRNSKÖLDSVIK</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2963-2023</t>
        </is>
      </c>
      <c r="B7790" s="1" t="n">
        <v>44944</v>
      </c>
      <c r="C7790" s="1" t="n">
        <v>45657</v>
      </c>
      <c r="D7790" t="inlineStr">
        <is>
          <t>VÄSTERNORRLANDS LÄN</t>
        </is>
      </c>
      <c r="E7790" t="inlineStr">
        <is>
          <t>ÖRNSKÖLDSVIK</t>
        </is>
      </c>
      <c r="F7790" t="inlineStr">
        <is>
          <t>Övriga Aktiebolag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2966-2023</t>
        </is>
      </c>
      <c r="B7791" s="1" t="n">
        <v>44944</v>
      </c>
      <c r="C7791" s="1" t="n">
        <v>45657</v>
      </c>
      <c r="D7791" t="inlineStr">
        <is>
          <t>VÄSTERNORRLANDS LÄN</t>
        </is>
      </c>
      <c r="E7791" t="inlineStr">
        <is>
          <t>ÖRNSKÖLDSVIK</t>
        </is>
      </c>
      <c r="G7791" t="n">
        <v>21.3</v>
      </c>
      <c r="H7791" t="n">
        <v>0</v>
      </c>
      <c r="I7791" t="n">
        <v>0</v>
      </c>
      <c r="J7791" t="n">
        <v>0</v>
      </c>
      <c r="K7791" t="n">
        <v>0</v>
      </c>
      <c r="L7791" t="n">
        <v>0</v>
      </c>
      <c r="M7791" t="n">
        <v>0</v>
      </c>
      <c r="N7791" t="n">
        <v>0</v>
      </c>
      <c r="O7791" t="n">
        <v>0</v>
      </c>
      <c r="P7791" t="n">
        <v>0</v>
      </c>
      <c r="Q7791" t="n">
        <v>0</v>
      </c>
      <c r="R7791" s="2" t="inlineStr"/>
    </row>
    <row r="7792" ht="15" customHeight="1">
      <c r="A7792" t="inlineStr">
        <is>
          <t>A 2892-2023</t>
        </is>
      </c>
      <c r="B7792" s="1" t="n">
        <v>44945</v>
      </c>
      <c r="C7792" s="1" t="n">
        <v>45657</v>
      </c>
      <c r="D7792" t="inlineStr">
        <is>
          <t>VÄSTERNORRLANDS LÄN</t>
        </is>
      </c>
      <c r="E7792" t="inlineStr">
        <is>
          <t>ÖRNSKÖLDSVIK</t>
        </is>
      </c>
      <c r="G7792" t="n">
        <v>9.800000000000001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2927-2023</t>
        </is>
      </c>
      <c r="B7793" s="1" t="n">
        <v>44945</v>
      </c>
      <c r="C7793" s="1" t="n">
        <v>45657</v>
      </c>
      <c r="D7793" t="inlineStr">
        <is>
          <t>VÄSTERNORRLANDS LÄN</t>
        </is>
      </c>
      <c r="E7793" t="inlineStr">
        <is>
          <t>SOLLEFTEÅ</t>
        </is>
      </c>
      <c r="G7793" t="n">
        <v>10.6</v>
      </c>
      <c r="H7793" t="n">
        <v>0</v>
      </c>
      <c r="I7793" t="n">
        <v>0</v>
      </c>
      <c r="J7793" t="n">
        <v>0</v>
      </c>
      <c r="K7793" t="n">
        <v>0</v>
      </c>
      <c r="L7793" t="n">
        <v>0</v>
      </c>
      <c r="M7793" t="n">
        <v>0</v>
      </c>
      <c r="N7793" t="n">
        <v>0</v>
      </c>
      <c r="O7793" t="n">
        <v>0</v>
      </c>
      <c r="P7793" t="n">
        <v>0</v>
      </c>
      <c r="Q7793" t="n">
        <v>0</v>
      </c>
      <c r="R7793" s="2" t="inlineStr"/>
    </row>
    <row r="7794" ht="15" customHeight="1">
      <c r="A7794" t="inlineStr">
        <is>
          <t>A 2977-2023</t>
        </is>
      </c>
      <c r="B7794" s="1" t="n">
        <v>44945</v>
      </c>
      <c r="C7794" s="1" t="n">
        <v>45657</v>
      </c>
      <c r="D7794" t="inlineStr">
        <is>
          <t>VÄSTERNORRLANDS LÄN</t>
        </is>
      </c>
      <c r="E7794" t="inlineStr">
        <is>
          <t>ÖRNSKÖLDSVIK</t>
        </is>
      </c>
      <c r="G7794" t="n">
        <v>19.3</v>
      </c>
      <c r="H7794" t="n">
        <v>0</v>
      </c>
      <c r="I7794" t="n">
        <v>0</v>
      </c>
      <c r="J7794" t="n">
        <v>0</v>
      </c>
      <c r="K7794" t="n">
        <v>0</v>
      </c>
      <c r="L7794" t="n">
        <v>0</v>
      </c>
      <c r="M7794" t="n">
        <v>0</v>
      </c>
      <c r="N7794" t="n">
        <v>0</v>
      </c>
      <c r="O7794" t="n">
        <v>0</v>
      </c>
      <c r="P7794" t="n">
        <v>0</v>
      </c>
      <c r="Q7794" t="n">
        <v>0</v>
      </c>
      <c r="R7794" s="2" t="inlineStr"/>
    </row>
    <row r="7795" ht="15" customHeight="1">
      <c r="A7795" t="inlineStr">
        <is>
          <t>A 3022-2023</t>
        </is>
      </c>
      <c r="B7795" s="1" t="n">
        <v>44945</v>
      </c>
      <c r="C7795" s="1" t="n">
        <v>45657</v>
      </c>
      <c r="D7795" t="inlineStr">
        <is>
          <t>VÄSTERNORRLANDS LÄN</t>
        </is>
      </c>
      <c r="E7795" t="inlineStr">
        <is>
          <t>ÅNGE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3026-2023</t>
        </is>
      </c>
      <c r="B7796" s="1" t="n">
        <v>44945</v>
      </c>
      <c r="C7796" s="1" t="n">
        <v>45657</v>
      </c>
      <c r="D7796" t="inlineStr">
        <is>
          <t>VÄSTERNORRLANDS LÄN</t>
        </is>
      </c>
      <c r="E7796" t="inlineStr">
        <is>
          <t>ÖRNSKÖLDSVIK</t>
        </is>
      </c>
      <c r="F7796" t="inlineStr">
        <is>
          <t>SCA</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3023-2023</t>
        </is>
      </c>
      <c r="B7797" s="1" t="n">
        <v>44945</v>
      </c>
      <c r="C7797" s="1" t="n">
        <v>45657</v>
      </c>
      <c r="D7797" t="inlineStr">
        <is>
          <t>VÄSTERNORRLANDS LÄN</t>
        </is>
      </c>
      <c r="E7797" t="inlineStr">
        <is>
          <t>ÅNGE</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3025-2023</t>
        </is>
      </c>
      <c r="B7798" s="1" t="n">
        <v>44945</v>
      </c>
      <c r="C7798" s="1" t="n">
        <v>45657</v>
      </c>
      <c r="D7798" t="inlineStr">
        <is>
          <t>VÄSTERNORRLANDS LÄN</t>
        </is>
      </c>
      <c r="E7798" t="inlineStr">
        <is>
          <t>ÅNGE</t>
        </is>
      </c>
      <c r="F7798" t="inlineStr">
        <is>
          <t>SCA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3323-2023</t>
        </is>
      </c>
      <c r="B7799" s="1" t="n">
        <v>44945</v>
      </c>
      <c r="C7799" s="1" t="n">
        <v>45657</v>
      </c>
      <c r="D7799" t="inlineStr">
        <is>
          <t>VÄSTERNORRLANDS LÄN</t>
        </is>
      </c>
      <c r="E7799" t="inlineStr">
        <is>
          <t>ÅNGE</t>
        </is>
      </c>
      <c r="G7799" t="n">
        <v>9.699999999999999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3019-2023</t>
        </is>
      </c>
      <c r="B7800" s="1" t="n">
        <v>44945</v>
      </c>
      <c r="C7800" s="1" t="n">
        <v>45657</v>
      </c>
      <c r="D7800" t="inlineStr">
        <is>
          <t>VÄSTERNORRLANDS LÄN</t>
        </is>
      </c>
      <c r="E7800" t="inlineStr">
        <is>
          <t>SOLLEFTEÅ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3024-2023</t>
        </is>
      </c>
      <c r="B7801" s="1" t="n">
        <v>44945</v>
      </c>
      <c r="C7801" s="1" t="n">
        <v>45657</v>
      </c>
      <c r="D7801" t="inlineStr">
        <is>
          <t>VÄSTERNORRLANDS LÄN</t>
        </is>
      </c>
      <c r="E7801" t="inlineStr">
        <is>
          <t>HÄRNÖSAND</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3038-2023</t>
        </is>
      </c>
      <c r="B7802" s="1" t="n">
        <v>44945</v>
      </c>
      <c r="C7802" s="1" t="n">
        <v>45657</v>
      </c>
      <c r="D7802" t="inlineStr">
        <is>
          <t>VÄSTERNORRLANDS LÄN</t>
        </is>
      </c>
      <c r="E7802" t="inlineStr">
        <is>
          <t>ÖRNSKÖLDSVIK</t>
        </is>
      </c>
      <c r="F7802" t="inlineStr">
        <is>
          <t>SCA</t>
        </is>
      </c>
      <c r="G7802" t="n">
        <v>90.90000000000001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3037-2023</t>
        </is>
      </c>
      <c r="B7803" s="1" t="n">
        <v>44945</v>
      </c>
      <c r="C7803" s="1" t="n">
        <v>45657</v>
      </c>
      <c r="D7803" t="inlineStr">
        <is>
          <t>VÄSTERNORRLANDS LÄN</t>
        </is>
      </c>
      <c r="E7803" t="inlineStr">
        <is>
          <t>KRAMFORS</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3362-2023</t>
        </is>
      </c>
      <c r="B7804" s="1" t="n">
        <v>44945</v>
      </c>
      <c r="C7804" s="1" t="n">
        <v>45657</v>
      </c>
      <c r="D7804" t="inlineStr">
        <is>
          <t>VÄSTERNORRLANDS LÄN</t>
        </is>
      </c>
      <c r="E7804" t="inlineStr">
        <is>
          <t>ÅNGE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3104-2023</t>
        </is>
      </c>
      <c r="B7805" s="1" t="n">
        <v>44946</v>
      </c>
      <c r="C7805" s="1" t="n">
        <v>45657</v>
      </c>
      <c r="D7805" t="inlineStr">
        <is>
          <t>VÄSTERNORRLANDS LÄN</t>
        </is>
      </c>
      <c r="E7805" t="inlineStr">
        <is>
          <t>HÄRNÖSAND</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3208-2023</t>
        </is>
      </c>
      <c r="B7806" s="1" t="n">
        <v>44946</v>
      </c>
      <c r="C7806" s="1" t="n">
        <v>45657</v>
      </c>
      <c r="D7806" t="inlineStr">
        <is>
          <t>VÄSTERNORRLANDS LÄN</t>
        </is>
      </c>
      <c r="E7806" t="inlineStr">
        <is>
          <t>ÖRNSKÖLDSVIK</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3458-2023</t>
        </is>
      </c>
      <c r="B7807" s="1" t="n">
        <v>44946</v>
      </c>
      <c r="C7807" s="1" t="n">
        <v>45657</v>
      </c>
      <c r="D7807" t="inlineStr">
        <is>
          <t>VÄSTERNORRLANDS LÄN</t>
        </is>
      </c>
      <c r="E7807" t="inlineStr">
        <is>
          <t>KRAMFORS</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3454-2023</t>
        </is>
      </c>
      <c r="B7808" s="1" t="n">
        <v>44946</v>
      </c>
      <c r="C7808" s="1" t="n">
        <v>45657</v>
      </c>
      <c r="D7808" t="inlineStr">
        <is>
          <t>VÄSTERNORRLANDS LÄN</t>
        </is>
      </c>
      <c r="E7808" t="inlineStr">
        <is>
          <t>KRAMFORS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3623-2023</t>
        </is>
      </c>
      <c r="B7809" s="1" t="n">
        <v>44946</v>
      </c>
      <c r="C7809" s="1" t="n">
        <v>45657</v>
      </c>
      <c r="D7809" t="inlineStr">
        <is>
          <t>VÄSTERNORRLANDS LÄN</t>
        </is>
      </c>
      <c r="E7809" t="inlineStr">
        <is>
          <t>ÖRNSKÖLDSVIK</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3425-2023</t>
        </is>
      </c>
      <c r="B7810" s="1" t="n">
        <v>44946</v>
      </c>
      <c r="C7810" s="1" t="n">
        <v>45657</v>
      </c>
      <c r="D7810" t="inlineStr">
        <is>
          <t>VÄSTERNORRLANDS LÄN</t>
        </is>
      </c>
      <c r="E7810" t="inlineStr">
        <is>
          <t>KRAMFORS</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3319-2023</t>
        </is>
      </c>
      <c r="B7811" s="1" t="n">
        <v>44949</v>
      </c>
      <c r="C7811" s="1" t="n">
        <v>45657</v>
      </c>
      <c r="D7811" t="inlineStr">
        <is>
          <t>VÄSTERNORRLANDS LÄN</t>
        </is>
      </c>
      <c r="E7811" t="inlineStr">
        <is>
          <t>SOLLEFTEÅ</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3499-2023</t>
        </is>
      </c>
      <c r="B7812" s="1" t="n">
        <v>44949</v>
      </c>
      <c r="C7812" s="1" t="n">
        <v>45657</v>
      </c>
      <c r="D7812" t="inlineStr">
        <is>
          <t>VÄSTERNORRLANDS LÄN</t>
        </is>
      </c>
      <c r="E7812" t="inlineStr">
        <is>
          <t>KRAMFORS</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3501-2023</t>
        </is>
      </c>
      <c r="B7813" s="1" t="n">
        <v>44949</v>
      </c>
      <c r="C7813" s="1" t="n">
        <v>45657</v>
      </c>
      <c r="D7813" t="inlineStr">
        <is>
          <t>VÄSTERNORRLANDS LÄN</t>
        </is>
      </c>
      <c r="E7813" t="inlineStr">
        <is>
          <t>KRAMFORS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3769-2023</t>
        </is>
      </c>
      <c r="B7814" s="1" t="n">
        <v>44949</v>
      </c>
      <c r="C7814" s="1" t="n">
        <v>45657</v>
      </c>
      <c r="D7814" t="inlineStr">
        <is>
          <t>VÄSTERNORRLANDS LÄN</t>
        </is>
      </c>
      <c r="E7814" t="inlineStr">
        <is>
          <t>ÖRNSKÖLDSVIK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3555-2023</t>
        </is>
      </c>
      <c r="B7815" s="1" t="n">
        <v>44950</v>
      </c>
      <c r="C7815" s="1" t="n">
        <v>45657</v>
      </c>
      <c r="D7815" t="inlineStr">
        <is>
          <t>VÄSTERNORRLANDS LÄN</t>
        </is>
      </c>
      <c r="E7815" t="inlineStr">
        <is>
          <t>ÖRNSKÖLDSVIK</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3631-2023</t>
        </is>
      </c>
      <c r="B7816" s="1" t="n">
        <v>44950</v>
      </c>
      <c r="C7816" s="1" t="n">
        <v>45657</v>
      </c>
      <c r="D7816" t="inlineStr">
        <is>
          <t>VÄSTERNORRLANDS LÄN</t>
        </is>
      </c>
      <c r="E7816" t="inlineStr">
        <is>
          <t>ÅNGE</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3629-2023</t>
        </is>
      </c>
      <c r="B7817" s="1" t="n">
        <v>44950</v>
      </c>
      <c r="C7817" s="1" t="n">
        <v>45657</v>
      </c>
      <c r="D7817" t="inlineStr">
        <is>
          <t>VÄSTERNORRLANDS LÄN</t>
        </is>
      </c>
      <c r="E7817" t="inlineStr">
        <is>
          <t>ÅNGE</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3634-2023</t>
        </is>
      </c>
      <c r="B7818" s="1" t="n">
        <v>44950</v>
      </c>
      <c r="C7818" s="1" t="n">
        <v>45657</v>
      </c>
      <c r="D7818" t="inlineStr">
        <is>
          <t>VÄSTERNORRLANDS LÄN</t>
        </is>
      </c>
      <c r="E7818" t="inlineStr">
        <is>
          <t>SUNDSVALL</t>
        </is>
      </c>
      <c r="G7818" t="n">
        <v>49.4</v>
      </c>
      <c r="H7818" t="n">
        <v>0</v>
      </c>
      <c r="I7818" t="n">
        <v>0</v>
      </c>
      <c r="J7818" t="n">
        <v>0</v>
      </c>
      <c r="K7818" t="n">
        <v>0</v>
      </c>
      <c r="L7818" t="n">
        <v>0</v>
      </c>
      <c r="M7818" t="n">
        <v>0</v>
      </c>
      <c r="N7818" t="n">
        <v>0</v>
      </c>
      <c r="O7818" t="n">
        <v>0</v>
      </c>
      <c r="P7818" t="n">
        <v>0</v>
      </c>
      <c r="Q7818" t="n">
        <v>0</v>
      </c>
      <c r="R7818" s="2" t="inlineStr"/>
    </row>
    <row r="7819" ht="15" customHeight="1">
      <c r="A7819" t="inlineStr">
        <is>
          <t>A 3686-2023</t>
        </is>
      </c>
      <c r="B7819" s="1" t="n">
        <v>44950</v>
      </c>
      <c r="C7819" s="1" t="n">
        <v>45657</v>
      </c>
      <c r="D7819" t="inlineStr">
        <is>
          <t>VÄSTERNORRLANDS LÄN</t>
        </is>
      </c>
      <c r="E7819" t="inlineStr">
        <is>
          <t>ÅNGE</t>
        </is>
      </c>
      <c r="F7819" t="inlineStr">
        <is>
          <t>SCA</t>
        </is>
      </c>
      <c r="G7819" t="n">
        <v>11.5</v>
      </c>
      <c r="H7819" t="n">
        <v>0</v>
      </c>
      <c r="I7819" t="n">
        <v>0</v>
      </c>
      <c r="J7819" t="n">
        <v>0</v>
      </c>
      <c r="K7819" t="n">
        <v>0</v>
      </c>
      <c r="L7819" t="n">
        <v>0</v>
      </c>
      <c r="M7819" t="n">
        <v>0</v>
      </c>
      <c r="N7819" t="n">
        <v>0</v>
      </c>
      <c r="O7819" t="n">
        <v>0</v>
      </c>
      <c r="P7819" t="n">
        <v>0</v>
      </c>
      <c r="Q7819" t="n">
        <v>0</v>
      </c>
      <c r="R7819" s="2" t="inlineStr"/>
    </row>
    <row r="7820" ht="15" customHeight="1">
      <c r="A7820" t="inlineStr">
        <is>
          <t>A 3692-2023</t>
        </is>
      </c>
      <c r="B7820" s="1" t="n">
        <v>44950</v>
      </c>
      <c r="C7820" s="1" t="n">
        <v>45657</v>
      </c>
      <c r="D7820" t="inlineStr">
        <is>
          <t>VÄSTERNORRLANDS LÄN</t>
        </is>
      </c>
      <c r="E7820" t="inlineStr">
        <is>
          <t>SOLLEFTEÅ</t>
        </is>
      </c>
      <c r="F7820" t="inlineStr">
        <is>
          <t>SCA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3697-2023</t>
        </is>
      </c>
      <c r="B7821" s="1" t="n">
        <v>44950</v>
      </c>
      <c r="C7821" s="1" t="n">
        <v>45657</v>
      </c>
      <c r="D7821" t="inlineStr">
        <is>
          <t>VÄSTERNORRLANDS LÄN</t>
        </is>
      </c>
      <c r="E7821" t="inlineStr">
        <is>
          <t>ÖRNSKÖLDSVIK</t>
        </is>
      </c>
      <c r="F7821" t="inlineStr">
        <is>
          <t>SCA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3688-2023</t>
        </is>
      </c>
      <c r="B7822" s="1" t="n">
        <v>44950</v>
      </c>
      <c r="C7822" s="1" t="n">
        <v>45657</v>
      </c>
      <c r="D7822" t="inlineStr">
        <is>
          <t>VÄSTERNORRLANDS LÄN</t>
        </is>
      </c>
      <c r="E7822" t="inlineStr">
        <is>
          <t>SUNDSVALL</t>
        </is>
      </c>
      <c r="F7822" t="inlineStr">
        <is>
          <t>Naturvårdsverket</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3963-2023</t>
        </is>
      </c>
      <c r="B7823" s="1" t="n">
        <v>44950</v>
      </c>
      <c r="C7823" s="1" t="n">
        <v>45657</v>
      </c>
      <c r="D7823" t="inlineStr">
        <is>
          <t>VÄSTERNORRLANDS LÄN</t>
        </is>
      </c>
      <c r="E7823" t="inlineStr">
        <is>
          <t>ÖRNSKÖLDSVIK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3684-2023</t>
        </is>
      </c>
      <c r="B7824" s="1" t="n">
        <v>44950</v>
      </c>
      <c r="C7824" s="1" t="n">
        <v>45657</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3691-2023</t>
        </is>
      </c>
      <c r="B7825" s="1" t="n">
        <v>44950</v>
      </c>
      <c r="C7825" s="1" t="n">
        <v>45657</v>
      </c>
      <c r="D7825" t="inlineStr">
        <is>
          <t>VÄSTERNORRLANDS LÄN</t>
        </is>
      </c>
      <c r="E7825" t="inlineStr">
        <is>
          <t>SOLLEFTEÅ</t>
        </is>
      </c>
      <c r="F7825" t="inlineStr">
        <is>
          <t>SCA</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3689-2023</t>
        </is>
      </c>
      <c r="B7826" s="1" t="n">
        <v>44950</v>
      </c>
      <c r="C7826" s="1" t="n">
        <v>45657</v>
      </c>
      <c r="D7826" t="inlineStr">
        <is>
          <t>VÄSTERNORRLANDS LÄN</t>
        </is>
      </c>
      <c r="E7826" t="inlineStr">
        <is>
          <t>SOLLEFTEÅ</t>
        </is>
      </c>
      <c r="F7826" t="inlineStr">
        <is>
          <t>SCA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3699-2023</t>
        </is>
      </c>
      <c r="B7827" s="1" t="n">
        <v>44950</v>
      </c>
      <c r="C7827" s="1" t="n">
        <v>45657</v>
      </c>
      <c r="D7827" t="inlineStr">
        <is>
          <t>VÄSTERNORRLANDS LÄN</t>
        </is>
      </c>
      <c r="E7827" t="inlineStr">
        <is>
          <t>SUNDSVALL</t>
        </is>
      </c>
      <c r="F7827" t="inlineStr">
        <is>
          <t>Naturvårdsverket</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4154-2023</t>
        </is>
      </c>
      <c r="B7828" s="1" t="n">
        <v>44950</v>
      </c>
      <c r="C7828" s="1" t="n">
        <v>45657</v>
      </c>
      <c r="D7828" t="inlineStr">
        <is>
          <t>VÄSTERNORRLANDS LÄN</t>
        </is>
      </c>
      <c r="E7828" t="inlineStr">
        <is>
          <t>SOLLEFTEÅ</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3887-2023</t>
        </is>
      </c>
      <c r="B7829" s="1" t="n">
        <v>44951</v>
      </c>
      <c r="C7829" s="1" t="n">
        <v>45657</v>
      </c>
      <c r="D7829" t="inlineStr">
        <is>
          <t>VÄSTERNORRLANDS LÄN</t>
        </is>
      </c>
      <c r="E7829" t="inlineStr">
        <is>
          <t>KRAMFORS</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3897-2023</t>
        </is>
      </c>
      <c r="B7830" s="1" t="n">
        <v>44951</v>
      </c>
      <c r="C7830" s="1" t="n">
        <v>45657</v>
      </c>
      <c r="D7830" t="inlineStr">
        <is>
          <t>VÄSTERNORRLANDS LÄN</t>
        </is>
      </c>
      <c r="E7830" t="inlineStr">
        <is>
          <t>HÄRNÖSAND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4406-2023</t>
        </is>
      </c>
      <c r="B7831" s="1" t="n">
        <v>44951</v>
      </c>
      <c r="C7831" s="1" t="n">
        <v>45657</v>
      </c>
      <c r="D7831" t="inlineStr">
        <is>
          <t>VÄSTERNORRLANDS LÄN</t>
        </is>
      </c>
      <c r="E7831" t="inlineStr">
        <is>
          <t>SOLLEFTEÅ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4095-2023</t>
        </is>
      </c>
      <c r="B7832" s="1" t="n">
        <v>44952</v>
      </c>
      <c r="C7832" s="1" t="n">
        <v>45657</v>
      </c>
      <c r="D7832" t="inlineStr">
        <is>
          <t>VÄSTERNORRLANDS LÄN</t>
        </is>
      </c>
      <c r="E7832" t="inlineStr">
        <is>
          <t>ÅNGE</t>
        </is>
      </c>
      <c r="G7832" t="n">
        <v>13.4</v>
      </c>
      <c r="H7832" t="n">
        <v>0</v>
      </c>
      <c r="I7832" t="n">
        <v>0</v>
      </c>
      <c r="J7832" t="n">
        <v>0</v>
      </c>
      <c r="K7832" t="n">
        <v>0</v>
      </c>
      <c r="L7832" t="n">
        <v>0</v>
      </c>
      <c r="M7832" t="n">
        <v>0</v>
      </c>
      <c r="N7832" t="n">
        <v>0</v>
      </c>
      <c r="O7832" t="n">
        <v>0</v>
      </c>
      <c r="P7832" t="n">
        <v>0</v>
      </c>
      <c r="Q7832" t="n">
        <v>0</v>
      </c>
      <c r="R7832" s="2" t="inlineStr"/>
    </row>
    <row r="7833" ht="15" customHeight="1">
      <c r="A7833" t="inlineStr">
        <is>
          <t>A 4124-2023</t>
        </is>
      </c>
      <c r="B7833" s="1" t="n">
        <v>44952</v>
      </c>
      <c r="C7833" s="1" t="n">
        <v>45657</v>
      </c>
      <c r="D7833" t="inlineStr">
        <is>
          <t>VÄSTERNORRLANDS LÄN</t>
        </is>
      </c>
      <c r="E7833" t="inlineStr">
        <is>
          <t>TIMRÅ</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3966-2023</t>
        </is>
      </c>
      <c r="B7834" s="1" t="n">
        <v>44952</v>
      </c>
      <c r="C7834" s="1" t="n">
        <v>45657</v>
      </c>
      <c r="D7834" t="inlineStr">
        <is>
          <t>VÄSTERNORRLANDS LÄN</t>
        </is>
      </c>
      <c r="E7834" t="inlineStr">
        <is>
          <t>ÖRNSKÖLDSVIK</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4123-2023</t>
        </is>
      </c>
      <c r="B7835" s="1" t="n">
        <v>44952</v>
      </c>
      <c r="C7835" s="1" t="n">
        <v>45657</v>
      </c>
      <c r="D7835" t="inlineStr">
        <is>
          <t>VÄSTERNORRLANDS LÄN</t>
        </is>
      </c>
      <c r="E7835" t="inlineStr">
        <is>
          <t>TIMRÅ</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4132-2023</t>
        </is>
      </c>
      <c r="B7836" s="1" t="n">
        <v>44952</v>
      </c>
      <c r="C7836" s="1" t="n">
        <v>45657</v>
      </c>
      <c r="D7836" t="inlineStr">
        <is>
          <t>VÄSTERNORRLANDS LÄN</t>
        </is>
      </c>
      <c r="E7836" t="inlineStr">
        <is>
          <t>SOLLEFTEÅ</t>
        </is>
      </c>
      <c r="F7836" t="inlineStr">
        <is>
          <t>SCA</t>
        </is>
      </c>
      <c r="G7836" t="n">
        <v>50.4</v>
      </c>
      <c r="H7836" t="n">
        <v>0</v>
      </c>
      <c r="I7836" t="n">
        <v>0</v>
      </c>
      <c r="J7836" t="n">
        <v>0</v>
      </c>
      <c r="K7836" t="n">
        <v>0</v>
      </c>
      <c r="L7836" t="n">
        <v>0</v>
      </c>
      <c r="M7836" t="n">
        <v>0</v>
      </c>
      <c r="N7836" t="n">
        <v>0</v>
      </c>
      <c r="O7836" t="n">
        <v>0</v>
      </c>
      <c r="P7836" t="n">
        <v>0</v>
      </c>
      <c r="Q7836" t="n">
        <v>0</v>
      </c>
      <c r="R7836" s="2" t="inlineStr"/>
    </row>
    <row r="7837" ht="15" customHeight="1">
      <c r="A7837" t="inlineStr">
        <is>
          <t>A 4138-2023</t>
        </is>
      </c>
      <c r="B7837" s="1" t="n">
        <v>44952</v>
      </c>
      <c r="C7837" s="1" t="n">
        <v>45657</v>
      </c>
      <c r="D7837" t="inlineStr">
        <is>
          <t>VÄSTERNORRLANDS LÄN</t>
        </is>
      </c>
      <c r="E7837" t="inlineStr">
        <is>
          <t>SOLLEFTEÅ</t>
        </is>
      </c>
      <c r="F7837" t="inlineStr">
        <is>
          <t>SCA</t>
        </is>
      </c>
      <c r="G7837" t="n">
        <v>70</v>
      </c>
      <c r="H7837" t="n">
        <v>0</v>
      </c>
      <c r="I7837" t="n">
        <v>0</v>
      </c>
      <c r="J7837" t="n">
        <v>0</v>
      </c>
      <c r="K7837" t="n">
        <v>0</v>
      </c>
      <c r="L7837" t="n">
        <v>0</v>
      </c>
      <c r="M7837" t="n">
        <v>0</v>
      </c>
      <c r="N7837" t="n">
        <v>0</v>
      </c>
      <c r="O7837" t="n">
        <v>0</v>
      </c>
      <c r="P7837" t="n">
        <v>0</v>
      </c>
      <c r="Q7837" t="n">
        <v>0</v>
      </c>
      <c r="R7837" s="2" t="inlineStr"/>
    </row>
    <row r="7838" ht="15" customHeight="1">
      <c r="A7838" t="inlineStr">
        <is>
          <t>A 4126-2023</t>
        </is>
      </c>
      <c r="B7838" s="1" t="n">
        <v>44952</v>
      </c>
      <c r="C7838" s="1" t="n">
        <v>45657</v>
      </c>
      <c r="D7838" t="inlineStr">
        <is>
          <t>VÄSTERNORRLANDS LÄN</t>
        </is>
      </c>
      <c r="E7838" t="inlineStr">
        <is>
          <t>TIMRÅ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4125-2023</t>
        </is>
      </c>
      <c r="B7839" s="1" t="n">
        <v>44952</v>
      </c>
      <c r="C7839" s="1" t="n">
        <v>45657</v>
      </c>
      <c r="D7839" t="inlineStr">
        <is>
          <t>VÄSTERNORRLANDS LÄN</t>
        </is>
      </c>
      <c r="E7839" t="inlineStr">
        <is>
          <t>TIMRÅ</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4129-2023</t>
        </is>
      </c>
      <c r="B7840" s="1" t="n">
        <v>44952</v>
      </c>
      <c r="C7840" s="1" t="n">
        <v>45657</v>
      </c>
      <c r="D7840" t="inlineStr">
        <is>
          <t>VÄSTERNORRLANDS LÄN</t>
        </is>
      </c>
      <c r="E7840" t="inlineStr">
        <is>
          <t>TIMRÅ</t>
        </is>
      </c>
      <c r="G7840" t="n">
        <v>13.3</v>
      </c>
      <c r="H7840" t="n">
        <v>0</v>
      </c>
      <c r="I7840" t="n">
        <v>0</v>
      </c>
      <c r="J7840" t="n">
        <v>0</v>
      </c>
      <c r="K7840" t="n">
        <v>0</v>
      </c>
      <c r="L7840" t="n">
        <v>0</v>
      </c>
      <c r="M7840" t="n">
        <v>0</v>
      </c>
      <c r="N7840" t="n">
        <v>0</v>
      </c>
      <c r="O7840" t="n">
        <v>0</v>
      </c>
      <c r="P7840" t="n">
        <v>0</v>
      </c>
      <c r="Q7840" t="n">
        <v>0</v>
      </c>
      <c r="R7840" s="2" t="inlineStr"/>
    </row>
    <row r="7841" ht="15" customHeight="1">
      <c r="A7841" t="inlineStr">
        <is>
          <t>A 4648-2023</t>
        </is>
      </c>
      <c r="B7841" s="1" t="n">
        <v>44952</v>
      </c>
      <c r="C7841" s="1" t="n">
        <v>45657</v>
      </c>
      <c r="D7841" t="inlineStr">
        <is>
          <t>VÄSTERNORRLANDS LÄN</t>
        </is>
      </c>
      <c r="E7841" t="inlineStr">
        <is>
          <t>HÄRNÖSAND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4501-2023</t>
        </is>
      </c>
      <c r="B7842" s="1" t="n">
        <v>44952</v>
      </c>
      <c r="C7842" s="1" t="n">
        <v>45657</v>
      </c>
      <c r="D7842" t="inlineStr">
        <is>
          <t>VÄSTERNORRLANDS LÄN</t>
        </is>
      </c>
      <c r="E7842" t="inlineStr">
        <is>
          <t>SOLLEFTEÅ</t>
        </is>
      </c>
      <c r="F7842" t="inlineStr">
        <is>
          <t>Övriga Aktiebolag</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4800-2023</t>
        </is>
      </c>
      <c r="B7843" s="1" t="n">
        <v>44952</v>
      </c>
      <c r="C7843" s="1" t="n">
        <v>45657</v>
      </c>
      <c r="D7843" t="inlineStr">
        <is>
          <t>VÄSTERNORRLANDS LÄN</t>
        </is>
      </c>
      <c r="E7843" t="inlineStr">
        <is>
          <t>SUNDSVALL</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4283-2023</t>
        </is>
      </c>
      <c r="B7844" s="1" t="n">
        <v>44953</v>
      </c>
      <c r="C7844" s="1" t="n">
        <v>45657</v>
      </c>
      <c r="D7844" t="inlineStr">
        <is>
          <t>VÄSTERNORRLANDS LÄN</t>
        </is>
      </c>
      <c r="E7844" t="inlineStr">
        <is>
          <t>HÄRNÖSAND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4719-2023</t>
        </is>
      </c>
      <c r="B7845" s="1" t="n">
        <v>44953</v>
      </c>
      <c r="C7845" s="1" t="n">
        <v>45657</v>
      </c>
      <c r="D7845" t="inlineStr">
        <is>
          <t>VÄSTERNORRLANDS LÄN</t>
        </is>
      </c>
      <c r="E7845" t="inlineStr">
        <is>
          <t>ÖRNSKÖLDSVIK</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4727-2023</t>
        </is>
      </c>
      <c r="B7846" s="1" t="n">
        <v>44953</v>
      </c>
      <c r="C7846" s="1" t="n">
        <v>45657</v>
      </c>
      <c r="D7846" t="inlineStr">
        <is>
          <t>VÄSTERNORRLANDS LÄN</t>
        </is>
      </c>
      <c r="E7846" t="inlineStr">
        <is>
          <t>ÅNGE</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4360-2023</t>
        </is>
      </c>
      <c r="B7847" s="1" t="n">
        <v>44954</v>
      </c>
      <c r="C7847" s="1" t="n">
        <v>45657</v>
      </c>
      <c r="D7847" t="inlineStr">
        <is>
          <t>VÄSTERNORRLANDS LÄN</t>
        </is>
      </c>
      <c r="E7847" t="inlineStr">
        <is>
          <t>ÖRNSKÖLDSVIK</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4367-2023</t>
        </is>
      </c>
      <c r="B7848" s="1" t="n">
        <v>44954</v>
      </c>
      <c r="C7848" s="1" t="n">
        <v>45657</v>
      </c>
      <c r="D7848" t="inlineStr">
        <is>
          <t>VÄSTERNORRLANDS LÄN</t>
        </is>
      </c>
      <c r="E7848" t="inlineStr">
        <is>
          <t>SUNDSVALL</t>
        </is>
      </c>
      <c r="F7848" t="inlineStr">
        <is>
          <t>SCA</t>
        </is>
      </c>
      <c r="G7848" t="n">
        <v>9.199999999999999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4428-2023</t>
        </is>
      </c>
      <c r="B7849" s="1" t="n">
        <v>44956</v>
      </c>
      <c r="C7849" s="1" t="n">
        <v>45657</v>
      </c>
      <c r="D7849" t="inlineStr">
        <is>
          <t>VÄSTERNORRLANDS LÄN</t>
        </is>
      </c>
      <c r="E7849" t="inlineStr">
        <is>
          <t>ÖRNSKÖLDSVIK</t>
        </is>
      </c>
      <c r="F7849" t="inlineStr">
        <is>
          <t>Kyrkan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4414-2023</t>
        </is>
      </c>
      <c r="B7850" s="1" t="n">
        <v>44956</v>
      </c>
      <c r="C7850" s="1" t="n">
        <v>45657</v>
      </c>
      <c r="D7850" t="inlineStr">
        <is>
          <t>VÄSTERNORRLANDS LÄN</t>
        </is>
      </c>
      <c r="E7850" t="inlineStr">
        <is>
          <t>ÖRNSKÖLDSVIK</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4522-2023</t>
        </is>
      </c>
      <c r="B7851" s="1" t="n">
        <v>44956</v>
      </c>
      <c r="C7851" s="1" t="n">
        <v>45657</v>
      </c>
      <c r="D7851" t="inlineStr">
        <is>
          <t>VÄSTERNORRLANDS LÄN</t>
        </is>
      </c>
      <c r="E7851" t="inlineStr">
        <is>
          <t>ÖRNSKÖLDSVIK</t>
        </is>
      </c>
      <c r="F7851" t="inlineStr">
        <is>
          <t>Holmen skog AB</t>
        </is>
      </c>
      <c r="G7851" t="n">
        <v>34.6</v>
      </c>
      <c r="H7851" t="n">
        <v>0</v>
      </c>
      <c r="I7851" t="n">
        <v>0</v>
      </c>
      <c r="J7851" t="n">
        <v>0</v>
      </c>
      <c r="K7851" t="n">
        <v>0</v>
      </c>
      <c r="L7851" t="n">
        <v>0</v>
      </c>
      <c r="M7851" t="n">
        <v>0</v>
      </c>
      <c r="N7851" t="n">
        <v>0</v>
      </c>
      <c r="O7851" t="n">
        <v>0</v>
      </c>
      <c r="P7851" t="n">
        <v>0</v>
      </c>
      <c r="Q7851" t="n">
        <v>0</v>
      </c>
      <c r="R7851" s="2" t="inlineStr"/>
    </row>
    <row r="7852" ht="15" customHeight="1">
      <c r="A7852" t="inlineStr">
        <is>
          <t>A 4602-2023</t>
        </is>
      </c>
      <c r="B7852" s="1" t="n">
        <v>44956</v>
      </c>
      <c r="C7852" s="1" t="n">
        <v>45657</v>
      </c>
      <c r="D7852" t="inlineStr">
        <is>
          <t>VÄSTERNORRLANDS LÄN</t>
        </is>
      </c>
      <c r="E7852" t="inlineStr">
        <is>
          <t>KRAMFORS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4613-2023</t>
        </is>
      </c>
      <c r="B7853" s="1" t="n">
        <v>44956</v>
      </c>
      <c r="C7853" s="1" t="n">
        <v>45657</v>
      </c>
      <c r="D7853" t="inlineStr">
        <is>
          <t>VÄSTERNORRLANDS LÄN</t>
        </is>
      </c>
      <c r="E7853" t="inlineStr">
        <is>
          <t>SOLLEFTEÅ</t>
        </is>
      </c>
      <c r="F7853" t="inlineStr">
        <is>
          <t>SCA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4611-2023</t>
        </is>
      </c>
      <c r="B7854" s="1" t="n">
        <v>44956</v>
      </c>
      <c r="C7854" s="1" t="n">
        <v>45657</v>
      </c>
      <c r="D7854" t="inlineStr">
        <is>
          <t>VÄSTERNORRLANDS LÄN</t>
        </is>
      </c>
      <c r="E7854" t="inlineStr">
        <is>
          <t>SOLLEFTEÅ</t>
        </is>
      </c>
      <c r="F7854" t="inlineStr">
        <is>
          <t>SCA</t>
        </is>
      </c>
      <c r="G7854" t="n">
        <v>19.2</v>
      </c>
      <c r="H7854" t="n">
        <v>0</v>
      </c>
      <c r="I7854" t="n">
        <v>0</v>
      </c>
      <c r="J7854" t="n">
        <v>0</v>
      </c>
      <c r="K7854" t="n">
        <v>0</v>
      </c>
      <c r="L7854" t="n">
        <v>0</v>
      </c>
      <c r="M7854" t="n">
        <v>0</v>
      </c>
      <c r="N7854" t="n">
        <v>0</v>
      </c>
      <c r="O7854" t="n">
        <v>0</v>
      </c>
      <c r="P7854" t="n">
        <v>0</v>
      </c>
      <c r="Q7854" t="n">
        <v>0</v>
      </c>
      <c r="R7854" s="2" t="inlineStr"/>
    </row>
    <row r="7855" ht="15" customHeight="1">
      <c r="A7855" t="inlineStr">
        <is>
          <t>A 4556-2023</t>
        </is>
      </c>
      <c r="B7855" s="1" t="n">
        <v>44956</v>
      </c>
      <c r="C7855" s="1" t="n">
        <v>45657</v>
      </c>
      <c r="D7855" t="inlineStr">
        <is>
          <t>VÄSTERNORRLANDS LÄN</t>
        </is>
      </c>
      <c r="E7855" t="inlineStr">
        <is>
          <t>ÖRNSKÖLDSVIK</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4601-2023</t>
        </is>
      </c>
      <c r="B7856" s="1" t="n">
        <v>44956</v>
      </c>
      <c r="C7856" s="1" t="n">
        <v>45657</v>
      </c>
      <c r="D7856" t="inlineStr">
        <is>
          <t>VÄSTERNORRLANDS LÄN</t>
        </is>
      </c>
      <c r="E7856" t="inlineStr">
        <is>
          <t>KRAMFORS</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4612-2023</t>
        </is>
      </c>
      <c r="B7857" s="1" t="n">
        <v>44956</v>
      </c>
      <c r="C7857" s="1" t="n">
        <v>45657</v>
      </c>
      <c r="D7857" t="inlineStr">
        <is>
          <t>VÄSTERNORRLANDS LÄN</t>
        </is>
      </c>
      <c r="E7857" t="inlineStr">
        <is>
          <t>SOLLEFTEÅ</t>
        </is>
      </c>
      <c r="F7857" t="inlineStr">
        <is>
          <t>SCA</t>
        </is>
      </c>
      <c r="G7857" t="n">
        <v>25.5</v>
      </c>
      <c r="H7857" t="n">
        <v>0</v>
      </c>
      <c r="I7857" t="n">
        <v>0</v>
      </c>
      <c r="J7857" t="n">
        <v>0</v>
      </c>
      <c r="K7857" t="n">
        <v>0</v>
      </c>
      <c r="L7857" t="n">
        <v>0</v>
      </c>
      <c r="M7857" t="n">
        <v>0</v>
      </c>
      <c r="N7857" t="n">
        <v>0</v>
      </c>
      <c r="O7857" t="n">
        <v>0</v>
      </c>
      <c r="P7857" t="n">
        <v>0</v>
      </c>
      <c r="Q7857" t="n">
        <v>0</v>
      </c>
      <c r="R7857" s="2" t="inlineStr"/>
    </row>
    <row r="7858" ht="15" customHeight="1">
      <c r="A7858" t="inlineStr">
        <is>
          <t>A 5349-2023</t>
        </is>
      </c>
      <c r="B7858" s="1" t="n">
        <v>44956</v>
      </c>
      <c r="C7858" s="1" t="n">
        <v>45657</v>
      </c>
      <c r="D7858" t="inlineStr">
        <is>
          <t>VÄSTERNORRLANDS LÄN</t>
        </is>
      </c>
      <c r="E7858" t="inlineStr">
        <is>
          <t>KRAMFORS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4912-2023</t>
        </is>
      </c>
      <c r="B7859" s="1" t="n">
        <v>44956</v>
      </c>
      <c r="C7859" s="1" t="n">
        <v>45657</v>
      </c>
      <c r="D7859" t="inlineStr">
        <is>
          <t>VÄSTERNORRLANDS LÄN</t>
        </is>
      </c>
      <c r="E7859" t="inlineStr">
        <is>
          <t>SUNDSVALL</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4619-2023</t>
        </is>
      </c>
      <c r="B7860" s="1" t="n">
        <v>44956</v>
      </c>
      <c r="C7860" s="1" t="n">
        <v>45657</v>
      </c>
      <c r="D7860" t="inlineStr">
        <is>
          <t>VÄSTERNORRLANDS LÄN</t>
        </is>
      </c>
      <c r="E7860" t="inlineStr">
        <is>
          <t>SUNDSVALL</t>
        </is>
      </c>
      <c r="F7860" t="inlineStr">
        <is>
          <t>SCA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4623-2023</t>
        </is>
      </c>
      <c r="B7861" s="1" t="n">
        <v>44956</v>
      </c>
      <c r="C7861" s="1" t="n">
        <v>45657</v>
      </c>
      <c r="D7861" t="inlineStr">
        <is>
          <t>VÄSTERNORRLANDS LÄN</t>
        </is>
      </c>
      <c r="E7861" t="inlineStr">
        <is>
          <t>SOLLEFTEÅ</t>
        </is>
      </c>
      <c r="F7861" t="inlineStr">
        <is>
          <t>SCA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5360-2023</t>
        </is>
      </c>
      <c r="B7862" s="1" t="n">
        <v>44956</v>
      </c>
      <c r="C7862" s="1" t="n">
        <v>45657</v>
      </c>
      <c r="D7862" t="inlineStr">
        <is>
          <t>VÄSTERNORRLANDS LÄN</t>
        </is>
      </c>
      <c r="E7862" t="inlineStr">
        <is>
          <t>KRAMFORS</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5001-2023</t>
        </is>
      </c>
      <c r="B7863" s="1" t="n">
        <v>44956</v>
      </c>
      <c r="C7863" s="1" t="n">
        <v>45657</v>
      </c>
      <c r="D7863" t="inlineStr">
        <is>
          <t>VÄSTERNORRLANDS LÄN</t>
        </is>
      </c>
      <c r="E7863" t="inlineStr">
        <is>
          <t>SOLLEFTEÅ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5358-2023</t>
        </is>
      </c>
      <c r="B7864" s="1" t="n">
        <v>44956</v>
      </c>
      <c r="C7864" s="1" t="n">
        <v>45657</v>
      </c>
      <c r="D7864" t="inlineStr">
        <is>
          <t>VÄSTERNORRLANDS LÄN</t>
        </is>
      </c>
      <c r="E7864" t="inlineStr">
        <is>
          <t>KRAMFORS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5364-2023</t>
        </is>
      </c>
      <c r="B7865" s="1" t="n">
        <v>44956</v>
      </c>
      <c r="C7865" s="1" t="n">
        <v>45657</v>
      </c>
      <c r="D7865" t="inlineStr">
        <is>
          <t>VÄSTERNORRLANDS LÄN</t>
        </is>
      </c>
      <c r="E7865" t="inlineStr">
        <is>
          <t>ÖRNSKÖLDSVIK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4654-2023</t>
        </is>
      </c>
      <c r="B7866" s="1" t="n">
        <v>44957</v>
      </c>
      <c r="C7866" s="1" t="n">
        <v>45657</v>
      </c>
      <c r="D7866" t="inlineStr">
        <is>
          <t>VÄSTERNORRLANDS LÄN</t>
        </is>
      </c>
      <c r="E7866" t="inlineStr">
        <is>
          <t>ÖRNSKÖLDSVIK</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4867-2023</t>
        </is>
      </c>
      <c r="B7867" s="1" t="n">
        <v>44957</v>
      </c>
      <c r="C7867" s="1" t="n">
        <v>45657</v>
      </c>
      <c r="D7867" t="inlineStr">
        <is>
          <t>VÄSTERNORRLANDS LÄN</t>
        </is>
      </c>
      <c r="E7867" t="inlineStr">
        <is>
          <t>HÄRNÖSAND</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4876-2023</t>
        </is>
      </c>
      <c r="B7868" s="1" t="n">
        <v>44957</v>
      </c>
      <c r="C7868" s="1" t="n">
        <v>45657</v>
      </c>
      <c r="D7868" t="inlineStr">
        <is>
          <t>VÄSTERNORRLANDS LÄN</t>
        </is>
      </c>
      <c r="E7868" t="inlineStr">
        <is>
          <t>ÅNGE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4877-2023</t>
        </is>
      </c>
      <c r="B7869" s="1" t="n">
        <v>44957</v>
      </c>
      <c r="C7869" s="1" t="n">
        <v>45657</v>
      </c>
      <c r="D7869" t="inlineStr">
        <is>
          <t>VÄSTERNORRLANDS LÄN</t>
        </is>
      </c>
      <c r="E7869" t="inlineStr">
        <is>
          <t>ÅNGE</t>
        </is>
      </c>
      <c r="F7869" t="inlineStr">
        <is>
          <t>SCA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4883-2023</t>
        </is>
      </c>
      <c r="B7870" s="1" t="n">
        <v>44957</v>
      </c>
      <c r="C7870" s="1" t="n">
        <v>45657</v>
      </c>
      <c r="D7870" t="inlineStr">
        <is>
          <t>VÄSTERNORRLANDS LÄN</t>
        </is>
      </c>
      <c r="E7870" t="inlineStr">
        <is>
          <t>ÅNGE</t>
        </is>
      </c>
      <c r="F7870" t="inlineStr">
        <is>
          <t>SCA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5488-2023</t>
        </is>
      </c>
      <c r="B7871" s="1" t="n">
        <v>44957</v>
      </c>
      <c r="C7871" s="1" t="n">
        <v>45657</v>
      </c>
      <c r="D7871" t="inlineStr">
        <is>
          <t>VÄSTERNORRLANDS LÄN</t>
        </is>
      </c>
      <c r="E7871" t="inlineStr">
        <is>
          <t>ÖRNSKÖLDSVIK</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6258-2023</t>
        </is>
      </c>
      <c r="B7872" s="1" t="n">
        <v>44957</v>
      </c>
      <c r="C7872" s="1" t="n">
        <v>45657</v>
      </c>
      <c r="D7872" t="inlineStr">
        <is>
          <t>VÄSTERNORRLANDS LÄN</t>
        </is>
      </c>
      <c r="E7872" t="inlineStr">
        <is>
          <t>HÄRNÖSAND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4915-2023</t>
        </is>
      </c>
      <c r="B7873" s="1" t="n">
        <v>44958</v>
      </c>
      <c r="C7873" s="1" t="n">
        <v>45657</v>
      </c>
      <c r="D7873" t="inlineStr">
        <is>
          <t>VÄSTERNORRLANDS LÄN</t>
        </is>
      </c>
      <c r="E7873" t="inlineStr">
        <is>
          <t>KRAMFORS</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5644-2023</t>
        </is>
      </c>
      <c r="B7874" s="1" t="n">
        <v>44958</v>
      </c>
      <c r="C7874" s="1" t="n">
        <v>45657</v>
      </c>
      <c r="D7874" t="inlineStr">
        <is>
          <t>VÄSTERNORRLANDS LÄN</t>
        </is>
      </c>
      <c r="E7874" t="inlineStr">
        <is>
          <t>ÖRNSKÖLDSVIK</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5146-2023</t>
        </is>
      </c>
      <c r="B7875" s="1" t="n">
        <v>44958</v>
      </c>
      <c r="C7875" s="1" t="n">
        <v>45657</v>
      </c>
      <c r="D7875" t="inlineStr">
        <is>
          <t>VÄSTERNORRLANDS LÄN</t>
        </is>
      </c>
      <c r="E7875" t="inlineStr">
        <is>
          <t>KRAMFORS</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5151-2023</t>
        </is>
      </c>
      <c r="B7876" s="1" t="n">
        <v>44958</v>
      </c>
      <c r="C7876" s="1" t="n">
        <v>45657</v>
      </c>
      <c r="D7876" t="inlineStr">
        <is>
          <t>VÄSTERNORRLANDS LÄN</t>
        </is>
      </c>
      <c r="E7876" t="inlineStr">
        <is>
          <t>KRAMFORS</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5168-2023</t>
        </is>
      </c>
      <c r="B7877" s="1" t="n">
        <v>44958</v>
      </c>
      <c r="C7877" s="1" t="n">
        <v>45657</v>
      </c>
      <c r="D7877" t="inlineStr">
        <is>
          <t>VÄSTERNORRLANDS LÄN</t>
        </is>
      </c>
      <c r="E7877" t="inlineStr">
        <is>
          <t>SOLLEFTEÅ</t>
        </is>
      </c>
      <c r="F7877" t="inlineStr">
        <is>
          <t>SCA</t>
        </is>
      </c>
      <c r="G7877" t="n">
        <v>16.8</v>
      </c>
      <c r="H7877" t="n">
        <v>0</v>
      </c>
      <c r="I7877" t="n">
        <v>0</v>
      </c>
      <c r="J7877" t="n">
        <v>0</v>
      </c>
      <c r="K7877" t="n">
        <v>0</v>
      </c>
      <c r="L7877" t="n">
        <v>0</v>
      </c>
      <c r="M7877" t="n">
        <v>0</v>
      </c>
      <c r="N7877" t="n">
        <v>0</v>
      </c>
      <c r="O7877" t="n">
        <v>0</v>
      </c>
      <c r="P7877" t="n">
        <v>0</v>
      </c>
      <c r="Q7877" t="n">
        <v>0</v>
      </c>
      <c r="R7877" s="2" t="inlineStr"/>
    </row>
    <row r="7878" ht="15" customHeight="1">
      <c r="A7878" t="inlineStr">
        <is>
          <t>A 4907-2023</t>
        </is>
      </c>
      <c r="B7878" s="1" t="n">
        <v>44958</v>
      </c>
      <c r="C7878" s="1" t="n">
        <v>45657</v>
      </c>
      <c r="D7878" t="inlineStr">
        <is>
          <t>VÄSTERNORRLANDS LÄN</t>
        </is>
      </c>
      <c r="E7878" t="inlineStr">
        <is>
          <t>KRAMFORS</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5149-2023</t>
        </is>
      </c>
      <c r="B7879" s="1" t="n">
        <v>44958</v>
      </c>
      <c r="C7879" s="1" t="n">
        <v>45657</v>
      </c>
      <c r="D7879" t="inlineStr">
        <is>
          <t>VÄSTERNORRLANDS LÄN</t>
        </is>
      </c>
      <c r="E7879" t="inlineStr">
        <is>
          <t>SOLLEFTEÅ</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5161-2023</t>
        </is>
      </c>
      <c r="B7880" s="1" t="n">
        <v>44958</v>
      </c>
      <c r="C7880" s="1" t="n">
        <v>45657</v>
      </c>
      <c r="D7880" t="inlineStr">
        <is>
          <t>VÄSTERNORRLANDS LÄN</t>
        </is>
      </c>
      <c r="E7880" t="inlineStr">
        <is>
          <t>SOLLEFTEÅ</t>
        </is>
      </c>
      <c r="F7880" t="inlineStr">
        <is>
          <t>SCA</t>
        </is>
      </c>
      <c r="G7880" t="n">
        <v>30.3</v>
      </c>
      <c r="H7880" t="n">
        <v>0</v>
      </c>
      <c r="I7880" t="n">
        <v>0</v>
      </c>
      <c r="J7880" t="n">
        <v>0</v>
      </c>
      <c r="K7880" t="n">
        <v>0</v>
      </c>
      <c r="L7880" t="n">
        <v>0</v>
      </c>
      <c r="M7880" t="n">
        <v>0</v>
      </c>
      <c r="N7880" t="n">
        <v>0</v>
      </c>
      <c r="O7880" t="n">
        <v>0</v>
      </c>
      <c r="P7880" t="n">
        <v>0</v>
      </c>
      <c r="Q7880" t="n">
        <v>0</v>
      </c>
      <c r="R7880" s="2" t="inlineStr"/>
    </row>
    <row r="7881" ht="15" customHeight="1">
      <c r="A7881" t="inlineStr">
        <is>
          <t>A 5166-2023</t>
        </is>
      </c>
      <c r="B7881" s="1" t="n">
        <v>44958</v>
      </c>
      <c r="C7881" s="1" t="n">
        <v>45657</v>
      </c>
      <c r="D7881" t="inlineStr">
        <is>
          <t>VÄSTERNORRLANDS LÄN</t>
        </is>
      </c>
      <c r="E7881" t="inlineStr">
        <is>
          <t>SOLLEFTEÅ</t>
        </is>
      </c>
      <c r="F7881" t="inlineStr">
        <is>
          <t>SCA</t>
        </is>
      </c>
      <c r="G7881" t="n">
        <v>29.3</v>
      </c>
      <c r="H7881" t="n">
        <v>0</v>
      </c>
      <c r="I7881" t="n">
        <v>0</v>
      </c>
      <c r="J7881" t="n">
        <v>0</v>
      </c>
      <c r="K7881" t="n">
        <v>0</v>
      </c>
      <c r="L7881" t="n">
        <v>0</v>
      </c>
      <c r="M7881" t="n">
        <v>0</v>
      </c>
      <c r="N7881" t="n">
        <v>0</v>
      </c>
      <c r="O7881" t="n">
        <v>0</v>
      </c>
      <c r="P7881" t="n">
        <v>0</v>
      </c>
      <c r="Q7881" t="n">
        <v>0</v>
      </c>
      <c r="R7881" s="2" t="inlineStr"/>
    </row>
    <row r="7882" ht="15" customHeight="1">
      <c r="A7882" t="inlineStr">
        <is>
          <t>A 5083-2023</t>
        </is>
      </c>
      <c r="B7882" s="1" t="n">
        <v>44958</v>
      </c>
      <c r="C7882" s="1" t="n">
        <v>45657</v>
      </c>
      <c r="D7882" t="inlineStr">
        <is>
          <t>VÄSTERNORRLANDS LÄN</t>
        </is>
      </c>
      <c r="E7882" t="inlineStr">
        <is>
          <t>ÅNGE</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5145-2023</t>
        </is>
      </c>
      <c r="B7883" s="1" t="n">
        <v>44958</v>
      </c>
      <c r="C7883" s="1" t="n">
        <v>45657</v>
      </c>
      <c r="D7883" t="inlineStr">
        <is>
          <t>VÄSTERNORRLANDS LÄN</t>
        </is>
      </c>
      <c r="E7883" t="inlineStr">
        <is>
          <t>KRAMFORS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5150-2023</t>
        </is>
      </c>
      <c r="B7884" s="1" t="n">
        <v>44958</v>
      </c>
      <c r="C7884" s="1" t="n">
        <v>45657</v>
      </c>
      <c r="D7884" t="inlineStr">
        <is>
          <t>VÄSTERNORRLANDS LÄN</t>
        </is>
      </c>
      <c r="E7884" t="inlineStr">
        <is>
          <t>KRAMFORS</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5167-2023</t>
        </is>
      </c>
      <c r="B7885" s="1" t="n">
        <v>44958</v>
      </c>
      <c r="C7885" s="1" t="n">
        <v>45657</v>
      </c>
      <c r="D7885" t="inlineStr">
        <is>
          <t>VÄSTERNORRLANDS LÄN</t>
        </is>
      </c>
      <c r="E7885" t="inlineStr">
        <is>
          <t>SOLLEFTEÅ</t>
        </is>
      </c>
      <c r="F7885" t="inlineStr">
        <is>
          <t>SCA</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5178-2023</t>
        </is>
      </c>
      <c r="B7886" s="1" t="n">
        <v>44958</v>
      </c>
      <c r="C7886" s="1" t="n">
        <v>45657</v>
      </c>
      <c r="D7886" t="inlineStr">
        <is>
          <t>VÄSTERNORRLANDS LÄN</t>
        </is>
      </c>
      <c r="E7886" t="inlineStr">
        <is>
          <t>SUNDSVALL</t>
        </is>
      </c>
      <c r="F7886" t="inlineStr">
        <is>
          <t>SCA</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5212-2023</t>
        </is>
      </c>
      <c r="B7887" s="1" t="n">
        <v>44959</v>
      </c>
      <c r="C7887" s="1" t="n">
        <v>45657</v>
      </c>
      <c r="D7887" t="inlineStr">
        <is>
          <t>VÄSTERNORRLANDS LÄN</t>
        </is>
      </c>
      <c r="E7887" t="inlineStr">
        <is>
          <t>ÖRNSKÖLDSVIK</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5215-2023</t>
        </is>
      </c>
      <c r="B7888" s="1" t="n">
        <v>44959</v>
      </c>
      <c r="C7888" s="1" t="n">
        <v>45657</v>
      </c>
      <c r="D7888" t="inlineStr">
        <is>
          <t>VÄSTERNORRLANDS LÄN</t>
        </is>
      </c>
      <c r="E7888" t="inlineStr">
        <is>
          <t>ÖRNSKÖLDSVIK</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5248-2023</t>
        </is>
      </c>
      <c r="B7889" s="1" t="n">
        <v>44959</v>
      </c>
      <c r="C7889" s="1" t="n">
        <v>45657</v>
      </c>
      <c r="D7889" t="inlineStr">
        <is>
          <t>VÄSTERNORRLANDS LÄN</t>
        </is>
      </c>
      <c r="E7889" t="inlineStr">
        <is>
          <t>ÖRNSKÖLDSVIK</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5448-2023</t>
        </is>
      </c>
      <c r="B7890" s="1" t="n">
        <v>44959</v>
      </c>
      <c r="C7890" s="1" t="n">
        <v>45657</v>
      </c>
      <c r="D7890" t="inlineStr">
        <is>
          <t>VÄSTERNORRLANDS LÄN</t>
        </is>
      </c>
      <c r="E7890" t="inlineStr">
        <is>
          <t>SOLLEFTEÅ</t>
        </is>
      </c>
      <c r="F7890" t="inlineStr">
        <is>
          <t>SCA</t>
        </is>
      </c>
      <c r="G7890" t="n">
        <v>138.3</v>
      </c>
      <c r="H7890" t="n">
        <v>0</v>
      </c>
      <c r="I7890" t="n">
        <v>0</v>
      </c>
      <c r="J7890" t="n">
        <v>0</v>
      </c>
      <c r="K7890" t="n">
        <v>0</v>
      </c>
      <c r="L7890" t="n">
        <v>0</v>
      </c>
      <c r="M7890" t="n">
        <v>0</v>
      </c>
      <c r="N7890" t="n">
        <v>0</v>
      </c>
      <c r="O7890" t="n">
        <v>0</v>
      </c>
      <c r="P7890" t="n">
        <v>0</v>
      </c>
      <c r="Q7890" t="n">
        <v>0</v>
      </c>
      <c r="R7890" s="2" t="inlineStr"/>
    </row>
    <row r="7891" ht="15" customHeight="1">
      <c r="A7891" t="inlineStr">
        <is>
          <t>A 5451-2023</t>
        </is>
      </c>
      <c r="B7891" s="1" t="n">
        <v>44959</v>
      </c>
      <c r="C7891" s="1" t="n">
        <v>45657</v>
      </c>
      <c r="D7891" t="inlineStr">
        <is>
          <t>VÄSTERNORRLANDS LÄN</t>
        </is>
      </c>
      <c r="E7891" t="inlineStr">
        <is>
          <t>SOLLEFTEÅ</t>
        </is>
      </c>
      <c r="F7891" t="inlineStr">
        <is>
          <t>SCA</t>
        </is>
      </c>
      <c r="G7891" t="n">
        <v>20.1</v>
      </c>
      <c r="H7891" t="n">
        <v>0</v>
      </c>
      <c r="I7891" t="n">
        <v>0</v>
      </c>
      <c r="J7891" t="n">
        <v>0</v>
      </c>
      <c r="K7891" t="n">
        <v>0</v>
      </c>
      <c r="L7891" t="n">
        <v>0</v>
      </c>
      <c r="M7891" t="n">
        <v>0</v>
      </c>
      <c r="N7891" t="n">
        <v>0</v>
      </c>
      <c r="O7891" t="n">
        <v>0</v>
      </c>
      <c r="P7891" t="n">
        <v>0</v>
      </c>
      <c r="Q7891" t="n">
        <v>0</v>
      </c>
      <c r="R7891" s="2" t="inlineStr"/>
    </row>
    <row r="7892" ht="15" customHeight="1">
      <c r="A7892" t="inlineStr">
        <is>
          <t>A 5455-2023</t>
        </is>
      </c>
      <c r="B7892" s="1" t="n">
        <v>44959</v>
      </c>
      <c r="C7892" s="1" t="n">
        <v>45657</v>
      </c>
      <c r="D7892" t="inlineStr">
        <is>
          <t>VÄSTERNORRLANDS LÄN</t>
        </is>
      </c>
      <c r="E7892" t="inlineStr">
        <is>
          <t>ÅNGE</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5457-2023</t>
        </is>
      </c>
      <c r="B7893" s="1" t="n">
        <v>44959</v>
      </c>
      <c r="C7893" s="1" t="n">
        <v>45657</v>
      </c>
      <c r="D7893" t="inlineStr">
        <is>
          <t>VÄSTERNORRLANDS LÄN</t>
        </is>
      </c>
      <c r="E7893" t="inlineStr">
        <is>
          <t>KRAMFORS</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6271-2023</t>
        </is>
      </c>
      <c r="B7894" s="1" t="n">
        <v>44959</v>
      </c>
      <c r="C7894" s="1" t="n">
        <v>45657</v>
      </c>
      <c r="D7894" t="inlineStr">
        <is>
          <t>VÄSTERNORRLANDS LÄN</t>
        </is>
      </c>
      <c r="E7894" t="inlineStr">
        <is>
          <t>SOLLEFTEÅ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5637-2023</t>
        </is>
      </c>
      <c r="B7895" s="1" t="n">
        <v>44960</v>
      </c>
      <c r="C7895" s="1" t="n">
        <v>45657</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5555-2023</t>
        </is>
      </c>
      <c r="B7896" s="1" t="n">
        <v>44960</v>
      </c>
      <c r="C7896" s="1" t="n">
        <v>45657</v>
      </c>
      <c r="D7896" t="inlineStr">
        <is>
          <t>VÄSTERNORRLANDS LÄN</t>
        </is>
      </c>
      <c r="E7896" t="inlineStr">
        <is>
          <t>ÖRNSKÖLDSVIK</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5560-2023</t>
        </is>
      </c>
      <c r="B7897" s="1" t="n">
        <v>44960</v>
      </c>
      <c r="C7897" s="1" t="n">
        <v>45657</v>
      </c>
      <c r="D7897" t="inlineStr">
        <is>
          <t>VÄSTERNORRLANDS LÄN</t>
        </is>
      </c>
      <c r="E7897" t="inlineStr">
        <is>
          <t>ÖRNSKÖLDSVIK</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6388-2023</t>
        </is>
      </c>
      <c r="B7898" s="1" t="n">
        <v>44960</v>
      </c>
      <c r="C7898" s="1" t="n">
        <v>45657</v>
      </c>
      <c r="D7898" t="inlineStr">
        <is>
          <t>VÄSTERNORRLANDS LÄN</t>
        </is>
      </c>
      <c r="E7898" t="inlineStr">
        <is>
          <t>ÖRNSKÖLDSVIK</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5519-2023</t>
        </is>
      </c>
      <c r="B7899" s="1" t="n">
        <v>44960</v>
      </c>
      <c r="C7899" s="1" t="n">
        <v>45657</v>
      </c>
      <c r="D7899" t="inlineStr">
        <is>
          <t>VÄSTERNORRLANDS LÄN</t>
        </is>
      </c>
      <c r="E7899" t="inlineStr">
        <is>
          <t>SOLLEFTEÅ</t>
        </is>
      </c>
      <c r="F7899" t="inlineStr">
        <is>
          <t>Holmen skog AB</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5529-2023</t>
        </is>
      </c>
      <c r="B7900" s="1" t="n">
        <v>44960</v>
      </c>
      <c r="C7900" s="1" t="n">
        <v>45657</v>
      </c>
      <c r="D7900" t="inlineStr">
        <is>
          <t>VÄSTERNORRLANDS LÄN</t>
        </is>
      </c>
      <c r="E7900" t="inlineStr">
        <is>
          <t>SOLLEFTEÅ</t>
        </is>
      </c>
      <c r="F7900" t="inlineStr">
        <is>
          <t>Holmen skog AB</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5595-2023</t>
        </is>
      </c>
      <c r="B7901" s="1" t="n">
        <v>44960</v>
      </c>
      <c r="C7901" s="1" t="n">
        <v>45657</v>
      </c>
      <c r="D7901" t="inlineStr">
        <is>
          <t>VÄSTERNORRLANDS LÄN</t>
        </is>
      </c>
      <c r="E7901" t="inlineStr">
        <is>
          <t>ÖRNSKÖLDSVIK</t>
        </is>
      </c>
      <c r="G7901" t="n">
        <v>22.8</v>
      </c>
      <c r="H7901" t="n">
        <v>0</v>
      </c>
      <c r="I7901" t="n">
        <v>0</v>
      </c>
      <c r="J7901" t="n">
        <v>0</v>
      </c>
      <c r="K7901" t="n">
        <v>0</v>
      </c>
      <c r="L7901" t="n">
        <v>0</v>
      </c>
      <c r="M7901" t="n">
        <v>0</v>
      </c>
      <c r="N7901" t="n">
        <v>0</v>
      </c>
      <c r="O7901" t="n">
        <v>0</v>
      </c>
      <c r="P7901" t="n">
        <v>0</v>
      </c>
      <c r="Q7901" t="n">
        <v>0</v>
      </c>
      <c r="R7901" s="2" t="inlineStr"/>
    </row>
    <row r="7902" ht="15" customHeight="1">
      <c r="A7902" t="inlineStr">
        <is>
          <t>A 5948-2023</t>
        </is>
      </c>
      <c r="B7902" s="1" t="n">
        <v>44963</v>
      </c>
      <c r="C7902" s="1" t="n">
        <v>45657</v>
      </c>
      <c r="D7902" t="inlineStr">
        <is>
          <t>VÄSTERNORRLANDS LÄN</t>
        </is>
      </c>
      <c r="E7902" t="inlineStr">
        <is>
          <t>SUNDSVALL</t>
        </is>
      </c>
      <c r="F7902" t="inlineStr">
        <is>
          <t>SCA</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5952-2023</t>
        </is>
      </c>
      <c r="B7903" s="1" t="n">
        <v>44963</v>
      </c>
      <c r="C7903" s="1" t="n">
        <v>45657</v>
      </c>
      <c r="D7903" t="inlineStr">
        <is>
          <t>VÄSTERNORRLANDS LÄN</t>
        </is>
      </c>
      <c r="E7903" t="inlineStr">
        <is>
          <t>SOLLEFTEÅ</t>
        </is>
      </c>
      <c r="F7903" t="inlineStr">
        <is>
          <t>SCA</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5949-2023</t>
        </is>
      </c>
      <c r="B7904" s="1" t="n">
        <v>44963</v>
      </c>
      <c r="C7904" s="1" t="n">
        <v>45657</v>
      </c>
      <c r="D7904" t="inlineStr">
        <is>
          <t>VÄSTERNORRLANDS LÄN</t>
        </is>
      </c>
      <c r="E7904" t="inlineStr">
        <is>
          <t>SUNDSVALL</t>
        </is>
      </c>
      <c r="F7904" t="inlineStr">
        <is>
          <t>SCA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5868-2023</t>
        </is>
      </c>
      <c r="B7905" s="1" t="n">
        <v>44963</v>
      </c>
      <c r="C7905" s="1" t="n">
        <v>45657</v>
      </c>
      <c r="D7905" t="inlineStr">
        <is>
          <t>VÄSTERNORRLANDS LÄN</t>
        </is>
      </c>
      <c r="E7905" t="inlineStr">
        <is>
          <t>ÅNGE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5921-2023</t>
        </is>
      </c>
      <c r="B7906" s="1" t="n">
        <v>44963</v>
      </c>
      <c r="C7906" s="1" t="n">
        <v>45657</v>
      </c>
      <c r="D7906" t="inlineStr">
        <is>
          <t>VÄSTERNORRLANDS LÄN</t>
        </is>
      </c>
      <c r="E7906" t="inlineStr">
        <is>
          <t>SUNDSVALL</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5944-2023</t>
        </is>
      </c>
      <c r="B7907" s="1" t="n">
        <v>44963</v>
      </c>
      <c r="C7907" s="1" t="n">
        <v>45657</v>
      </c>
      <c r="D7907" t="inlineStr">
        <is>
          <t>VÄSTERNORRLANDS LÄN</t>
        </is>
      </c>
      <c r="E7907" t="inlineStr">
        <is>
          <t>KRAMFORS</t>
        </is>
      </c>
      <c r="G7907" t="n">
        <v>18.8</v>
      </c>
      <c r="H7907" t="n">
        <v>0</v>
      </c>
      <c r="I7907" t="n">
        <v>0</v>
      </c>
      <c r="J7907" t="n">
        <v>0</v>
      </c>
      <c r="K7907" t="n">
        <v>0</v>
      </c>
      <c r="L7907" t="n">
        <v>0</v>
      </c>
      <c r="M7907" t="n">
        <v>0</v>
      </c>
      <c r="N7907" t="n">
        <v>0</v>
      </c>
      <c r="O7907" t="n">
        <v>0</v>
      </c>
      <c r="P7907" t="n">
        <v>0</v>
      </c>
      <c r="Q7907" t="n">
        <v>0</v>
      </c>
      <c r="R7907" s="2" t="inlineStr"/>
    </row>
    <row r="7908" ht="15" customHeight="1">
      <c r="A7908" t="inlineStr">
        <is>
          <t>A 6823-2023</t>
        </is>
      </c>
      <c r="B7908" s="1" t="n">
        <v>44963</v>
      </c>
      <c r="C7908" s="1" t="n">
        <v>45657</v>
      </c>
      <c r="D7908" t="inlineStr">
        <is>
          <t>VÄSTERNORRLANDS LÄN</t>
        </is>
      </c>
      <c r="E7908" t="inlineStr">
        <is>
          <t>ÖRNSKÖLDSVIK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6136-2023</t>
        </is>
      </c>
      <c r="B7909" s="1" t="n">
        <v>44964</v>
      </c>
      <c r="C7909" s="1" t="n">
        <v>45657</v>
      </c>
      <c r="D7909" t="inlineStr">
        <is>
          <t>VÄSTERNORRLANDS LÄN</t>
        </is>
      </c>
      <c r="E7909" t="inlineStr">
        <is>
          <t>KRAMFORS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6237-2023</t>
        </is>
      </c>
      <c r="B7910" s="1" t="n">
        <v>44964</v>
      </c>
      <c r="C7910" s="1" t="n">
        <v>45657</v>
      </c>
      <c r="D7910" t="inlineStr">
        <is>
          <t>VÄSTERNORRLANDS LÄN</t>
        </is>
      </c>
      <c r="E7910" t="inlineStr">
        <is>
          <t>SUNDSVALL</t>
        </is>
      </c>
      <c r="F7910" t="inlineStr">
        <is>
          <t>SCA</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6179-2023</t>
        </is>
      </c>
      <c r="B7911" s="1" t="n">
        <v>44964</v>
      </c>
      <c r="C7911" s="1" t="n">
        <v>45657</v>
      </c>
      <c r="D7911" t="inlineStr">
        <is>
          <t>VÄSTERNORRLANDS LÄN</t>
        </is>
      </c>
      <c r="E7911" t="inlineStr">
        <is>
          <t>ÅNGE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6228-2023</t>
        </is>
      </c>
      <c r="B7912" s="1" t="n">
        <v>44964</v>
      </c>
      <c r="C7912" s="1" t="n">
        <v>45657</v>
      </c>
      <c r="D7912" t="inlineStr">
        <is>
          <t>VÄSTERNORRLANDS LÄN</t>
        </is>
      </c>
      <c r="E7912" t="inlineStr">
        <is>
          <t>SUNDSVALL</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6236-2023</t>
        </is>
      </c>
      <c r="B7913" s="1" t="n">
        <v>44964</v>
      </c>
      <c r="C7913" s="1" t="n">
        <v>45657</v>
      </c>
      <c r="D7913" t="inlineStr">
        <is>
          <t>VÄSTERNORRLANDS LÄN</t>
        </is>
      </c>
      <c r="E7913" t="inlineStr">
        <is>
          <t>SOLLEFTEÅ</t>
        </is>
      </c>
      <c r="F7913" t="inlineStr">
        <is>
          <t>SCA</t>
        </is>
      </c>
      <c r="G7913" t="n">
        <v>0.1</v>
      </c>
      <c r="H7913" t="n">
        <v>0</v>
      </c>
      <c r="I7913" t="n">
        <v>0</v>
      </c>
      <c r="J7913" t="n">
        <v>0</v>
      </c>
      <c r="K7913" t="n">
        <v>0</v>
      </c>
      <c r="L7913" t="n">
        <v>0</v>
      </c>
      <c r="M7913" t="n">
        <v>0</v>
      </c>
      <c r="N7913" t="n">
        <v>0</v>
      </c>
      <c r="O7913" t="n">
        <v>0</v>
      </c>
      <c r="P7913" t="n">
        <v>0</v>
      </c>
      <c r="Q7913" t="n">
        <v>0</v>
      </c>
      <c r="R7913" s="2" t="inlineStr"/>
      <c r="U7913">
        <f>HYPERLINK("https://klasma.github.io/Logging_2283/knärot/A 6236-2023 karta knärot.png", "A 6236-2023")</f>
        <v/>
      </c>
      <c r="V7913">
        <f>HYPERLINK("https://klasma.github.io/Logging_2283/klagomål/A 6236-2023 FSC-klagomål.docx", "A 6236-2023")</f>
        <v/>
      </c>
      <c r="W7913">
        <f>HYPERLINK("https://klasma.github.io/Logging_2283/klagomålsmail/A 6236-2023 FSC-klagomål mail.docx", "A 6236-2023")</f>
        <v/>
      </c>
      <c r="X7913">
        <f>HYPERLINK("https://klasma.github.io/Logging_2283/tillsyn/A 6236-2023 tillsynsbegäran.docx", "A 6236-2023")</f>
        <v/>
      </c>
      <c r="Y7913">
        <f>HYPERLINK("https://klasma.github.io/Logging_2283/tillsynsmail/A 6236-2023 tillsynsbegäran mail.docx", "A 6236-2023")</f>
        <v/>
      </c>
    </row>
    <row r="7914" ht="15" customHeight="1">
      <c r="A7914" t="inlineStr">
        <is>
          <t>A 6186-2023</t>
        </is>
      </c>
      <c r="B7914" s="1" t="n">
        <v>44964</v>
      </c>
      <c r="C7914" s="1" t="n">
        <v>45657</v>
      </c>
      <c r="D7914" t="inlineStr">
        <is>
          <t>VÄSTERNORRLANDS LÄN</t>
        </is>
      </c>
      <c r="E7914" t="inlineStr">
        <is>
          <t>ÅNGE</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6445-2023</t>
        </is>
      </c>
      <c r="B7915" s="1" t="n">
        <v>44965</v>
      </c>
      <c r="C7915" s="1" t="n">
        <v>45657</v>
      </c>
      <c r="D7915" t="inlineStr">
        <is>
          <t>VÄSTERNORRLANDS LÄN</t>
        </is>
      </c>
      <c r="E7915" t="inlineStr">
        <is>
          <t>KRAMFORS</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6449-2023</t>
        </is>
      </c>
      <c r="B7916" s="1" t="n">
        <v>44965</v>
      </c>
      <c r="C7916" s="1" t="n">
        <v>45657</v>
      </c>
      <c r="D7916" t="inlineStr">
        <is>
          <t>VÄSTERNORRLANDS LÄN</t>
        </is>
      </c>
      <c r="E7916" t="inlineStr">
        <is>
          <t>KRAMFORS</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6453-2023</t>
        </is>
      </c>
      <c r="B7917" s="1" t="n">
        <v>44965</v>
      </c>
      <c r="C7917" s="1" t="n">
        <v>45657</v>
      </c>
      <c r="D7917" t="inlineStr">
        <is>
          <t>VÄSTERNORRLANDS LÄN</t>
        </is>
      </c>
      <c r="E7917" t="inlineStr">
        <is>
          <t>SUNDSVALL</t>
        </is>
      </c>
      <c r="F7917" t="inlineStr">
        <is>
          <t>SCA</t>
        </is>
      </c>
      <c r="G7917" t="n">
        <v>10</v>
      </c>
      <c r="H7917" t="n">
        <v>0</v>
      </c>
      <c r="I7917" t="n">
        <v>0</v>
      </c>
      <c r="J7917" t="n">
        <v>0</v>
      </c>
      <c r="K7917" t="n">
        <v>0</v>
      </c>
      <c r="L7917" t="n">
        <v>0</v>
      </c>
      <c r="M7917" t="n">
        <v>0</v>
      </c>
      <c r="N7917" t="n">
        <v>0</v>
      </c>
      <c r="O7917" t="n">
        <v>0</v>
      </c>
      <c r="P7917" t="n">
        <v>0</v>
      </c>
      <c r="Q7917" t="n">
        <v>0</v>
      </c>
      <c r="R7917" s="2" t="inlineStr"/>
    </row>
    <row r="7918" ht="15" customHeight="1">
      <c r="A7918" t="inlineStr">
        <is>
          <t>A 6447-2023</t>
        </is>
      </c>
      <c r="B7918" s="1" t="n">
        <v>44965</v>
      </c>
      <c r="C7918" s="1" t="n">
        <v>45657</v>
      </c>
      <c r="D7918" t="inlineStr">
        <is>
          <t>VÄSTERNORRLANDS LÄN</t>
        </is>
      </c>
      <c r="E7918" t="inlineStr">
        <is>
          <t>KRAMFORS</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6460-2023</t>
        </is>
      </c>
      <c r="B7919" s="1" t="n">
        <v>44965</v>
      </c>
      <c r="C7919" s="1" t="n">
        <v>45657</v>
      </c>
      <c r="D7919" t="inlineStr">
        <is>
          <t>VÄSTERNORRLANDS LÄN</t>
        </is>
      </c>
      <c r="E7919" t="inlineStr">
        <is>
          <t>SUNDSVALL</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6458-2023</t>
        </is>
      </c>
      <c r="B7920" s="1" t="n">
        <v>44965</v>
      </c>
      <c r="C7920" s="1" t="n">
        <v>45657</v>
      </c>
      <c r="D7920" t="inlineStr">
        <is>
          <t>VÄSTERNORRLANDS LÄN</t>
        </is>
      </c>
      <c r="E7920" t="inlineStr">
        <is>
          <t>KRAMFORS</t>
        </is>
      </c>
      <c r="F7920" t="inlineStr">
        <is>
          <t>SCA</t>
        </is>
      </c>
      <c r="G7920" t="n">
        <v>23.2</v>
      </c>
      <c r="H7920" t="n">
        <v>0</v>
      </c>
      <c r="I7920" t="n">
        <v>0</v>
      </c>
      <c r="J7920" t="n">
        <v>0</v>
      </c>
      <c r="K7920" t="n">
        <v>0</v>
      </c>
      <c r="L7920" t="n">
        <v>0</v>
      </c>
      <c r="M7920" t="n">
        <v>0</v>
      </c>
      <c r="N7920" t="n">
        <v>0</v>
      </c>
      <c r="O7920" t="n">
        <v>0</v>
      </c>
      <c r="P7920" t="n">
        <v>0</v>
      </c>
      <c r="Q7920" t="n">
        <v>0</v>
      </c>
      <c r="R7920" s="2" t="inlineStr"/>
    </row>
    <row r="7921" ht="15" customHeight="1">
      <c r="A7921" t="inlineStr">
        <is>
          <t>A 6471-2023</t>
        </is>
      </c>
      <c r="B7921" s="1" t="n">
        <v>44965</v>
      </c>
      <c r="C7921" s="1" t="n">
        <v>45657</v>
      </c>
      <c r="D7921" t="inlineStr">
        <is>
          <t>VÄSTERNORRLANDS LÄN</t>
        </is>
      </c>
      <c r="E7921" t="inlineStr">
        <is>
          <t>SUNDSVALL</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6477-2023</t>
        </is>
      </c>
      <c r="B7922" s="1" t="n">
        <v>44965</v>
      </c>
      <c r="C7922" s="1" t="n">
        <v>45657</v>
      </c>
      <c r="D7922" t="inlineStr">
        <is>
          <t>VÄSTERNORRLANDS LÄN</t>
        </is>
      </c>
      <c r="E7922" t="inlineStr">
        <is>
          <t>SUNDSVALL</t>
        </is>
      </c>
      <c r="F7922" t="inlineStr">
        <is>
          <t>SCA</t>
        </is>
      </c>
      <c r="G7922" t="n">
        <v>22.8</v>
      </c>
      <c r="H7922" t="n">
        <v>0</v>
      </c>
      <c r="I7922" t="n">
        <v>0</v>
      </c>
      <c r="J7922" t="n">
        <v>0</v>
      </c>
      <c r="K7922" t="n">
        <v>0</v>
      </c>
      <c r="L7922" t="n">
        <v>0</v>
      </c>
      <c r="M7922" t="n">
        <v>0</v>
      </c>
      <c r="N7922" t="n">
        <v>0</v>
      </c>
      <c r="O7922" t="n">
        <v>0</v>
      </c>
      <c r="P7922" t="n">
        <v>0</v>
      </c>
      <c r="Q7922" t="n">
        <v>0</v>
      </c>
      <c r="R7922" s="2" t="inlineStr"/>
    </row>
    <row r="7923" ht="15" customHeight="1">
      <c r="A7923" t="inlineStr">
        <is>
          <t>A 6440-2023</t>
        </is>
      </c>
      <c r="B7923" s="1" t="n">
        <v>44965</v>
      </c>
      <c r="C7923" s="1" t="n">
        <v>45657</v>
      </c>
      <c r="D7923" t="inlineStr">
        <is>
          <t>VÄSTERNORRLANDS LÄN</t>
        </is>
      </c>
      <c r="E7923" t="inlineStr">
        <is>
          <t>KRAMFORS</t>
        </is>
      </c>
      <c r="G7923" t="n">
        <v>23.8</v>
      </c>
      <c r="H7923" t="n">
        <v>0</v>
      </c>
      <c r="I7923" t="n">
        <v>0</v>
      </c>
      <c r="J7923" t="n">
        <v>0</v>
      </c>
      <c r="K7923" t="n">
        <v>0</v>
      </c>
      <c r="L7923" t="n">
        <v>0</v>
      </c>
      <c r="M7923" t="n">
        <v>0</v>
      </c>
      <c r="N7923" t="n">
        <v>0</v>
      </c>
      <c r="O7923" t="n">
        <v>0</v>
      </c>
      <c r="P7923" t="n">
        <v>0</v>
      </c>
      <c r="Q7923" t="n">
        <v>0</v>
      </c>
      <c r="R7923" s="2" t="inlineStr"/>
    </row>
    <row r="7924" ht="15" customHeight="1">
      <c r="A7924" t="inlineStr">
        <is>
          <t>A 6448-2023</t>
        </is>
      </c>
      <c r="B7924" s="1" t="n">
        <v>44965</v>
      </c>
      <c r="C7924" s="1" t="n">
        <v>45657</v>
      </c>
      <c r="D7924" t="inlineStr">
        <is>
          <t>VÄSTERNORRLANDS LÄN</t>
        </is>
      </c>
      <c r="E7924" t="inlineStr">
        <is>
          <t>KRAMFORS</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6457-2023</t>
        </is>
      </c>
      <c r="B7925" s="1" t="n">
        <v>44965</v>
      </c>
      <c r="C7925" s="1" t="n">
        <v>45657</v>
      </c>
      <c r="D7925" t="inlineStr">
        <is>
          <t>VÄSTERNORRLANDS LÄN</t>
        </is>
      </c>
      <c r="E7925" t="inlineStr">
        <is>
          <t>SUNDSVALL</t>
        </is>
      </c>
      <c r="F7925" t="inlineStr">
        <is>
          <t>SCA</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6461-2023</t>
        </is>
      </c>
      <c r="B7926" s="1" t="n">
        <v>44965</v>
      </c>
      <c r="C7926" s="1" t="n">
        <v>45657</v>
      </c>
      <c r="D7926" t="inlineStr">
        <is>
          <t>VÄSTERNORRLANDS LÄN</t>
        </is>
      </c>
      <c r="E7926" t="inlineStr">
        <is>
          <t>SUNDSVALL</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6466-2023</t>
        </is>
      </c>
      <c r="B7927" s="1" t="n">
        <v>44965</v>
      </c>
      <c r="C7927" s="1" t="n">
        <v>45657</v>
      </c>
      <c r="D7927" t="inlineStr">
        <is>
          <t>VÄSTERNORRLANDS LÄN</t>
        </is>
      </c>
      <c r="E7927" t="inlineStr">
        <is>
          <t>SUNDSVALL</t>
        </is>
      </c>
      <c r="F7927" t="inlineStr">
        <is>
          <t>SCA</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6446-2023</t>
        </is>
      </c>
      <c r="B7928" s="1" t="n">
        <v>44965</v>
      </c>
      <c r="C7928" s="1" t="n">
        <v>45657</v>
      </c>
      <c r="D7928" t="inlineStr">
        <is>
          <t>VÄSTERNORRLANDS LÄN</t>
        </is>
      </c>
      <c r="E7928" t="inlineStr">
        <is>
          <t>KRAMFORS</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6454-2023</t>
        </is>
      </c>
      <c r="B7929" s="1" t="n">
        <v>44965</v>
      </c>
      <c r="C7929" s="1" t="n">
        <v>45657</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6468-2023</t>
        </is>
      </c>
      <c r="B7930" s="1" t="n">
        <v>44965</v>
      </c>
      <c r="C7930" s="1" t="n">
        <v>45657</v>
      </c>
      <c r="D7930" t="inlineStr">
        <is>
          <t>VÄSTERNORRLANDS LÄN</t>
        </is>
      </c>
      <c r="E7930" t="inlineStr">
        <is>
          <t>SUNDSVALL</t>
        </is>
      </c>
      <c r="F7930" t="inlineStr">
        <is>
          <t>SCA</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6472-2023</t>
        </is>
      </c>
      <c r="B7931" s="1" t="n">
        <v>44965</v>
      </c>
      <c r="C7931" s="1" t="n">
        <v>45657</v>
      </c>
      <c r="D7931" t="inlineStr">
        <is>
          <t>VÄSTERNORRLANDS LÄN</t>
        </is>
      </c>
      <c r="E7931" t="inlineStr">
        <is>
          <t>SUNDSVALL</t>
        </is>
      </c>
      <c r="F7931" t="inlineStr">
        <is>
          <t>SCA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6478-2023</t>
        </is>
      </c>
      <c r="B7932" s="1" t="n">
        <v>44965</v>
      </c>
      <c r="C7932" s="1" t="n">
        <v>45657</v>
      </c>
      <c r="D7932" t="inlineStr">
        <is>
          <t>VÄSTERNORRLANDS LÄN</t>
        </is>
      </c>
      <c r="E7932" t="inlineStr">
        <is>
          <t>SUNDSVALL</t>
        </is>
      </c>
      <c r="F7932" t="inlineStr">
        <is>
          <t>SCA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6474-2023</t>
        </is>
      </c>
      <c r="B7933" s="1" t="n">
        <v>44965</v>
      </c>
      <c r="C7933" s="1" t="n">
        <v>45657</v>
      </c>
      <c r="D7933" t="inlineStr">
        <is>
          <t>VÄSTERNORRLANDS LÄN</t>
        </is>
      </c>
      <c r="E7933" t="inlineStr">
        <is>
          <t>SOLLEFTEÅ</t>
        </is>
      </c>
      <c r="F7933" t="inlineStr">
        <is>
          <t>SCA</t>
        </is>
      </c>
      <c r="G7933" t="n">
        <v>47.3</v>
      </c>
      <c r="H7933" t="n">
        <v>0</v>
      </c>
      <c r="I7933" t="n">
        <v>0</v>
      </c>
      <c r="J7933" t="n">
        <v>0</v>
      </c>
      <c r="K7933" t="n">
        <v>0</v>
      </c>
      <c r="L7933" t="n">
        <v>0</v>
      </c>
      <c r="M7933" t="n">
        <v>0</v>
      </c>
      <c r="N7933" t="n">
        <v>0</v>
      </c>
      <c r="O7933" t="n">
        <v>0</v>
      </c>
      <c r="P7933" t="n">
        <v>0</v>
      </c>
      <c r="Q7933" t="n">
        <v>0</v>
      </c>
      <c r="R7933" s="2" t="inlineStr"/>
    </row>
    <row r="7934" ht="15" customHeight="1">
      <c r="A7934" t="inlineStr">
        <is>
          <t>A 6475-2023</t>
        </is>
      </c>
      <c r="B7934" s="1" t="n">
        <v>44965</v>
      </c>
      <c r="C7934" s="1" t="n">
        <v>45657</v>
      </c>
      <c r="D7934" t="inlineStr">
        <is>
          <t>VÄSTERNORRLANDS LÄN</t>
        </is>
      </c>
      <c r="E7934" t="inlineStr">
        <is>
          <t>SUNDSVALL</t>
        </is>
      </c>
      <c r="F7934" t="inlineStr">
        <is>
          <t>SCA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7147-2023</t>
        </is>
      </c>
      <c r="B7935" s="1" t="n">
        <v>44965</v>
      </c>
      <c r="C7935" s="1" t="n">
        <v>45657</v>
      </c>
      <c r="D7935" t="inlineStr">
        <is>
          <t>VÄSTERNORRLANDS LÄN</t>
        </is>
      </c>
      <c r="E7935" t="inlineStr">
        <is>
          <t>ÖRNSKÖLDSVIK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6772-2023</t>
        </is>
      </c>
      <c r="B7936" s="1" t="n">
        <v>44966</v>
      </c>
      <c r="C7936" s="1" t="n">
        <v>45657</v>
      </c>
      <c r="D7936" t="inlineStr">
        <is>
          <t>VÄSTERNORRLANDS LÄN</t>
        </is>
      </c>
      <c r="E7936" t="inlineStr">
        <is>
          <t>TIMRÅ</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6790-2023</t>
        </is>
      </c>
      <c r="B7937" s="1" t="n">
        <v>44966</v>
      </c>
      <c r="C7937" s="1" t="n">
        <v>45657</v>
      </c>
      <c r="D7937" t="inlineStr">
        <is>
          <t>VÄSTERNORRLANDS LÄN</t>
        </is>
      </c>
      <c r="E7937" t="inlineStr">
        <is>
          <t>ÅNGE</t>
        </is>
      </c>
      <c r="F7937" t="inlineStr">
        <is>
          <t>SCA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6770-2023</t>
        </is>
      </c>
      <c r="B7938" s="1" t="n">
        <v>44966</v>
      </c>
      <c r="C7938" s="1" t="n">
        <v>45657</v>
      </c>
      <c r="D7938" t="inlineStr">
        <is>
          <t>VÄSTERNORRLANDS LÄN</t>
        </is>
      </c>
      <c r="E7938" t="inlineStr">
        <is>
          <t>TIMRÅ</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6789-2023</t>
        </is>
      </c>
      <c r="B7939" s="1" t="n">
        <v>44966</v>
      </c>
      <c r="C7939" s="1" t="n">
        <v>45657</v>
      </c>
      <c r="D7939" t="inlineStr">
        <is>
          <t>VÄSTERNORRLANDS LÄN</t>
        </is>
      </c>
      <c r="E7939" t="inlineStr">
        <is>
          <t>ÅNGE</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6795-2023</t>
        </is>
      </c>
      <c r="B7940" s="1" t="n">
        <v>44966</v>
      </c>
      <c r="C7940" s="1" t="n">
        <v>45657</v>
      </c>
      <c r="D7940" t="inlineStr">
        <is>
          <t>VÄSTERNORRLANDS LÄN</t>
        </is>
      </c>
      <c r="E7940" t="inlineStr">
        <is>
          <t>SUNDSVALL</t>
        </is>
      </c>
      <c r="F7940" t="inlineStr">
        <is>
          <t>Naturvårdsverket</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6791-2023</t>
        </is>
      </c>
      <c r="B7941" s="1" t="n">
        <v>44966</v>
      </c>
      <c r="C7941" s="1" t="n">
        <v>45657</v>
      </c>
      <c r="D7941" t="inlineStr">
        <is>
          <t>VÄSTERNORRLANDS LÄN</t>
        </is>
      </c>
      <c r="E7941" t="inlineStr">
        <is>
          <t>ÅNGE</t>
        </is>
      </c>
      <c r="F7941" t="inlineStr">
        <is>
          <t>SCA</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6799-2023</t>
        </is>
      </c>
      <c r="B7942" s="1" t="n">
        <v>44966</v>
      </c>
      <c r="C7942" s="1" t="n">
        <v>45657</v>
      </c>
      <c r="D7942" t="inlineStr">
        <is>
          <t>VÄSTERNORRLANDS LÄN</t>
        </is>
      </c>
      <c r="E7942" t="inlineStr">
        <is>
          <t>ÅNGE</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6771-2023</t>
        </is>
      </c>
      <c r="B7943" s="1" t="n">
        <v>44966</v>
      </c>
      <c r="C7943" s="1" t="n">
        <v>45657</v>
      </c>
      <c r="D7943" t="inlineStr">
        <is>
          <t>VÄSTERNORRLANDS LÄN</t>
        </is>
      </c>
      <c r="E7943" t="inlineStr">
        <is>
          <t>TIMRÅ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6787-2023</t>
        </is>
      </c>
      <c r="B7944" s="1" t="n">
        <v>44966</v>
      </c>
      <c r="C7944" s="1" t="n">
        <v>45657</v>
      </c>
      <c r="D7944" t="inlineStr">
        <is>
          <t>VÄSTERNORRLANDS LÄN</t>
        </is>
      </c>
      <c r="E7944" t="inlineStr">
        <is>
          <t>ÅNGE</t>
        </is>
      </c>
      <c r="F7944" t="inlineStr">
        <is>
          <t>SCA</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6794-2023</t>
        </is>
      </c>
      <c r="B7945" s="1" t="n">
        <v>44966</v>
      </c>
      <c r="C7945" s="1" t="n">
        <v>45657</v>
      </c>
      <c r="D7945" t="inlineStr">
        <is>
          <t>VÄSTERNORRLANDS LÄN</t>
        </is>
      </c>
      <c r="E7945" t="inlineStr">
        <is>
          <t>SUNDSVALL</t>
        </is>
      </c>
      <c r="F7945" t="inlineStr">
        <is>
          <t>SCA</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7005-2023</t>
        </is>
      </c>
      <c r="B7946" s="1" t="n">
        <v>44967</v>
      </c>
      <c r="C7946" s="1" t="n">
        <v>45657</v>
      </c>
      <c r="D7946" t="inlineStr">
        <is>
          <t>VÄSTERNORRLANDS LÄN</t>
        </is>
      </c>
      <c r="E7946" t="inlineStr">
        <is>
          <t>SUNDSVALL</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7025-2023</t>
        </is>
      </c>
      <c r="B7947" s="1" t="n">
        <v>44968</v>
      </c>
      <c r="C7947" s="1" t="n">
        <v>45657</v>
      </c>
      <c r="D7947" t="inlineStr">
        <is>
          <t>VÄSTERNORRLANDS LÄN</t>
        </is>
      </c>
      <c r="E7947" t="inlineStr">
        <is>
          <t>ÅNGE</t>
        </is>
      </c>
      <c r="F7947" t="inlineStr">
        <is>
          <t>SCA</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7003-2023</t>
        </is>
      </c>
      <c r="B7948" s="1" t="n">
        <v>44967</v>
      </c>
      <c r="C7948" s="1" t="n">
        <v>45657</v>
      </c>
      <c r="D7948" t="inlineStr">
        <is>
          <t>VÄSTERNORRLANDS LÄN</t>
        </is>
      </c>
      <c r="E7948" t="inlineStr">
        <is>
          <t>SUNDSVALL</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7009-2023</t>
        </is>
      </c>
      <c r="B7949" s="1" t="n">
        <v>44967</v>
      </c>
      <c r="C7949" s="1" t="n">
        <v>45657</v>
      </c>
      <c r="D7949" t="inlineStr">
        <is>
          <t>VÄSTERNORRLANDS LÄN</t>
        </is>
      </c>
      <c r="E7949" t="inlineStr">
        <is>
          <t>SOLLEFTEÅ</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7018-2023</t>
        </is>
      </c>
      <c r="B7950" s="1" t="n">
        <v>44967</v>
      </c>
      <c r="C7950" s="1" t="n">
        <v>45657</v>
      </c>
      <c r="D7950" t="inlineStr">
        <is>
          <t>VÄSTERNORRLANDS LÄN</t>
        </is>
      </c>
      <c r="E7950" t="inlineStr">
        <is>
          <t>KRAMFORS</t>
        </is>
      </c>
      <c r="F7950" t="inlineStr">
        <is>
          <t>SCA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7566-2023</t>
        </is>
      </c>
      <c r="B7951" s="1" t="n">
        <v>44967</v>
      </c>
      <c r="C7951" s="1" t="n">
        <v>45657</v>
      </c>
      <c r="D7951" t="inlineStr">
        <is>
          <t>VÄSTERNORRLANDS LÄN</t>
        </is>
      </c>
      <c r="E7951" t="inlineStr">
        <is>
          <t>SUNDSVALL</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7070-2023</t>
        </is>
      </c>
      <c r="B7952" s="1" t="n">
        <v>44969</v>
      </c>
      <c r="C7952" s="1" t="n">
        <v>45657</v>
      </c>
      <c r="D7952" t="inlineStr">
        <is>
          <t>VÄSTERNORRLANDS LÄN</t>
        </is>
      </c>
      <c r="E7952" t="inlineStr">
        <is>
          <t>SUNDSVALL</t>
        </is>
      </c>
      <c r="F7952" t="inlineStr">
        <is>
          <t>SCA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7332-2023</t>
        </is>
      </c>
      <c r="B7953" s="1" t="n">
        <v>44970</v>
      </c>
      <c r="C7953" s="1" t="n">
        <v>45657</v>
      </c>
      <c r="D7953" t="inlineStr">
        <is>
          <t>VÄSTERNORRLANDS LÄN</t>
        </is>
      </c>
      <c r="E7953" t="inlineStr">
        <is>
          <t>SOLLEFTEÅ</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7324-2023</t>
        </is>
      </c>
      <c r="B7954" s="1" t="n">
        <v>44970</v>
      </c>
      <c r="C7954" s="1" t="n">
        <v>45657</v>
      </c>
      <c r="D7954" t="inlineStr">
        <is>
          <t>VÄSTERNORRLANDS LÄN</t>
        </is>
      </c>
      <c r="E7954" t="inlineStr">
        <is>
          <t>SOLLEFTEÅ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7325-2023</t>
        </is>
      </c>
      <c r="B7955" s="1" t="n">
        <v>44970</v>
      </c>
      <c r="C7955" s="1" t="n">
        <v>45657</v>
      </c>
      <c r="D7955" t="inlineStr">
        <is>
          <t>VÄSTERNORRLANDS LÄN</t>
        </is>
      </c>
      <c r="E7955" t="inlineStr">
        <is>
          <t>SOLLEFTEÅ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7330-2023</t>
        </is>
      </c>
      <c r="B7956" s="1" t="n">
        <v>44971</v>
      </c>
      <c r="C7956" s="1" t="n">
        <v>45657</v>
      </c>
      <c r="D7956" t="inlineStr">
        <is>
          <t>VÄSTERNORRLANDS LÄN</t>
        </is>
      </c>
      <c r="E7956" t="inlineStr">
        <is>
          <t>SOLLEFTEÅ</t>
        </is>
      </c>
      <c r="F7956" t="inlineStr">
        <is>
          <t>SCA</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7331-2023</t>
        </is>
      </c>
      <c r="B7957" s="1" t="n">
        <v>44970</v>
      </c>
      <c r="C7957" s="1" t="n">
        <v>45657</v>
      </c>
      <c r="D7957" t="inlineStr">
        <is>
          <t>VÄSTERNORRLANDS LÄN</t>
        </is>
      </c>
      <c r="E7957" t="inlineStr">
        <is>
          <t>SOLLEFTEÅ</t>
        </is>
      </c>
      <c r="F7957" t="inlineStr">
        <is>
          <t>SCA</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7333-2023</t>
        </is>
      </c>
      <c r="B7958" s="1" t="n">
        <v>44971</v>
      </c>
      <c r="C7958" s="1" t="n">
        <v>45657</v>
      </c>
      <c r="D7958" t="inlineStr">
        <is>
          <t>VÄSTERNORRLANDS LÄN</t>
        </is>
      </c>
      <c r="E7958" t="inlineStr">
        <is>
          <t>SOLLEFTEÅ</t>
        </is>
      </c>
      <c r="F7958" t="inlineStr">
        <is>
          <t>SCA</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7362-2023</t>
        </is>
      </c>
      <c r="B7959" s="1" t="n">
        <v>44971</v>
      </c>
      <c r="C7959" s="1" t="n">
        <v>45657</v>
      </c>
      <c r="D7959" t="inlineStr">
        <is>
          <t>VÄSTERNORRLANDS LÄN</t>
        </is>
      </c>
      <c r="E7959" t="inlineStr">
        <is>
          <t>SUNDSVALL</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7513-2023</t>
        </is>
      </c>
      <c r="B7960" s="1" t="n">
        <v>44971</v>
      </c>
      <c r="C7960" s="1" t="n">
        <v>45657</v>
      </c>
      <c r="D7960" t="inlineStr">
        <is>
          <t>VÄSTERNORRLANDS LÄN</t>
        </is>
      </c>
      <c r="E7960" t="inlineStr">
        <is>
          <t>SUNDSVALL</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7523-2023</t>
        </is>
      </c>
      <c r="B7961" s="1" t="n">
        <v>44972</v>
      </c>
      <c r="C7961" s="1" t="n">
        <v>45657</v>
      </c>
      <c r="D7961" t="inlineStr">
        <is>
          <t>VÄSTERNORRLANDS LÄN</t>
        </is>
      </c>
      <c r="E7961" t="inlineStr">
        <is>
          <t>SUNDSVALL</t>
        </is>
      </c>
      <c r="F7961" t="inlineStr">
        <is>
          <t>Naturvårdsverket</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7528-2023</t>
        </is>
      </c>
      <c r="B7962" s="1" t="n">
        <v>44972</v>
      </c>
      <c r="C7962" s="1" t="n">
        <v>45657</v>
      </c>
      <c r="D7962" t="inlineStr">
        <is>
          <t>VÄSTERNORRLANDS LÄN</t>
        </is>
      </c>
      <c r="E7962" t="inlineStr">
        <is>
          <t>ÅNGE</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7536-2023</t>
        </is>
      </c>
      <c r="B7963" s="1" t="n">
        <v>44971</v>
      </c>
      <c r="C7963" s="1" t="n">
        <v>45657</v>
      </c>
      <c r="D7963" t="inlineStr">
        <is>
          <t>VÄSTERNORRLANDS LÄN</t>
        </is>
      </c>
      <c r="E7963" t="inlineStr">
        <is>
          <t>HÄRNÖSAND</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7515-2023</t>
        </is>
      </c>
      <c r="B7964" s="1" t="n">
        <v>44971</v>
      </c>
      <c r="C7964" s="1" t="n">
        <v>45657</v>
      </c>
      <c r="D7964" t="inlineStr">
        <is>
          <t>VÄSTERNORRLANDS LÄN</t>
        </is>
      </c>
      <c r="E7964" t="inlineStr">
        <is>
          <t>SUNDSVALL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7529-2023</t>
        </is>
      </c>
      <c r="B7965" s="1" t="n">
        <v>44972</v>
      </c>
      <c r="C7965" s="1" t="n">
        <v>45657</v>
      </c>
      <c r="D7965" t="inlineStr">
        <is>
          <t>VÄSTERNORRLANDS LÄN</t>
        </is>
      </c>
      <c r="E7965" t="inlineStr">
        <is>
          <t>ÅNGE</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7522-2023</t>
        </is>
      </c>
      <c r="B7966" s="1" t="n">
        <v>44971</v>
      </c>
      <c r="C7966" s="1" t="n">
        <v>45657</v>
      </c>
      <c r="D7966" t="inlineStr">
        <is>
          <t>VÄSTERNORRLANDS LÄN</t>
        </is>
      </c>
      <c r="E7966" t="inlineStr">
        <is>
          <t>HÄRNÖSAND</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7527-2023</t>
        </is>
      </c>
      <c r="B7967" s="1" t="n">
        <v>44971</v>
      </c>
      <c r="C7967" s="1" t="n">
        <v>45657</v>
      </c>
      <c r="D7967" t="inlineStr">
        <is>
          <t>VÄSTERNORRLANDS LÄN</t>
        </is>
      </c>
      <c r="E7967" t="inlineStr">
        <is>
          <t>ÅNGE</t>
        </is>
      </c>
      <c r="F7967" t="inlineStr">
        <is>
          <t>SCA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7535-2023</t>
        </is>
      </c>
      <c r="B7968" s="1" t="n">
        <v>44971</v>
      </c>
      <c r="C7968" s="1" t="n">
        <v>45657</v>
      </c>
      <c r="D7968" t="inlineStr">
        <is>
          <t>VÄSTERNORRLANDS LÄN</t>
        </is>
      </c>
      <c r="E7968" t="inlineStr">
        <is>
          <t>ÅNGE</t>
        </is>
      </c>
      <c r="F7968" t="inlineStr">
        <is>
          <t>SCA</t>
        </is>
      </c>
      <c r="G7968" t="n">
        <v>14.6</v>
      </c>
      <c r="H7968" t="n">
        <v>0</v>
      </c>
      <c r="I7968" t="n">
        <v>0</v>
      </c>
      <c r="J7968" t="n">
        <v>0</v>
      </c>
      <c r="K7968" t="n">
        <v>0</v>
      </c>
      <c r="L7968" t="n">
        <v>0</v>
      </c>
      <c r="M7968" t="n">
        <v>0</v>
      </c>
      <c r="N7968" t="n">
        <v>0</v>
      </c>
      <c r="O7968" t="n">
        <v>0</v>
      </c>
      <c r="P7968" t="n">
        <v>0</v>
      </c>
      <c r="Q7968" t="n">
        <v>0</v>
      </c>
      <c r="R7968" s="2" t="inlineStr"/>
    </row>
    <row r="7969" ht="15" customHeight="1">
      <c r="A7969" t="inlineStr">
        <is>
          <t>A 8455-2023</t>
        </is>
      </c>
      <c r="B7969" s="1" t="n">
        <v>44971</v>
      </c>
      <c r="C7969" s="1" t="n">
        <v>45657</v>
      </c>
      <c r="D7969" t="inlineStr">
        <is>
          <t>VÄSTERNORRLANDS LÄN</t>
        </is>
      </c>
      <c r="E7969" t="inlineStr">
        <is>
          <t>KRAMFORS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7511-2023</t>
        </is>
      </c>
      <c r="B7970" s="1" t="n">
        <v>44971</v>
      </c>
      <c r="C7970" s="1" t="n">
        <v>45657</v>
      </c>
      <c r="D7970" t="inlineStr">
        <is>
          <t>VÄSTERNORRLANDS LÄN</t>
        </is>
      </c>
      <c r="E7970" t="inlineStr">
        <is>
          <t>SUNDSVALL</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7526-2023</t>
        </is>
      </c>
      <c r="B7971" s="1" t="n">
        <v>44972</v>
      </c>
      <c r="C7971" s="1" t="n">
        <v>45657</v>
      </c>
      <c r="D7971" t="inlineStr">
        <is>
          <t>VÄSTERNORRLANDS LÄN</t>
        </is>
      </c>
      <c r="E7971" t="inlineStr">
        <is>
          <t>ÅNGE</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8217-2023</t>
        </is>
      </c>
      <c r="B7972" s="1" t="n">
        <v>44971</v>
      </c>
      <c r="C7972" s="1" t="n">
        <v>45657</v>
      </c>
      <c r="D7972" t="inlineStr">
        <is>
          <t>VÄSTERNORRLANDS LÄN</t>
        </is>
      </c>
      <c r="E7972" t="inlineStr">
        <is>
          <t>ÖRNSKÖLDSVIK</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8406-2023</t>
        </is>
      </c>
      <c r="B7973" s="1" t="n">
        <v>44971</v>
      </c>
      <c r="C7973" s="1" t="n">
        <v>45657</v>
      </c>
      <c r="D7973" t="inlineStr">
        <is>
          <t>VÄSTERNORRLANDS LÄN</t>
        </is>
      </c>
      <c r="E7973" t="inlineStr">
        <is>
          <t>ÅNGE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8227-2023</t>
        </is>
      </c>
      <c r="B7974" s="1" t="n">
        <v>44971</v>
      </c>
      <c r="C7974" s="1" t="n">
        <v>45657</v>
      </c>
      <c r="D7974" t="inlineStr">
        <is>
          <t>VÄSTERNORRLANDS LÄN</t>
        </is>
      </c>
      <c r="E7974" t="inlineStr">
        <is>
          <t>ÖRNSKÖLDSVIK</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8418-2023</t>
        </is>
      </c>
      <c r="B7975" s="1" t="n">
        <v>44971</v>
      </c>
      <c r="C7975" s="1" t="n">
        <v>45657</v>
      </c>
      <c r="D7975" t="inlineStr">
        <is>
          <t>VÄSTERNORRLANDS LÄN</t>
        </is>
      </c>
      <c r="E7975" t="inlineStr">
        <is>
          <t>ÅNGE</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7574-2023</t>
        </is>
      </c>
      <c r="B7976" s="1" t="n">
        <v>44972</v>
      </c>
      <c r="C7976" s="1" t="n">
        <v>45657</v>
      </c>
      <c r="D7976" t="inlineStr">
        <is>
          <t>VÄSTERNORRLANDS LÄN</t>
        </is>
      </c>
      <c r="E7976" t="inlineStr">
        <is>
          <t>ÖRNSKÖLDSVIK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7713-2023</t>
        </is>
      </c>
      <c r="B7977" s="1" t="n">
        <v>44972</v>
      </c>
      <c r="C7977" s="1" t="n">
        <v>45657</v>
      </c>
      <c r="D7977" t="inlineStr">
        <is>
          <t>VÄSTERNORRLANDS LÄN</t>
        </is>
      </c>
      <c r="E7977" t="inlineStr">
        <is>
          <t>SOLLEFTEÅ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7720-2023</t>
        </is>
      </c>
      <c r="B7978" s="1" t="n">
        <v>44972</v>
      </c>
      <c r="C7978" s="1" t="n">
        <v>45657</v>
      </c>
      <c r="D7978" t="inlineStr">
        <is>
          <t>VÄSTERNORRLANDS LÄN</t>
        </is>
      </c>
      <c r="E7978" t="inlineStr">
        <is>
          <t>ÅNGE</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7715-2023</t>
        </is>
      </c>
      <c r="B7979" s="1" t="n">
        <v>44972</v>
      </c>
      <c r="C7979" s="1" t="n">
        <v>45657</v>
      </c>
      <c r="D7979" t="inlineStr">
        <is>
          <t>VÄSTERNORRLANDS LÄN</t>
        </is>
      </c>
      <c r="E7979" t="inlineStr">
        <is>
          <t>HÄRNÖSAND</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7721-2023</t>
        </is>
      </c>
      <c r="B7980" s="1" t="n">
        <v>44972</v>
      </c>
      <c r="C7980" s="1" t="n">
        <v>45657</v>
      </c>
      <c r="D7980" t="inlineStr">
        <is>
          <t>VÄSTERNORRLANDS LÄN</t>
        </is>
      </c>
      <c r="E7980" t="inlineStr">
        <is>
          <t>SOLLEFTEÅ</t>
        </is>
      </c>
      <c r="F7980" t="inlineStr">
        <is>
          <t>SCA</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7723-2023</t>
        </is>
      </c>
      <c r="B7981" s="1" t="n">
        <v>44972</v>
      </c>
      <c r="C7981" s="1" t="n">
        <v>45657</v>
      </c>
      <c r="D7981" t="inlineStr">
        <is>
          <t>VÄSTERNORRLANDS LÄN</t>
        </is>
      </c>
      <c r="E7981" t="inlineStr">
        <is>
          <t>ÅNGE</t>
        </is>
      </c>
      <c r="F7981" t="inlineStr">
        <is>
          <t>SCA</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7881-2023</t>
        </is>
      </c>
      <c r="B7982" s="1" t="n">
        <v>44973</v>
      </c>
      <c r="C7982" s="1" t="n">
        <v>45657</v>
      </c>
      <c r="D7982" t="inlineStr">
        <is>
          <t>VÄSTERNORRLANDS LÄN</t>
        </is>
      </c>
      <c r="E7982" t="inlineStr">
        <is>
          <t>ÖRNSKÖLDSVIK</t>
        </is>
      </c>
      <c r="F7982" t="inlineStr">
        <is>
          <t>Holmen skog AB</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8024-2023</t>
        </is>
      </c>
      <c r="B7983" s="1" t="n">
        <v>44973</v>
      </c>
      <c r="C7983" s="1" t="n">
        <v>45657</v>
      </c>
      <c r="D7983" t="inlineStr">
        <is>
          <t>VÄSTERNORRLANDS LÄN</t>
        </is>
      </c>
      <c r="E7983" t="inlineStr">
        <is>
          <t>HÄRNÖSAND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8023-2023</t>
        </is>
      </c>
      <c r="B7984" s="1" t="n">
        <v>44973</v>
      </c>
      <c r="C7984" s="1" t="n">
        <v>45657</v>
      </c>
      <c r="D7984" t="inlineStr">
        <is>
          <t>VÄSTERNORRLANDS LÄN</t>
        </is>
      </c>
      <c r="E7984" t="inlineStr">
        <is>
          <t>HÄRNÖSAND</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8030-2023</t>
        </is>
      </c>
      <c r="B7985" s="1" t="n">
        <v>44973</v>
      </c>
      <c r="C7985" s="1" t="n">
        <v>45657</v>
      </c>
      <c r="D7985" t="inlineStr">
        <is>
          <t>VÄSTERNORRLANDS LÄN</t>
        </is>
      </c>
      <c r="E7985" t="inlineStr">
        <is>
          <t>SOLLEFTEÅ</t>
        </is>
      </c>
      <c r="F7985" t="inlineStr">
        <is>
          <t>SCA</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8224-2023</t>
        </is>
      </c>
      <c r="B7986" s="1" t="n">
        <v>44974</v>
      </c>
      <c r="C7986" s="1" t="n">
        <v>45657</v>
      </c>
      <c r="D7986" t="inlineStr">
        <is>
          <t>VÄSTERNORRLANDS LÄN</t>
        </is>
      </c>
      <c r="E7986" t="inlineStr">
        <is>
          <t>ÖRNSKÖLDSVIK</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8221-2023</t>
        </is>
      </c>
      <c r="B7987" s="1" t="n">
        <v>44974</v>
      </c>
      <c r="C7987" s="1" t="n">
        <v>45657</v>
      </c>
      <c r="D7987" t="inlineStr">
        <is>
          <t>VÄSTERNORRLANDS LÄN</t>
        </is>
      </c>
      <c r="E7987" t="inlineStr">
        <is>
          <t>ÖRNSKÖLDSVIK</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8959-2023</t>
        </is>
      </c>
      <c r="B7988" s="1" t="n">
        <v>44974</v>
      </c>
      <c r="C7988" s="1" t="n">
        <v>45657</v>
      </c>
      <c r="D7988" t="inlineStr">
        <is>
          <t>VÄSTERNORRLANDS LÄN</t>
        </is>
      </c>
      <c r="E7988" t="inlineStr">
        <is>
          <t>SOLLEFTEÅ</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8640-2023</t>
        </is>
      </c>
      <c r="B7989" s="1" t="n">
        <v>44978</v>
      </c>
      <c r="C7989" s="1" t="n">
        <v>45657</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8658-2023</t>
        </is>
      </c>
      <c r="B7990" s="1" t="n">
        <v>44978</v>
      </c>
      <c r="C7990" s="1" t="n">
        <v>45657</v>
      </c>
      <c r="D7990" t="inlineStr">
        <is>
          <t>VÄSTERNORRLANDS LÄN</t>
        </is>
      </c>
      <c r="E7990" t="inlineStr">
        <is>
          <t>SOLLEFTEÅ</t>
        </is>
      </c>
      <c r="F7990" t="inlineStr">
        <is>
          <t>SCA</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8627-2023</t>
        </is>
      </c>
      <c r="B7991" s="1" t="n">
        <v>44977</v>
      </c>
      <c r="C7991" s="1" t="n">
        <v>45657</v>
      </c>
      <c r="D7991" t="inlineStr">
        <is>
          <t>VÄSTERNORRLANDS LÄN</t>
        </is>
      </c>
      <c r="E7991" t="inlineStr">
        <is>
          <t>ÅNGE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8632-2023</t>
        </is>
      </c>
      <c r="B7992" s="1" t="n">
        <v>44977</v>
      </c>
      <c r="C7992" s="1" t="n">
        <v>45657</v>
      </c>
      <c r="D7992" t="inlineStr">
        <is>
          <t>VÄSTERNORRLANDS LÄN</t>
        </is>
      </c>
      <c r="E7992" t="inlineStr">
        <is>
          <t>TIMRÅ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8668-2023</t>
        </is>
      </c>
      <c r="B7993" s="1" t="n">
        <v>44978</v>
      </c>
      <c r="C7993" s="1" t="n">
        <v>45657</v>
      </c>
      <c r="D7993" t="inlineStr">
        <is>
          <t>VÄSTERNORRLANDS LÄN</t>
        </is>
      </c>
      <c r="E7993" t="inlineStr">
        <is>
          <t>SOLLEFTEÅ</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8672-2023</t>
        </is>
      </c>
      <c r="B7994" s="1" t="n">
        <v>44977</v>
      </c>
      <c r="C7994" s="1" t="n">
        <v>45657</v>
      </c>
      <c r="D7994" t="inlineStr">
        <is>
          <t>VÄSTERNORRLANDS LÄN</t>
        </is>
      </c>
      <c r="E7994" t="inlineStr">
        <is>
          <t>SOLLEFTEÅ</t>
        </is>
      </c>
      <c r="F7994" t="inlineStr">
        <is>
          <t>SCA</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8656-2023</t>
        </is>
      </c>
      <c r="B7995" s="1" t="n">
        <v>44978</v>
      </c>
      <c r="C7995" s="1" t="n">
        <v>45657</v>
      </c>
      <c r="D7995" t="inlineStr">
        <is>
          <t>VÄSTERNORRLANDS LÄN</t>
        </is>
      </c>
      <c r="E7995" t="inlineStr">
        <is>
          <t>SOLLEFTEÅ</t>
        </is>
      </c>
      <c r="F7995" t="inlineStr">
        <is>
          <t>SCA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8666-2023</t>
        </is>
      </c>
      <c r="B7996" s="1" t="n">
        <v>44977</v>
      </c>
      <c r="C7996" s="1" t="n">
        <v>45657</v>
      </c>
      <c r="D7996" t="inlineStr">
        <is>
          <t>VÄSTERNORRLANDS LÄN</t>
        </is>
      </c>
      <c r="E7996" t="inlineStr">
        <is>
          <t>ÅNGE</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8670-2023</t>
        </is>
      </c>
      <c r="B7997" s="1" t="n">
        <v>44977</v>
      </c>
      <c r="C7997" s="1" t="n">
        <v>45657</v>
      </c>
      <c r="D7997" t="inlineStr">
        <is>
          <t>VÄSTERNORRLANDS LÄN</t>
        </is>
      </c>
      <c r="E7997" t="inlineStr">
        <is>
          <t>SOLLEFTEÅ</t>
        </is>
      </c>
      <c r="F7997" t="inlineStr">
        <is>
          <t>SCA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8667-2023</t>
        </is>
      </c>
      <c r="B7998" s="1" t="n">
        <v>44978</v>
      </c>
      <c r="C7998" s="1" t="n">
        <v>45657</v>
      </c>
      <c r="D7998" t="inlineStr">
        <is>
          <t>VÄSTERNORRLANDS LÄN</t>
        </is>
      </c>
      <c r="E7998" t="inlineStr">
        <is>
          <t>SOLLEFTEÅ</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8671-2023</t>
        </is>
      </c>
      <c r="B7999" s="1" t="n">
        <v>44978</v>
      </c>
      <c r="C7999" s="1" t="n">
        <v>45657</v>
      </c>
      <c r="D7999" t="inlineStr">
        <is>
          <t>VÄSTERNORRLANDS LÄN</t>
        </is>
      </c>
      <c r="E7999" t="inlineStr">
        <is>
          <t>SOLLEFTEÅ</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9474-2023</t>
        </is>
      </c>
      <c r="B8000" s="1" t="n">
        <v>44977</v>
      </c>
      <c r="C8000" s="1" t="n">
        <v>45657</v>
      </c>
      <c r="D8000" t="inlineStr">
        <is>
          <t>VÄSTERNORRLANDS LÄN</t>
        </is>
      </c>
      <c r="E8000" t="inlineStr">
        <is>
          <t>ÖRNSKÖLDSVIK</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10047-2023</t>
        </is>
      </c>
      <c r="B8001" s="1" t="n">
        <v>44977</v>
      </c>
      <c r="C8001" s="1" t="n">
        <v>45657</v>
      </c>
      <c r="D8001" t="inlineStr">
        <is>
          <t>VÄSTERNORRLANDS LÄN</t>
        </is>
      </c>
      <c r="E8001" t="inlineStr">
        <is>
          <t>SUNDSVALL</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8869-2023</t>
        </is>
      </c>
      <c r="B8002" s="1" t="n">
        <v>44978</v>
      </c>
      <c r="C8002" s="1" t="n">
        <v>45657</v>
      </c>
      <c r="D8002" t="inlineStr">
        <is>
          <t>VÄSTERNORRLANDS LÄN</t>
        </is>
      </c>
      <c r="E8002" t="inlineStr">
        <is>
          <t>ÅNGE</t>
        </is>
      </c>
      <c r="F8002" t="inlineStr">
        <is>
          <t>SCA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8868-2023</t>
        </is>
      </c>
      <c r="B8003" s="1" t="n">
        <v>44978</v>
      </c>
      <c r="C8003" s="1" t="n">
        <v>45657</v>
      </c>
      <c r="D8003" t="inlineStr">
        <is>
          <t>VÄSTERNORRLANDS LÄN</t>
        </is>
      </c>
      <c r="E8003" t="inlineStr">
        <is>
          <t>ÅNGE</t>
        </is>
      </c>
      <c r="F8003" t="inlineStr">
        <is>
          <t>SCA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8875-2023</t>
        </is>
      </c>
      <c r="B8004" s="1" t="n">
        <v>44978</v>
      </c>
      <c r="C8004" s="1" t="n">
        <v>45657</v>
      </c>
      <c r="D8004" t="inlineStr">
        <is>
          <t>VÄSTERNORRLANDS LÄN</t>
        </is>
      </c>
      <c r="E8004" t="inlineStr">
        <is>
          <t>SOLLEFTEÅ</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8880-2023</t>
        </is>
      </c>
      <c r="B8005" s="1" t="n">
        <v>44978</v>
      </c>
      <c r="C8005" s="1" t="n">
        <v>45657</v>
      </c>
      <c r="D8005" t="inlineStr">
        <is>
          <t>VÄSTERNORRLANDS LÄN</t>
        </is>
      </c>
      <c r="E8005" t="inlineStr">
        <is>
          <t>SOLLEFTEÅ</t>
        </is>
      </c>
      <c r="F8005" t="inlineStr">
        <is>
          <t>SCA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9726-2023</t>
        </is>
      </c>
      <c r="B8006" s="1" t="n">
        <v>44978</v>
      </c>
      <c r="C8006" s="1" t="n">
        <v>45657</v>
      </c>
      <c r="D8006" t="inlineStr">
        <is>
          <t>VÄSTERNORRLANDS LÄN</t>
        </is>
      </c>
      <c r="E8006" t="inlineStr">
        <is>
          <t>ÖRNSKÖLDSVIK</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8873-2023</t>
        </is>
      </c>
      <c r="B8007" s="1" t="n">
        <v>44978</v>
      </c>
      <c r="C8007" s="1" t="n">
        <v>45657</v>
      </c>
      <c r="D8007" t="inlineStr">
        <is>
          <t>VÄSTERNORRLANDS LÄN</t>
        </is>
      </c>
      <c r="E8007" t="inlineStr">
        <is>
          <t>SUNDSVALL</t>
        </is>
      </c>
      <c r="F8007" t="inlineStr">
        <is>
          <t>SCA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9506-2023</t>
        </is>
      </c>
      <c r="B8008" s="1" t="n">
        <v>44978</v>
      </c>
      <c r="C8008" s="1" t="n">
        <v>45657</v>
      </c>
      <c r="D8008" t="inlineStr">
        <is>
          <t>VÄSTERNORRLANDS LÄN</t>
        </is>
      </c>
      <c r="E8008" t="inlineStr">
        <is>
          <t>KRAMFORS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8867-2023</t>
        </is>
      </c>
      <c r="B8009" s="1" t="n">
        <v>44978</v>
      </c>
      <c r="C8009" s="1" t="n">
        <v>45657</v>
      </c>
      <c r="D8009" t="inlineStr">
        <is>
          <t>VÄSTERNORRLANDS LÄN</t>
        </is>
      </c>
      <c r="E8009" t="inlineStr">
        <is>
          <t>ÅNGE</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8874-2023</t>
        </is>
      </c>
      <c r="B8010" s="1" t="n">
        <v>44978</v>
      </c>
      <c r="C8010" s="1" t="n">
        <v>45657</v>
      </c>
      <c r="D8010" t="inlineStr">
        <is>
          <t>VÄSTERNORRLANDS LÄN</t>
        </is>
      </c>
      <c r="E8010" t="inlineStr">
        <is>
          <t>ÖRNSKÖLDSVIK</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9097-2023</t>
        </is>
      </c>
      <c r="B8011" s="1" t="n">
        <v>44979</v>
      </c>
      <c r="C8011" s="1" t="n">
        <v>45657</v>
      </c>
      <c r="D8011" t="inlineStr">
        <is>
          <t>VÄSTERNORRLANDS LÄN</t>
        </is>
      </c>
      <c r="E8011" t="inlineStr">
        <is>
          <t>SOLLEFTEÅ</t>
        </is>
      </c>
      <c r="F8011" t="inlineStr">
        <is>
          <t>SCA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9101-2023</t>
        </is>
      </c>
      <c r="B8012" s="1" t="n">
        <v>44979</v>
      </c>
      <c r="C8012" s="1" t="n">
        <v>45657</v>
      </c>
      <c r="D8012" t="inlineStr">
        <is>
          <t>VÄSTERNORRLANDS LÄN</t>
        </is>
      </c>
      <c r="E8012" t="inlineStr">
        <is>
          <t>ÖRNSKÖLDSVIK</t>
        </is>
      </c>
      <c r="F8012" t="inlineStr">
        <is>
          <t>SCA</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9095-2023</t>
        </is>
      </c>
      <c r="B8013" s="1" t="n">
        <v>44979</v>
      </c>
      <c r="C8013" s="1" t="n">
        <v>45657</v>
      </c>
      <c r="D8013" t="inlineStr">
        <is>
          <t>VÄSTERNORRLANDS LÄN</t>
        </is>
      </c>
      <c r="E8013" t="inlineStr">
        <is>
          <t>SOLLEFTEÅ</t>
        </is>
      </c>
      <c r="F8013" t="inlineStr">
        <is>
          <t>SCA</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9099-2023</t>
        </is>
      </c>
      <c r="B8014" s="1" t="n">
        <v>44979</v>
      </c>
      <c r="C8014" s="1" t="n">
        <v>45657</v>
      </c>
      <c r="D8014" t="inlineStr">
        <is>
          <t>VÄSTERNORRLANDS LÄN</t>
        </is>
      </c>
      <c r="E8014" t="inlineStr">
        <is>
          <t>SOLLEFTEÅ</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9096-2023</t>
        </is>
      </c>
      <c r="B8015" s="1" t="n">
        <v>44979</v>
      </c>
      <c r="C8015" s="1" t="n">
        <v>45657</v>
      </c>
      <c r="D8015" t="inlineStr">
        <is>
          <t>VÄSTERNORRLANDS LÄN</t>
        </is>
      </c>
      <c r="E8015" t="inlineStr">
        <is>
          <t>SOLLEFTEÅ</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9104-2023</t>
        </is>
      </c>
      <c r="B8016" s="1" t="n">
        <v>44979</v>
      </c>
      <c r="C8016" s="1" t="n">
        <v>45657</v>
      </c>
      <c r="D8016" t="inlineStr">
        <is>
          <t>VÄSTERNORRLANDS LÄN</t>
        </is>
      </c>
      <c r="E8016" t="inlineStr">
        <is>
          <t>SOLLEFTEÅ</t>
        </is>
      </c>
      <c r="F8016" t="inlineStr">
        <is>
          <t>SCA</t>
        </is>
      </c>
      <c r="G8016" t="n">
        <v>22.1</v>
      </c>
      <c r="H8016" t="n">
        <v>0</v>
      </c>
      <c r="I8016" t="n">
        <v>0</v>
      </c>
      <c r="J8016" t="n">
        <v>0</v>
      </c>
      <c r="K8016" t="n">
        <v>0</v>
      </c>
      <c r="L8016" t="n">
        <v>0</v>
      </c>
      <c r="M8016" t="n">
        <v>0</v>
      </c>
      <c r="N8016" t="n">
        <v>0</v>
      </c>
      <c r="O8016" t="n">
        <v>0</v>
      </c>
      <c r="P8016" t="n">
        <v>0</v>
      </c>
      <c r="Q8016" t="n">
        <v>0</v>
      </c>
      <c r="R8016" s="2" t="inlineStr"/>
    </row>
    <row r="8017" ht="15" customHeight="1">
      <c r="A8017" t="inlineStr">
        <is>
          <t>A 10053-2023</t>
        </is>
      </c>
      <c r="B8017" s="1" t="n">
        <v>44979</v>
      </c>
      <c r="C8017" s="1" t="n">
        <v>45657</v>
      </c>
      <c r="D8017" t="inlineStr">
        <is>
          <t>VÄSTERNORRLANDS LÄN</t>
        </is>
      </c>
      <c r="E8017" t="inlineStr">
        <is>
          <t>ÖRNSKÖLDSVIK</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9098-2023</t>
        </is>
      </c>
      <c r="B8018" s="1" t="n">
        <v>44979</v>
      </c>
      <c r="C8018" s="1" t="n">
        <v>45657</v>
      </c>
      <c r="D8018" t="inlineStr">
        <is>
          <t>VÄSTERNORRLANDS LÄN</t>
        </is>
      </c>
      <c r="E8018" t="inlineStr">
        <is>
          <t>SOLLEFTEÅ</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9105-2023</t>
        </is>
      </c>
      <c r="B8019" s="1" t="n">
        <v>44979</v>
      </c>
      <c r="C8019" s="1" t="n">
        <v>45657</v>
      </c>
      <c r="D8019" t="inlineStr">
        <is>
          <t>VÄSTERNORRLANDS LÄN</t>
        </is>
      </c>
      <c r="E8019" t="inlineStr">
        <is>
          <t>SOLLEFTEÅ</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10057-2023</t>
        </is>
      </c>
      <c r="B8020" s="1" t="n">
        <v>44979</v>
      </c>
      <c r="C8020" s="1" t="n">
        <v>45657</v>
      </c>
      <c r="D8020" t="inlineStr">
        <is>
          <t>VÄSTERNORRLANDS LÄN</t>
        </is>
      </c>
      <c r="E8020" t="inlineStr">
        <is>
          <t>ÖRNSKÖLDSVIK</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10055-2023</t>
        </is>
      </c>
      <c r="B8021" s="1" t="n">
        <v>44979</v>
      </c>
      <c r="C8021" s="1" t="n">
        <v>45657</v>
      </c>
      <c r="D8021" t="inlineStr">
        <is>
          <t>VÄSTERNORRLANDS LÄN</t>
        </is>
      </c>
      <c r="E8021" t="inlineStr">
        <is>
          <t>ÖRNSKÖLDSVIK</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10113-2023</t>
        </is>
      </c>
      <c r="B8022" s="1" t="n">
        <v>44979</v>
      </c>
      <c r="C8022" s="1" t="n">
        <v>45657</v>
      </c>
      <c r="D8022" t="inlineStr">
        <is>
          <t>VÄSTERNORRLANDS LÄN</t>
        </is>
      </c>
      <c r="E8022" t="inlineStr">
        <is>
          <t>ÖRNSKÖLDSVIK</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9211-2023</t>
        </is>
      </c>
      <c r="B8023" s="1" t="n">
        <v>44980</v>
      </c>
      <c r="C8023" s="1" t="n">
        <v>45657</v>
      </c>
      <c r="D8023" t="inlineStr">
        <is>
          <t>VÄSTERNORRLANDS LÄN</t>
        </is>
      </c>
      <c r="E8023" t="inlineStr">
        <is>
          <t>ÅNGE</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9254-2023</t>
        </is>
      </c>
      <c r="B8024" s="1" t="n">
        <v>44980</v>
      </c>
      <c r="C8024" s="1" t="n">
        <v>45657</v>
      </c>
      <c r="D8024" t="inlineStr">
        <is>
          <t>VÄSTERNORRLANDS LÄN</t>
        </is>
      </c>
      <c r="E8024" t="inlineStr">
        <is>
          <t>ÖRNSKÖLDSVIK</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9215-2023</t>
        </is>
      </c>
      <c r="B8025" s="1" t="n">
        <v>44980</v>
      </c>
      <c r="C8025" s="1" t="n">
        <v>45657</v>
      </c>
      <c r="D8025" t="inlineStr">
        <is>
          <t>VÄSTERNORRLANDS LÄN</t>
        </is>
      </c>
      <c r="E8025" t="inlineStr">
        <is>
          <t>ÅNGE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9265-2023</t>
        </is>
      </c>
      <c r="B8026" s="1" t="n">
        <v>44980</v>
      </c>
      <c r="C8026" s="1" t="n">
        <v>45657</v>
      </c>
      <c r="D8026" t="inlineStr">
        <is>
          <t>VÄSTERNORRLANDS LÄN</t>
        </is>
      </c>
      <c r="E8026" t="inlineStr">
        <is>
          <t>ÖRNSKÖLDSVIK</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9358-2023</t>
        </is>
      </c>
      <c r="B8027" s="1" t="n">
        <v>44980</v>
      </c>
      <c r="C8027" s="1" t="n">
        <v>45657</v>
      </c>
      <c r="D8027" t="inlineStr">
        <is>
          <t>VÄSTERNORRLANDS LÄN</t>
        </is>
      </c>
      <c r="E8027" t="inlineStr">
        <is>
          <t>SOLLEFTEÅ</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9359-2023</t>
        </is>
      </c>
      <c r="B8028" s="1" t="n">
        <v>44980</v>
      </c>
      <c r="C8028" s="1" t="n">
        <v>45657</v>
      </c>
      <c r="D8028" t="inlineStr">
        <is>
          <t>VÄSTERNORRLANDS LÄN</t>
        </is>
      </c>
      <c r="E8028" t="inlineStr">
        <is>
          <t>SUNDSVALL</t>
        </is>
      </c>
      <c r="F8028" t="inlineStr">
        <is>
          <t>SCA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9364-2023</t>
        </is>
      </c>
      <c r="B8029" s="1" t="n">
        <v>44980</v>
      </c>
      <c r="C8029" s="1" t="n">
        <v>45657</v>
      </c>
      <c r="D8029" t="inlineStr">
        <is>
          <t>VÄSTERNORRLANDS LÄN</t>
        </is>
      </c>
      <c r="E8029" t="inlineStr">
        <is>
          <t>KRAMFORS</t>
        </is>
      </c>
      <c r="F8029" t="inlineStr">
        <is>
          <t>SCA</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10128-2023</t>
        </is>
      </c>
      <c r="B8030" s="1" t="n">
        <v>44980</v>
      </c>
      <c r="C8030" s="1" t="n">
        <v>45657</v>
      </c>
      <c r="D8030" t="inlineStr">
        <is>
          <t>VÄSTERNORRLANDS LÄN</t>
        </is>
      </c>
      <c r="E8030" t="inlineStr">
        <is>
          <t>HÄRNÖSAND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10369-2023</t>
        </is>
      </c>
      <c r="B8031" s="1" t="n">
        <v>44980</v>
      </c>
      <c r="C8031" s="1" t="n">
        <v>45657</v>
      </c>
      <c r="D8031" t="inlineStr">
        <is>
          <t>VÄSTERNORRLANDS LÄN</t>
        </is>
      </c>
      <c r="E8031" t="inlineStr">
        <is>
          <t>ÖRNSKÖLDSVIK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10256-2023</t>
        </is>
      </c>
      <c r="B8032" s="1" t="n">
        <v>44980</v>
      </c>
      <c r="C8032" s="1" t="n">
        <v>45657</v>
      </c>
      <c r="D8032" t="inlineStr">
        <is>
          <t>VÄSTERNORRLANDS LÄN</t>
        </is>
      </c>
      <c r="E8032" t="inlineStr">
        <is>
          <t>SOLLEFTEÅ</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9362-2023</t>
        </is>
      </c>
      <c r="B8033" s="1" t="n">
        <v>44980</v>
      </c>
      <c r="C8033" s="1" t="n">
        <v>45657</v>
      </c>
      <c r="D8033" t="inlineStr">
        <is>
          <t>VÄSTERNORRLANDS LÄN</t>
        </is>
      </c>
      <c r="E8033" t="inlineStr">
        <is>
          <t>SOLLEFTEÅ</t>
        </is>
      </c>
      <c r="F8033" t="inlineStr">
        <is>
          <t>SCA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9549-2023</t>
        </is>
      </c>
      <c r="B8034" s="1" t="n">
        <v>44981</v>
      </c>
      <c r="C8034" s="1" t="n">
        <v>45657</v>
      </c>
      <c r="D8034" t="inlineStr">
        <is>
          <t>VÄSTERNORRLANDS LÄN</t>
        </is>
      </c>
      <c r="E8034" t="inlineStr">
        <is>
          <t>SOLLEFTEÅ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10428-2023</t>
        </is>
      </c>
      <c r="B8035" s="1" t="n">
        <v>44981</v>
      </c>
      <c r="C8035" s="1" t="n">
        <v>45657</v>
      </c>
      <c r="D8035" t="inlineStr">
        <is>
          <t>VÄSTERNORRLANDS LÄN</t>
        </is>
      </c>
      <c r="E8035" t="inlineStr">
        <is>
          <t>SOLLEFTEÅ</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9584-2023</t>
        </is>
      </c>
      <c r="B8036" s="1" t="n">
        <v>44982</v>
      </c>
      <c r="C8036" s="1" t="n">
        <v>45657</v>
      </c>
      <c r="D8036" t="inlineStr">
        <is>
          <t>VÄSTERNORRLANDS LÄN</t>
        </is>
      </c>
      <c r="E8036" t="inlineStr">
        <is>
          <t>SUNDSVALL</t>
        </is>
      </c>
      <c r="F8036" t="inlineStr">
        <is>
          <t>SCA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9617-2023</t>
        </is>
      </c>
      <c r="B8037" s="1" t="n">
        <v>44983</v>
      </c>
      <c r="C8037" s="1" t="n">
        <v>45657</v>
      </c>
      <c r="D8037" t="inlineStr">
        <is>
          <t>VÄSTERNORRLANDS LÄN</t>
        </is>
      </c>
      <c r="E8037" t="inlineStr">
        <is>
          <t>SOLLEFTEÅ</t>
        </is>
      </c>
      <c r="F8037" t="inlineStr">
        <is>
          <t>SCA</t>
        </is>
      </c>
      <c r="G8037" t="n">
        <v>39.6</v>
      </c>
      <c r="H8037" t="n">
        <v>0</v>
      </c>
      <c r="I8037" t="n">
        <v>0</v>
      </c>
      <c r="J8037" t="n">
        <v>0</v>
      </c>
      <c r="K8037" t="n">
        <v>0</v>
      </c>
      <c r="L8037" t="n">
        <v>0</v>
      </c>
      <c r="M8037" t="n">
        <v>0</v>
      </c>
      <c r="N8037" t="n">
        <v>0</v>
      </c>
      <c r="O8037" t="n">
        <v>0</v>
      </c>
      <c r="P8037" t="n">
        <v>0</v>
      </c>
      <c r="Q8037" t="n">
        <v>0</v>
      </c>
      <c r="R8037" s="2" t="inlineStr"/>
    </row>
    <row r="8038" ht="15" customHeight="1">
      <c r="A8038" t="inlineStr">
        <is>
          <t>A 9612-2023</t>
        </is>
      </c>
      <c r="B8038" s="1" t="n">
        <v>44983</v>
      </c>
      <c r="C8038" s="1" t="n">
        <v>45657</v>
      </c>
      <c r="D8038" t="inlineStr">
        <is>
          <t>VÄSTERNORRLANDS LÄN</t>
        </is>
      </c>
      <c r="E8038" t="inlineStr">
        <is>
          <t>TIMRÅ</t>
        </is>
      </c>
      <c r="F8038" t="inlineStr">
        <is>
          <t>SCA</t>
        </is>
      </c>
      <c r="G8038" t="n">
        <v>8.800000000000001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9616-2023</t>
        </is>
      </c>
      <c r="B8039" s="1" t="n">
        <v>44983</v>
      </c>
      <c r="C8039" s="1" t="n">
        <v>45657</v>
      </c>
      <c r="D8039" t="inlineStr">
        <is>
          <t>VÄSTERNORRLANDS LÄN</t>
        </is>
      </c>
      <c r="E8039" t="inlineStr">
        <is>
          <t>SOLLEFTEÅ</t>
        </is>
      </c>
      <c r="F8039" t="inlineStr">
        <is>
          <t>SCA</t>
        </is>
      </c>
      <c r="G8039" t="n">
        <v>45.9</v>
      </c>
      <c r="H8039" t="n">
        <v>0</v>
      </c>
      <c r="I8039" t="n">
        <v>0</v>
      </c>
      <c r="J8039" t="n">
        <v>0</v>
      </c>
      <c r="K8039" t="n">
        <v>0</v>
      </c>
      <c r="L8039" t="n">
        <v>0</v>
      </c>
      <c r="M8039" t="n">
        <v>0</v>
      </c>
      <c r="N8039" t="n">
        <v>0</v>
      </c>
      <c r="O8039" t="n">
        <v>0</v>
      </c>
      <c r="P8039" t="n">
        <v>0</v>
      </c>
      <c r="Q8039" t="n">
        <v>0</v>
      </c>
      <c r="R8039" s="2" t="inlineStr"/>
    </row>
    <row r="8040" ht="15" customHeight="1">
      <c r="A8040" t="inlineStr">
        <is>
          <t>A 9614-2023</t>
        </is>
      </c>
      <c r="B8040" s="1" t="n">
        <v>44983</v>
      </c>
      <c r="C8040" s="1" t="n">
        <v>45657</v>
      </c>
      <c r="D8040" t="inlineStr">
        <is>
          <t>VÄSTERNORRLANDS LÄN</t>
        </is>
      </c>
      <c r="E8040" t="inlineStr">
        <is>
          <t>SOLLEFTEÅ</t>
        </is>
      </c>
      <c r="F8040" t="inlineStr">
        <is>
          <t>SCA</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9708-2023</t>
        </is>
      </c>
      <c r="B8041" s="1" t="n">
        <v>44984</v>
      </c>
      <c r="C8041" s="1" t="n">
        <v>45657</v>
      </c>
      <c r="D8041" t="inlineStr">
        <is>
          <t>VÄSTERNORRLANDS LÄN</t>
        </is>
      </c>
      <c r="E8041" t="inlineStr">
        <is>
          <t>KRAMFORS</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9741-2023</t>
        </is>
      </c>
      <c r="B8042" s="1" t="n">
        <v>44984</v>
      </c>
      <c r="C8042" s="1" t="n">
        <v>45657</v>
      </c>
      <c r="D8042" t="inlineStr">
        <is>
          <t>VÄSTERNORRLANDS LÄN</t>
        </is>
      </c>
      <c r="E8042" t="inlineStr">
        <is>
          <t>SOLLEFTEÅ</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9845-2023</t>
        </is>
      </c>
      <c r="B8043" s="1" t="n">
        <v>44984</v>
      </c>
      <c r="C8043" s="1" t="n">
        <v>45657</v>
      </c>
      <c r="D8043" t="inlineStr">
        <is>
          <t>VÄSTERNORRLANDS LÄN</t>
        </is>
      </c>
      <c r="E8043" t="inlineStr">
        <is>
          <t>ÖRNSKÖLDSVIK</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9829-2023</t>
        </is>
      </c>
      <c r="B8044" s="1" t="n">
        <v>44984</v>
      </c>
      <c r="C8044" s="1" t="n">
        <v>45657</v>
      </c>
      <c r="D8044" t="inlineStr">
        <is>
          <t>VÄSTERNORRLANDS LÄN</t>
        </is>
      </c>
      <c r="E8044" t="inlineStr">
        <is>
          <t>SOLLEFTEÅ</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9842-2023</t>
        </is>
      </c>
      <c r="B8045" s="1" t="n">
        <v>44984</v>
      </c>
      <c r="C8045" s="1" t="n">
        <v>45657</v>
      </c>
      <c r="D8045" t="inlineStr">
        <is>
          <t>VÄSTERNORRLANDS LÄN</t>
        </is>
      </c>
      <c r="E8045" t="inlineStr">
        <is>
          <t>KRAMFORS</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9848-2023</t>
        </is>
      </c>
      <c r="B8046" s="1" t="n">
        <v>44984</v>
      </c>
      <c r="C8046" s="1" t="n">
        <v>45657</v>
      </c>
      <c r="D8046" t="inlineStr">
        <is>
          <t>VÄSTERNORRLANDS LÄN</t>
        </is>
      </c>
      <c r="E8046" t="inlineStr">
        <is>
          <t>ÖRNSKÖLDSVIK</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9858-2023</t>
        </is>
      </c>
      <c r="B8047" s="1" t="n">
        <v>44984</v>
      </c>
      <c r="C8047" s="1" t="n">
        <v>45657</v>
      </c>
      <c r="D8047" t="inlineStr">
        <is>
          <t>VÄSTERNORRLANDS LÄN</t>
        </is>
      </c>
      <c r="E8047" t="inlineStr">
        <is>
          <t>SOLLEFTEÅ</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9867-2023</t>
        </is>
      </c>
      <c r="B8048" s="1" t="n">
        <v>44984</v>
      </c>
      <c r="C8048" s="1" t="n">
        <v>45657</v>
      </c>
      <c r="D8048" t="inlineStr">
        <is>
          <t>VÄSTERNORRLANDS LÄN</t>
        </is>
      </c>
      <c r="E8048" t="inlineStr">
        <is>
          <t>SUNDSVALL</t>
        </is>
      </c>
      <c r="F8048" t="inlineStr">
        <is>
          <t>SCA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9879-2023</t>
        </is>
      </c>
      <c r="B8049" s="1" t="n">
        <v>44984</v>
      </c>
      <c r="C8049" s="1" t="n">
        <v>45657</v>
      </c>
      <c r="D8049" t="inlineStr">
        <is>
          <t>VÄSTERNORRLANDS LÄN</t>
        </is>
      </c>
      <c r="E8049" t="inlineStr">
        <is>
          <t>SOLLEFTEÅ</t>
        </is>
      </c>
      <c r="F8049" t="inlineStr">
        <is>
          <t>SCA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9744-2023</t>
        </is>
      </c>
      <c r="B8050" s="1" t="n">
        <v>44984</v>
      </c>
      <c r="C8050" s="1" t="n">
        <v>45657</v>
      </c>
      <c r="D8050" t="inlineStr">
        <is>
          <t>VÄSTERNORRLANDS LÄN</t>
        </is>
      </c>
      <c r="E8050" t="inlineStr">
        <is>
          <t>SUNDSVALL</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9850-2023</t>
        </is>
      </c>
      <c r="B8051" s="1" t="n">
        <v>44984</v>
      </c>
      <c r="C8051" s="1" t="n">
        <v>45657</v>
      </c>
      <c r="D8051" t="inlineStr">
        <is>
          <t>VÄSTERNORRLANDS LÄN</t>
        </is>
      </c>
      <c r="E8051" t="inlineStr">
        <is>
          <t>SUNDSVALL</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9857-2023</t>
        </is>
      </c>
      <c r="B8052" s="1" t="n">
        <v>44984</v>
      </c>
      <c r="C8052" s="1" t="n">
        <v>45657</v>
      </c>
      <c r="D8052" t="inlineStr">
        <is>
          <t>VÄSTERNORRLANDS LÄN</t>
        </is>
      </c>
      <c r="E8052" t="inlineStr">
        <is>
          <t>SUNDSVALL</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9861-2023</t>
        </is>
      </c>
      <c r="B8053" s="1" t="n">
        <v>44984</v>
      </c>
      <c r="C8053" s="1" t="n">
        <v>45657</v>
      </c>
      <c r="D8053" t="inlineStr">
        <is>
          <t>VÄSTERNORRLANDS LÄN</t>
        </is>
      </c>
      <c r="E8053" t="inlineStr">
        <is>
          <t>ÅNGE</t>
        </is>
      </c>
      <c r="F8053" t="inlineStr">
        <is>
          <t>SCA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10601-2023</t>
        </is>
      </c>
      <c r="B8054" s="1" t="n">
        <v>44984</v>
      </c>
      <c r="C8054" s="1" t="n">
        <v>45657</v>
      </c>
      <c r="D8054" t="inlineStr">
        <is>
          <t>VÄSTERNORRLANDS LÄN</t>
        </is>
      </c>
      <c r="E8054" t="inlineStr">
        <is>
          <t>ÖRNSKÖLDSVIK</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9871-2023</t>
        </is>
      </c>
      <c r="B8055" s="1" t="n">
        <v>44984</v>
      </c>
      <c r="C8055" s="1" t="n">
        <v>45657</v>
      </c>
      <c r="D8055" t="inlineStr">
        <is>
          <t>VÄSTERNORRLANDS LÄN</t>
        </is>
      </c>
      <c r="E8055" t="inlineStr">
        <is>
          <t>SOLLEFTEÅ</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9880-2023</t>
        </is>
      </c>
      <c r="B8056" s="1" t="n">
        <v>44984</v>
      </c>
      <c r="C8056" s="1" t="n">
        <v>45657</v>
      </c>
      <c r="D8056" t="inlineStr">
        <is>
          <t>VÄSTERNORRLANDS LÄN</t>
        </is>
      </c>
      <c r="E8056" t="inlineStr">
        <is>
          <t>TIMRÅ</t>
        </is>
      </c>
      <c r="F8056" t="inlineStr">
        <is>
          <t>SCA</t>
        </is>
      </c>
      <c r="G8056" t="n">
        <v>6.7</v>
      </c>
      <c r="H8056" t="n">
        <v>0</v>
      </c>
      <c r="I8056" t="n">
        <v>0</v>
      </c>
      <c r="J8056" t="n">
        <v>0</v>
      </c>
      <c r="K8056" t="n">
        <v>0</v>
      </c>
      <c r="L8056" t="n">
        <v>0</v>
      </c>
      <c r="M8056" t="n">
        <v>0</v>
      </c>
      <c r="N8056" t="n">
        <v>0</v>
      </c>
      <c r="O8056" t="n">
        <v>0</v>
      </c>
      <c r="P8056" t="n">
        <v>0</v>
      </c>
      <c r="Q8056" t="n">
        <v>0</v>
      </c>
      <c r="R8056" s="2" t="inlineStr"/>
    </row>
    <row r="8057" ht="15" customHeight="1">
      <c r="A8057" t="inlineStr">
        <is>
          <t>A 10727-2023</t>
        </is>
      </c>
      <c r="B8057" s="1" t="n">
        <v>44984</v>
      </c>
      <c r="C8057" s="1" t="n">
        <v>45657</v>
      </c>
      <c r="D8057" t="inlineStr">
        <is>
          <t>VÄSTERNORRLANDS LÄN</t>
        </is>
      </c>
      <c r="E8057" t="inlineStr">
        <is>
          <t>SUNDSVALL</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10730-2023</t>
        </is>
      </c>
      <c r="B8058" s="1" t="n">
        <v>44984</v>
      </c>
      <c r="C8058" s="1" t="n">
        <v>45657</v>
      </c>
      <c r="D8058" t="inlineStr">
        <is>
          <t>VÄSTERNORRLANDS LÄN</t>
        </is>
      </c>
      <c r="E8058" t="inlineStr">
        <is>
          <t>SUNDSVALL</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9970-2023</t>
        </is>
      </c>
      <c r="B8059" s="1" t="n">
        <v>44985</v>
      </c>
      <c r="C8059" s="1" t="n">
        <v>45657</v>
      </c>
      <c r="D8059" t="inlineStr">
        <is>
          <t>VÄSTERNORRLANDS LÄN</t>
        </is>
      </c>
      <c r="E8059" t="inlineStr">
        <is>
          <t>ÖRNSKÖLDSVIK</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10067-2023</t>
        </is>
      </c>
      <c r="B8060" s="1" t="n">
        <v>44985</v>
      </c>
      <c r="C8060" s="1" t="n">
        <v>45657</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10071-2023</t>
        </is>
      </c>
      <c r="B8061" s="1" t="n">
        <v>44985</v>
      </c>
      <c r="C8061" s="1" t="n">
        <v>45657</v>
      </c>
      <c r="D8061" t="inlineStr">
        <is>
          <t>VÄSTERNORRLANDS LÄN</t>
        </is>
      </c>
      <c r="E8061" t="inlineStr">
        <is>
          <t>ÅNGE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10079-2023</t>
        </is>
      </c>
      <c r="B8062" s="1" t="n">
        <v>44985</v>
      </c>
      <c r="C8062" s="1" t="n">
        <v>45657</v>
      </c>
      <c r="D8062" t="inlineStr">
        <is>
          <t>VÄSTERNORRLANDS LÄN</t>
        </is>
      </c>
      <c r="E8062" t="inlineStr">
        <is>
          <t>SOLLEFTEÅ</t>
        </is>
      </c>
      <c r="F8062" t="inlineStr">
        <is>
          <t>SCA</t>
        </is>
      </c>
      <c r="G8062" t="n">
        <v>32.7</v>
      </c>
      <c r="H8062" t="n">
        <v>0</v>
      </c>
      <c r="I8062" t="n">
        <v>0</v>
      </c>
      <c r="J8062" t="n">
        <v>0</v>
      </c>
      <c r="K8062" t="n">
        <v>0</v>
      </c>
      <c r="L8062" t="n">
        <v>0</v>
      </c>
      <c r="M8062" t="n">
        <v>0</v>
      </c>
      <c r="N8062" t="n">
        <v>0</v>
      </c>
      <c r="O8062" t="n">
        <v>0</v>
      </c>
      <c r="P8062" t="n">
        <v>0</v>
      </c>
      <c r="Q8062" t="n">
        <v>0</v>
      </c>
      <c r="R8062" s="2" t="inlineStr"/>
    </row>
    <row r="8063" ht="15" customHeight="1">
      <c r="A8063" t="inlineStr">
        <is>
          <t>A 10084-2023</t>
        </is>
      </c>
      <c r="B8063" s="1" t="n">
        <v>44985</v>
      </c>
      <c r="C8063" s="1" t="n">
        <v>45657</v>
      </c>
      <c r="D8063" t="inlineStr">
        <is>
          <t>VÄSTERNORRLANDS LÄN</t>
        </is>
      </c>
      <c r="E8063" t="inlineStr">
        <is>
          <t>ÅNGE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10089-2023</t>
        </is>
      </c>
      <c r="B8064" s="1" t="n">
        <v>44985</v>
      </c>
      <c r="C8064" s="1" t="n">
        <v>45657</v>
      </c>
      <c r="D8064" t="inlineStr">
        <is>
          <t>VÄSTERNORRLANDS LÄN</t>
        </is>
      </c>
      <c r="E8064" t="inlineStr">
        <is>
          <t>ÅNGE</t>
        </is>
      </c>
      <c r="F8064" t="inlineStr">
        <is>
          <t>SCA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10094-2023</t>
        </is>
      </c>
      <c r="B8065" s="1" t="n">
        <v>44985</v>
      </c>
      <c r="C8065" s="1" t="n">
        <v>45657</v>
      </c>
      <c r="D8065" t="inlineStr">
        <is>
          <t>VÄSTERNORRLANDS LÄN</t>
        </is>
      </c>
      <c r="E8065" t="inlineStr">
        <is>
          <t>SOLLEFTEÅ</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10068-2023</t>
        </is>
      </c>
      <c r="B8066" s="1" t="n">
        <v>44985</v>
      </c>
      <c r="C8066" s="1" t="n">
        <v>45657</v>
      </c>
      <c r="D8066" t="inlineStr">
        <is>
          <t>VÄSTERNORRLANDS LÄN</t>
        </is>
      </c>
      <c r="E8066" t="inlineStr">
        <is>
          <t>ÅNGE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10076-2023</t>
        </is>
      </c>
      <c r="B8067" s="1" t="n">
        <v>44985</v>
      </c>
      <c r="C8067" s="1" t="n">
        <v>45657</v>
      </c>
      <c r="D8067" t="inlineStr">
        <is>
          <t>VÄSTERNORRLANDS LÄN</t>
        </is>
      </c>
      <c r="E8067" t="inlineStr">
        <is>
          <t>SUNDSVALL</t>
        </is>
      </c>
      <c r="F8067" t="inlineStr">
        <is>
          <t>Naturvårdsverket</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10090-2023</t>
        </is>
      </c>
      <c r="B8068" s="1" t="n">
        <v>44985</v>
      </c>
      <c r="C8068" s="1" t="n">
        <v>45657</v>
      </c>
      <c r="D8068" t="inlineStr">
        <is>
          <t>VÄSTERNORRLANDS LÄN</t>
        </is>
      </c>
      <c r="E8068" t="inlineStr">
        <is>
          <t>ÅNGE</t>
        </is>
      </c>
      <c r="F8068" t="inlineStr">
        <is>
          <t>SCA</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10095-2023</t>
        </is>
      </c>
      <c r="B8069" s="1" t="n">
        <v>44985</v>
      </c>
      <c r="C8069" s="1" t="n">
        <v>45657</v>
      </c>
      <c r="D8069" t="inlineStr">
        <is>
          <t>VÄSTERNORRLANDS LÄN</t>
        </is>
      </c>
      <c r="E8069" t="inlineStr">
        <is>
          <t>SOLLEFTEÅ</t>
        </is>
      </c>
      <c r="F8069" t="inlineStr">
        <is>
          <t>SCA</t>
        </is>
      </c>
      <c r="G8069" t="n">
        <v>11.8</v>
      </c>
      <c r="H8069" t="n">
        <v>0</v>
      </c>
      <c r="I8069" t="n">
        <v>0</v>
      </c>
      <c r="J8069" t="n">
        <v>0</v>
      </c>
      <c r="K8069" t="n">
        <v>0</v>
      </c>
      <c r="L8069" t="n">
        <v>0</v>
      </c>
      <c r="M8069" t="n">
        <v>0</v>
      </c>
      <c r="N8069" t="n">
        <v>0</v>
      </c>
      <c r="O8069" t="n">
        <v>0</v>
      </c>
      <c r="P8069" t="n">
        <v>0</v>
      </c>
      <c r="Q8069" t="n">
        <v>0</v>
      </c>
      <c r="R8069" s="2" t="inlineStr"/>
    </row>
    <row r="8070" ht="15" customHeight="1">
      <c r="A8070" t="inlineStr">
        <is>
          <t>A 9950-2023</t>
        </is>
      </c>
      <c r="B8070" s="1" t="n">
        <v>44985</v>
      </c>
      <c r="C8070" s="1" t="n">
        <v>45657</v>
      </c>
      <c r="D8070" t="inlineStr">
        <is>
          <t>VÄSTERNORRLANDS LÄN</t>
        </is>
      </c>
      <c r="E8070" t="inlineStr">
        <is>
          <t>ÖRNSKÖLDSVIK</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10077-2023</t>
        </is>
      </c>
      <c r="B8071" s="1" t="n">
        <v>44985</v>
      </c>
      <c r="C8071" s="1" t="n">
        <v>45657</v>
      </c>
      <c r="D8071" t="inlineStr">
        <is>
          <t>VÄSTERNORRLANDS LÄN</t>
        </is>
      </c>
      <c r="E8071" t="inlineStr">
        <is>
          <t>SOLLEFTEÅ</t>
        </is>
      </c>
      <c r="F8071" t="inlineStr">
        <is>
          <t>SCA</t>
        </is>
      </c>
      <c r="G8071" t="n">
        <v>10.8</v>
      </c>
      <c r="H8071" t="n">
        <v>0</v>
      </c>
      <c r="I8071" t="n">
        <v>0</v>
      </c>
      <c r="J8071" t="n">
        <v>0</v>
      </c>
      <c r="K8071" t="n">
        <v>0</v>
      </c>
      <c r="L8071" t="n">
        <v>0</v>
      </c>
      <c r="M8071" t="n">
        <v>0</v>
      </c>
      <c r="N8071" t="n">
        <v>0</v>
      </c>
      <c r="O8071" t="n">
        <v>0</v>
      </c>
      <c r="P8071" t="n">
        <v>0</v>
      </c>
      <c r="Q8071" t="n">
        <v>0</v>
      </c>
      <c r="R8071" s="2" t="inlineStr"/>
    </row>
    <row r="8072" ht="15" customHeight="1">
      <c r="A8072" t="inlineStr">
        <is>
          <t>A 10099-2023</t>
        </is>
      </c>
      <c r="B8072" s="1" t="n">
        <v>44985</v>
      </c>
      <c r="C8072" s="1" t="n">
        <v>45657</v>
      </c>
      <c r="D8072" t="inlineStr">
        <is>
          <t>VÄSTERNORRLANDS LÄN</t>
        </is>
      </c>
      <c r="E8072" t="inlineStr">
        <is>
          <t>SOLLEFTEÅ</t>
        </is>
      </c>
      <c r="F8072" t="inlineStr">
        <is>
          <t>SCA</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10103-2023</t>
        </is>
      </c>
      <c r="B8073" s="1" t="n">
        <v>44985</v>
      </c>
      <c r="C8073" s="1" t="n">
        <v>45657</v>
      </c>
      <c r="D8073" t="inlineStr">
        <is>
          <t>VÄSTERNORRLANDS LÄN</t>
        </is>
      </c>
      <c r="E8073" t="inlineStr">
        <is>
          <t>TIMRÅ</t>
        </is>
      </c>
      <c r="F8073" t="inlineStr">
        <is>
          <t>SCA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10970-2023</t>
        </is>
      </c>
      <c r="B8074" s="1" t="n">
        <v>44985</v>
      </c>
      <c r="C8074" s="1" t="n">
        <v>45657</v>
      </c>
      <c r="D8074" t="inlineStr">
        <is>
          <t>VÄSTERNORRLANDS LÄN</t>
        </is>
      </c>
      <c r="E8074" t="inlineStr">
        <is>
          <t>ÖRNSKÖLDSVIK</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10070-2023</t>
        </is>
      </c>
      <c r="B8075" s="1" t="n">
        <v>44985</v>
      </c>
      <c r="C8075" s="1" t="n">
        <v>45657</v>
      </c>
      <c r="D8075" t="inlineStr">
        <is>
          <t>VÄSTERNORRLANDS LÄN</t>
        </is>
      </c>
      <c r="E8075" t="inlineStr">
        <is>
          <t>ÅNGE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10078-2023</t>
        </is>
      </c>
      <c r="B8076" s="1" t="n">
        <v>44985</v>
      </c>
      <c r="C8076" s="1" t="n">
        <v>45657</v>
      </c>
      <c r="D8076" t="inlineStr">
        <is>
          <t>VÄSTERNORRLANDS LÄN</t>
        </is>
      </c>
      <c r="E8076" t="inlineStr">
        <is>
          <t>SOLLEFTEÅ</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10087-2023</t>
        </is>
      </c>
      <c r="B8077" s="1" t="n">
        <v>44985</v>
      </c>
      <c r="C8077" s="1" t="n">
        <v>45657</v>
      </c>
      <c r="D8077" t="inlineStr">
        <is>
          <t>VÄSTERNORRLANDS LÄN</t>
        </is>
      </c>
      <c r="E8077" t="inlineStr">
        <is>
          <t>ÅNGE</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10093-2023</t>
        </is>
      </c>
      <c r="B8078" s="1" t="n">
        <v>44985</v>
      </c>
      <c r="C8078" s="1" t="n">
        <v>45657</v>
      </c>
      <c r="D8078" t="inlineStr">
        <is>
          <t>VÄSTERNORRLANDS LÄN</t>
        </is>
      </c>
      <c r="E8078" t="inlineStr">
        <is>
          <t>SOLLEFTEÅ</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10100-2023</t>
        </is>
      </c>
      <c r="B8079" s="1" t="n">
        <v>44985</v>
      </c>
      <c r="C8079" s="1" t="n">
        <v>45657</v>
      </c>
      <c r="D8079" t="inlineStr">
        <is>
          <t>VÄSTERNORRLANDS LÄN</t>
        </is>
      </c>
      <c r="E8079" t="inlineStr">
        <is>
          <t>ÖRNSKÖLDSVIK</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10104-2023</t>
        </is>
      </c>
      <c r="B8080" s="1" t="n">
        <v>44985</v>
      </c>
      <c r="C8080" s="1" t="n">
        <v>45657</v>
      </c>
      <c r="D8080" t="inlineStr">
        <is>
          <t>VÄSTERNORRLANDS LÄN</t>
        </is>
      </c>
      <c r="E8080" t="inlineStr">
        <is>
          <t>TIMRÅ</t>
        </is>
      </c>
      <c r="F8080" t="inlineStr">
        <is>
          <t>SCA</t>
        </is>
      </c>
      <c r="G8080" t="n">
        <v>10.5</v>
      </c>
      <c r="H8080" t="n">
        <v>0</v>
      </c>
      <c r="I8080" t="n">
        <v>0</v>
      </c>
      <c r="J8080" t="n">
        <v>0</v>
      </c>
      <c r="K8080" t="n">
        <v>0</v>
      </c>
      <c r="L8080" t="n">
        <v>0</v>
      </c>
      <c r="M8080" t="n">
        <v>0</v>
      </c>
      <c r="N8080" t="n">
        <v>0</v>
      </c>
      <c r="O8080" t="n">
        <v>0</v>
      </c>
      <c r="P8080" t="n">
        <v>0</v>
      </c>
      <c r="Q8080" t="n">
        <v>0</v>
      </c>
      <c r="R8080" s="2" t="inlineStr"/>
    </row>
    <row r="8081" ht="15" customHeight="1">
      <c r="A8081" t="inlineStr">
        <is>
          <t>A 10296-2023</t>
        </is>
      </c>
      <c r="B8081" s="1" t="n">
        <v>44986</v>
      </c>
      <c r="C8081" s="1" t="n">
        <v>45657</v>
      </c>
      <c r="D8081" t="inlineStr">
        <is>
          <t>VÄSTERNORRLANDS LÄN</t>
        </is>
      </c>
      <c r="E8081" t="inlineStr">
        <is>
          <t>ÖRNSKÖLDSVIK</t>
        </is>
      </c>
      <c r="F8081" t="inlineStr">
        <is>
          <t>SCA</t>
        </is>
      </c>
      <c r="G8081" t="n">
        <v>9.4</v>
      </c>
      <c r="H8081" t="n">
        <v>0</v>
      </c>
      <c r="I8081" t="n">
        <v>0</v>
      </c>
      <c r="J8081" t="n">
        <v>0</v>
      </c>
      <c r="K8081" t="n">
        <v>0</v>
      </c>
      <c r="L8081" t="n">
        <v>0</v>
      </c>
      <c r="M8081" t="n">
        <v>0</v>
      </c>
      <c r="N8081" t="n">
        <v>0</v>
      </c>
      <c r="O8081" t="n">
        <v>0</v>
      </c>
      <c r="P8081" t="n">
        <v>0</v>
      </c>
      <c r="Q8081" t="n">
        <v>0</v>
      </c>
      <c r="R8081" s="2" t="inlineStr"/>
    </row>
    <row r="8082" ht="15" customHeight="1">
      <c r="A8082" t="inlineStr">
        <is>
          <t>A 10294-2023</t>
        </is>
      </c>
      <c r="B8082" s="1" t="n">
        <v>44986</v>
      </c>
      <c r="C8082" s="1" t="n">
        <v>45657</v>
      </c>
      <c r="D8082" t="inlineStr">
        <is>
          <t>VÄSTERNORRLANDS LÄN</t>
        </is>
      </c>
      <c r="E8082" t="inlineStr">
        <is>
          <t>SOLLEFTEÅ</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10293-2023</t>
        </is>
      </c>
      <c r="B8083" s="1" t="n">
        <v>44986</v>
      </c>
      <c r="C8083" s="1" t="n">
        <v>45657</v>
      </c>
      <c r="D8083" t="inlineStr">
        <is>
          <t>VÄSTERNORRLANDS LÄN</t>
        </is>
      </c>
      <c r="E8083" t="inlineStr">
        <is>
          <t>ÖRNSKÖLDSVIK</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10297-2023</t>
        </is>
      </c>
      <c r="B8084" s="1" t="n">
        <v>44986</v>
      </c>
      <c r="C8084" s="1" t="n">
        <v>45657</v>
      </c>
      <c r="D8084" t="inlineStr">
        <is>
          <t>VÄSTERNORRLANDS LÄN</t>
        </is>
      </c>
      <c r="E8084" t="inlineStr">
        <is>
          <t>ÖRNSKÖLDSVIK</t>
        </is>
      </c>
      <c r="F8084" t="inlineStr">
        <is>
          <t>SCA</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10311-2023</t>
        </is>
      </c>
      <c r="B8085" s="1" t="n">
        <v>44986</v>
      </c>
      <c r="C8085" s="1" t="n">
        <v>45657</v>
      </c>
      <c r="D8085" t="inlineStr">
        <is>
          <t>VÄSTERNORRLANDS LÄN</t>
        </is>
      </c>
      <c r="E8085" t="inlineStr">
        <is>
          <t>SOLLEFTEÅ</t>
        </is>
      </c>
      <c r="F8085" t="inlineStr">
        <is>
          <t>SCA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10295-2023</t>
        </is>
      </c>
      <c r="B8086" s="1" t="n">
        <v>44986</v>
      </c>
      <c r="C8086" s="1" t="n">
        <v>45657</v>
      </c>
      <c r="D8086" t="inlineStr">
        <is>
          <t>VÄSTERNORRLANDS LÄN</t>
        </is>
      </c>
      <c r="E8086" t="inlineStr">
        <is>
          <t>ÖRNSKÖLDSVIK</t>
        </is>
      </c>
      <c r="F8086" t="inlineStr">
        <is>
          <t>SCA</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11094-2023</t>
        </is>
      </c>
      <c r="B8087" s="1" t="n">
        <v>44986</v>
      </c>
      <c r="C8087" s="1" t="n">
        <v>45657</v>
      </c>
      <c r="D8087" t="inlineStr">
        <is>
          <t>VÄSTERNORRLANDS LÄN</t>
        </is>
      </c>
      <c r="E8087" t="inlineStr">
        <is>
          <t>SOLLEFTEÅ</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10312-2023</t>
        </is>
      </c>
      <c r="B8088" s="1" t="n">
        <v>44986</v>
      </c>
      <c r="C8088" s="1" t="n">
        <v>45657</v>
      </c>
      <c r="D8088" t="inlineStr">
        <is>
          <t>VÄSTERNORRLANDS LÄN</t>
        </is>
      </c>
      <c r="E8088" t="inlineStr">
        <is>
          <t>TIMRÅ</t>
        </is>
      </c>
      <c r="F8088" t="inlineStr">
        <is>
          <t>SCA</t>
        </is>
      </c>
      <c r="G8088" t="n">
        <v>38.4</v>
      </c>
      <c r="H8088" t="n">
        <v>0</v>
      </c>
      <c r="I8088" t="n">
        <v>0</v>
      </c>
      <c r="J8088" t="n">
        <v>0</v>
      </c>
      <c r="K8088" t="n">
        <v>0</v>
      </c>
      <c r="L8088" t="n">
        <v>0</v>
      </c>
      <c r="M8088" t="n">
        <v>0</v>
      </c>
      <c r="N8088" t="n">
        <v>0</v>
      </c>
      <c r="O8088" t="n">
        <v>0</v>
      </c>
      <c r="P8088" t="n">
        <v>0</v>
      </c>
      <c r="Q8088" t="n">
        <v>0</v>
      </c>
      <c r="R8088" s="2" t="inlineStr"/>
    </row>
    <row r="8089" ht="15" customHeight="1">
      <c r="A8089" t="inlineStr">
        <is>
          <t>A 10316-2023</t>
        </is>
      </c>
      <c r="B8089" s="1" t="n">
        <v>44986</v>
      </c>
      <c r="C8089" s="1" t="n">
        <v>45657</v>
      </c>
      <c r="D8089" t="inlineStr">
        <is>
          <t>VÄSTERNORRLANDS LÄN</t>
        </is>
      </c>
      <c r="E8089" t="inlineStr">
        <is>
          <t>SUNDSVALL</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10385-2023</t>
        </is>
      </c>
      <c r="B8090" s="1" t="n">
        <v>44987</v>
      </c>
      <c r="C8090" s="1" t="n">
        <v>45657</v>
      </c>
      <c r="D8090" t="inlineStr">
        <is>
          <t>VÄSTERNORRLANDS LÄN</t>
        </is>
      </c>
      <c r="E8090" t="inlineStr">
        <is>
          <t>ÖRNSKÖLDSVIK</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10387-2023</t>
        </is>
      </c>
      <c r="B8091" s="1" t="n">
        <v>44987</v>
      </c>
      <c r="C8091" s="1" t="n">
        <v>45657</v>
      </c>
      <c r="D8091" t="inlineStr">
        <is>
          <t>VÄSTERNORRLANDS LÄN</t>
        </is>
      </c>
      <c r="E8091" t="inlineStr">
        <is>
          <t>ÖRNSKÖLDSVIK</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10526-2023</t>
        </is>
      </c>
      <c r="B8092" s="1" t="n">
        <v>44987</v>
      </c>
      <c r="C8092" s="1" t="n">
        <v>45657</v>
      </c>
      <c r="D8092" t="inlineStr">
        <is>
          <t>VÄSTERNORRLANDS LÄN</t>
        </is>
      </c>
      <c r="E8092" t="inlineStr">
        <is>
          <t>SOLLEFTEÅ</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10530-2023</t>
        </is>
      </c>
      <c r="B8093" s="1" t="n">
        <v>44987</v>
      </c>
      <c r="C8093" s="1" t="n">
        <v>45657</v>
      </c>
      <c r="D8093" t="inlineStr">
        <is>
          <t>VÄSTERNORRLANDS LÄN</t>
        </is>
      </c>
      <c r="E8093" t="inlineStr">
        <is>
          <t>SUNDSVALL</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10525-2023</t>
        </is>
      </c>
      <c r="B8094" s="1" t="n">
        <v>44987</v>
      </c>
      <c r="C8094" s="1" t="n">
        <v>45657</v>
      </c>
      <c r="D8094" t="inlineStr">
        <is>
          <t>VÄSTERNORRLANDS LÄN</t>
        </is>
      </c>
      <c r="E8094" t="inlineStr">
        <is>
          <t>SUNDSVALL</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10541-2023</t>
        </is>
      </c>
      <c r="B8095" s="1" t="n">
        <v>44987</v>
      </c>
      <c r="C8095" s="1" t="n">
        <v>45657</v>
      </c>
      <c r="D8095" t="inlineStr">
        <is>
          <t>VÄSTERNORRLANDS LÄN</t>
        </is>
      </c>
      <c r="E8095" t="inlineStr">
        <is>
          <t>SOLLEFTEÅ</t>
        </is>
      </c>
      <c r="F8095" t="inlineStr">
        <is>
          <t>SCA</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10539-2023</t>
        </is>
      </c>
      <c r="B8096" s="1" t="n">
        <v>44987</v>
      </c>
      <c r="C8096" s="1" t="n">
        <v>45657</v>
      </c>
      <c r="D8096" t="inlineStr">
        <is>
          <t>VÄSTERNORRLANDS LÄN</t>
        </is>
      </c>
      <c r="E8096" t="inlineStr">
        <is>
          <t>SUNDSVALL</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10555-2023</t>
        </is>
      </c>
      <c r="B8097" s="1" t="n">
        <v>44987</v>
      </c>
      <c r="C8097" s="1" t="n">
        <v>45657</v>
      </c>
      <c r="D8097" t="inlineStr">
        <is>
          <t>VÄSTERNORRLANDS LÄN</t>
        </is>
      </c>
      <c r="E8097" t="inlineStr">
        <is>
          <t>SUNDSVALL</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10558-2023</t>
        </is>
      </c>
      <c r="B8098" s="1" t="n">
        <v>44987</v>
      </c>
      <c r="C8098" s="1" t="n">
        <v>45657</v>
      </c>
      <c r="D8098" t="inlineStr">
        <is>
          <t>VÄSTERNORRLANDS LÄN</t>
        </is>
      </c>
      <c r="E8098" t="inlineStr">
        <is>
          <t>ÅNGE</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10544-2023</t>
        </is>
      </c>
      <c r="B8099" s="1" t="n">
        <v>44987</v>
      </c>
      <c r="C8099" s="1" t="n">
        <v>45657</v>
      </c>
      <c r="D8099" t="inlineStr">
        <is>
          <t>VÄSTERNORRLANDS LÄN</t>
        </is>
      </c>
      <c r="E8099" t="inlineStr">
        <is>
          <t>HÄRNÖSAND</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10549-2023</t>
        </is>
      </c>
      <c r="B8100" s="1" t="n">
        <v>44987</v>
      </c>
      <c r="C8100" s="1" t="n">
        <v>45657</v>
      </c>
      <c r="D8100" t="inlineStr">
        <is>
          <t>VÄSTERNORRLANDS LÄN</t>
        </is>
      </c>
      <c r="E8100" t="inlineStr">
        <is>
          <t>SOLLEFTEÅ</t>
        </is>
      </c>
      <c r="F8100" t="inlineStr">
        <is>
          <t>SCA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10557-2023</t>
        </is>
      </c>
      <c r="B8101" s="1" t="n">
        <v>44987</v>
      </c>
      <c r="C8101" s="1" t="n">
        <v>45657</v>
      </c>
      <c r="D8101" t="inlineStr">
        <is>
          <t>VÄSTERNORRLANDS LÄN</t>
        </is>
      </c>
      <c r="E8101" t="inlineStr">
        <is>
          <t>ÅNGE</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10548-2023</t>
        </is>
      </c>
      <c r="B8102" s="1" t="n">
        <v>44987</v>
      </c>
      <c r="C8102" s="1" t="n">
        <v>45657</v>
      </c>
      <c r="D8102" t="inlineStr">
        <is>
          <t>VÄSTERNORRLANDS LÄN</t>
        </is>
      </c>
      <c r="E8102" t="inlineStr">
        <is>
          <t>SUNDSVALL</t>
        </is>
      </c>
      <c r="F8102" t="inlineStr">
        <is>
          <t>SCA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10556-2023</t>
        </is>
      </c>
      <c r="B8103" s="1" t="n">
        <v>44987</v>
      </c>
      <c r="C8103" s="1" t="n">
        <v>45657</v>
      </c>
      <c r="D8103" t="inlineStr">
        <is>
          <t>VÄSTERNORRLANDS LÄN</t>
        </is>
      </c>
      <c r="E8103" t="inlineStr">
        <is>
          <t>TIMRÅ</t>
        </is>
      </c>
      <c r="F8103" t="inlineStr">
        <is>
          <t>SCA</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10716-2023</t>
        </is>
      </c>
      <c r="B8104" s="1" t="n">
        <v>44988</v>
      </c>
      <c r="C8104" s="1" t="n">
        <v>45657</v>
      </c>
      <c r="D8104" t="inlineStr">
        <is>
          <t>VÄSTERNORRLANDS LÄN</t>
        </is>
      </c>
      <c r="E8104" t="inlineStr">
        <is>
          <t>SUNDSVALL</t>
        </is>
      </c>
      <c r="F8104" t="inlineStr">
        <is>
          <t>Holmen skog AB</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10770-2023</t>
        </is>
      </c>
      <c r="B8105" s="1" t="n">
        <v>44988</v>
      </c>
      <c r="C8105" s="1" t="n">
        <v>45657</v>
      </c>
      <c r="D8105" t="inlineStr">
        <is>
          <t>VÄSTERNORRLANDS LÄN</t>
        </is>
      </c>
      <c r="E8105" t="inlineStr">
        <is>
          <t>KRAMFORS</t>
        </is>
      </c>
      <c r="F8105" t="inlineStr">
        <is>
          <t>SCA</t>
        </is>
      </c>
      <c r="G8105" t="n">
        <v>40.6</v>
      </c>
      <c r="H8105" t="n">
        <v>0</v>
      </c>
      <c r="I8105" t="n">
        <v>0</v>
      </c>
      <c r="J8105" t="n">
        <v>0</v>
      </c>
      <c r="K8105" t="n">
        <v>0</v>
      </c>
      <c r="L8105" t="n">
        <v>0</v>
      </c>
      <c r="M8105" t="n">
        <v>0</v>
      </c>
      <c r="N8105" t="n">
        <v>0</v>
      </c>
      <c r="O8105" t="n">
        <v>0</v>
      </c>
      <c r="P8105" t="n">
        <v>0</v>
      </c>
      <c r="Q8105" t="n">
        <v>0</v>
      </c>
      <c r="R8105" s="2" t="inlineStr"/>
    </row>
    <row r="8106" ht="15" customHeight="1">
      <c r="A8106" t="inlineStr">
        <is>
          <t>A 10773-2023</t>
        </is>
      </c>
      <c r="B8106" s="1" t="n">
        <v>44988</v>
      </c>
      <c r="C8106" s="1" t="n">
        <v>45657</v>
      </c>
      <c r="D8106" t="inlineStr">
        <is>
          <t>VÄSTERNORRLANDS LÄN</t>
        </is>
      </c>
      <c r="E8106" t="inlineStr">
        <is>
          <t>TIMRÅ</t>
        </is>
      </c>
      <c r="F8106" t="inlineStr">
        <is>
          <t>SCA</t>
        </is>
      </c>
      <c r="G8106" t="n">
        <v>17.3</v>
      </c>
      <c r="H8106" t="n">
        <v>0</v>
      </c>
      <c r="I8106" t="n">
        <v>0</v>
      </c>
      <c r="J8106" t="n">
        <v>0</v>
      </c>
      <c r="K8106" t="n">
        <v>0</v>
      </c>
      <c r="L8106" t="n">
        <v>0</v>
      </c>
      <c r="M8106" t="n">
        <v>0</v>
      </c>
      <c r="N8106" t="n">
        <v>0</v>
      </c>
      <c r="O8106" t="n">
        <v>0</v>
      </c>
      <c r="P8106" t="n">
        <v>0</v>
      </c>
      <c r="Q8106" t="n">
        <v>0</v>
      </c>
      <c r="R8106" s="2" t="inlineStr"/>
    </row>
    <row r="8107" ht="15" customHeight="1">
      <c r="A8107" t="inlineStr">
        <is>
          <t>A 10777-2023</t>
        </is>
      </c>
      <c r="B8107" s="1" t="n">
        <v>44988</v>
      </c>
      <c r="C8107" s="1" t="n">
        <v>45657</v>
      </c>
      <c r="D8107" t="inlineStr">
        <is>
          <t>VÄSTERNORRLANDS LÄN</t>
        </is>
      </c>
      <c r="E8107" t="inlineStr">
        <is>
          <t>SOLLEFTEÅ</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10756-2023</t>
        </is>
      </c>
      <c r="B8108" s="1" t="n">
        <v>44988</v>
      </c>
      <c r="C8108" s="1" t="n">
        <v>45657</v>
      </c>
      <c r="D8108" t="inlineStr">
        <is>
          <t>VÄSTERNORRLANDS LÄN</t>
        </is>
      </c>
      <c r="E8108" t="inlineStr">
        <is>
          <t>ÖRNSKÖLDSVIK</t>
        </is>
      </c>
      <c r="F8108" t="inlineStr">
        <is>
          <t>Holmen skog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10771-2023</t>
        </is>
      </c>
      <c r="B8109" s="1" t="n">
        <v>44988</v>
      </c>
      <c r="C8109" s="1" t="n">
        <v>45657</v>
      </c>
      <c r="D8109" t="inlineStr">
        <is>
          <t>VÄSTERNORRLANDS LÄN</t>
        </is>
      </c>
      <c r="E8109" t="inlineStr">
        <is>
          <t>SOLLEFTEÅ</t>
        </is>
      </c>
      <c r="F8109" t="inlineStr">
        <is>
          <t>SCA</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10778-2023</t>
        </is>
      </c>
      <c r="B8110" s="1" t="n">
        <v>44988</v>
      </c>
      <c r="C8110" s="1" t="n">
        <v>45657</v>
      </c>
      <c r="D8110" t="inlineStr">
        <is>
          <t>VÄSTERNORRLANDS LÄN</t>
        </is>
      </c>
      <c r="E8110" t="inlineStr">
        <is>
          <t>ÅNGE</t>
        </is>
      </c>
      <c r="F8110" t="inlineStr">
        <is>
          <t>SCA</t>
        </is>
      </c>
      <c r="G8110" t="n">
        <v>46.4</v>
      </c>
      <c r="H8110" t="n">
        <v>0</v>
      </c>
      <c r="I8110" t="n">
        <v>0</v>
      </c>
      <c r="J8110" t="n">
        <v>0</v>
      </c>
      <c r="K8110" t="n">
        <v>0</v>
      </c>
      <c r="L8110" t="n">
        <v>0</v>
      </c>
      <c r="M8110" t="n">
        <v>0</v>
      </c>
      <c r="N8110" t="n">
        <v>0</v>
      </c>
      <c r="O8110" t="n">
        <v>0</v>
      </c>
      <c r="P8110" t="n">
        <v>0</v>
      </c>
      <c r="Q8110" t="n">
        <v>0</v>
      </c>
      <c r="R8110" s="2" t="inlineStr"/>
    </row>
    <row r="8111" ht="15" customHeight="1">
      <c r="A8111" t="inlineStr">
        <is>
          <t>A 10783-2023</t>
        </is>
      </c>
      <c r="B8111" s="1" t="n">
        <v>44988</v>
      </c>
      <c r="C8111" s="1" t="n">
        <v>45657</v>
      </c>
      <c r="D8111" t="inlineStr">
        <is>
          <t>VÄSTERNORRLANDS LÄN</t>
        </is>
      </c>
      <c r="E8111" t="inlineStr">
        <is>
          <t>SOLLEFTEÅ</t>
        </is>
      </c>
      <c r="F8111" t="inlineStr">
        <is>
          <t>SCA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10786-2023</t>
        </is>
      </c>
      <c r="B8112" s="1" t="n">
        <v>44988</v>
      </c>
      <c r="C8112" s="1" t="n">
        <v>45657</v>
      </c>
      <c r="D8112" t="inlineStr">
        <is>
          <t>VÄSTERNORRLANDS LÄN</t>
        </is>
      </c>
      <c r="E8112" t="inlineStr">
        <is>
          <t>SUNDSVALL</t>
        </is>
      </c>
      <c r="F8112" t="inlineStr">
        <is>
          <t>SCA</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10700-2023</t>
        </is>
      </c>
      <c r="B8113" s="1" t="n">
        <v>44988</v>
      </c>
      <c r="C8113" s="1" t="n">
        <v>45657</v>
      </c>
      <c r="D8113" t="inlineStr">
        <is>
          <t>VÄSTERNORRLANDS LÄN</t>
        </is>
      </c>
      <c r="E8113" t="inlineStr">
        <is>
          <t>ÖRNSKÖLDSVIK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10714-2023</t>
        </is>
      </c>
      <c r="B8114" s="1" t="n">
        <v>44988</v>
      </c>
      <c r="C8114" s="1" t="n">
        <v>45657</v>
      </c>
      <c r="D8114" t="inlineStr">
        <is>
          <t>VÄSTERNORRLANDS LÄN</t>
        </is>
      </c>
      <c r="E8114" t="inlineStr">
        <is>
          <t>SUNDSVALL</t>
        </is>
      </c>
      <c r="F8114" t="inlineStr">
        <is>
          <t>Holmen skog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10775-2023</t>
        </is>
      </c>
      <c r="B8115" s="1" t="n">
        <v>44988</v>
      </c>
      <c r="C8115" s="1" t="n">
        <v>45657</v>
      </c>
      <c r="D8115" t="inlineStr">
        <is>
          <t>VÄSTERNORRLANDS LÄN</t>
        </is>
      </c>
      <c r="E8115" t="inlineStr">
        <is>
          <t>SUNDSVALL</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10784-2023</t>
        </is>
      </c>
      <c r="B8116" s="1" t="n">
        <v>44988</v>
      </c>
      <c r="C8116" s="1" t="n">
        <v>45657</v>
      </c>
      <c r="D8116" t="inlineStr">
        <is>
          <t>VÄSTERNORRLANDS LÄN</t>
        </is>
      </c>
      <c r="E8116" t="inlineStr">
        <is>
          <t>ÖRNSKÖLDSVIK</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10768-2023</t>
        </is>
      </c>
      <c r="B8117" s="1" t="n">
        <v>44988</v>
      </c>
      <c r="C8117" s="1" t="n">
        <v>45657</v>
      </c>
      <c r="D8117" t="inlineStr">
        <is>
          <t>VÄSTERNORRLANDS LÄN</t>
        </is>
      </c>
      <c r="E8117" t="inlineStr">
        <is>
          <t>SOLLEFTEÅ</t>
        </is>
      </c>
      <c r="F8117" t="inlineStr">
        <is>
          <t>SCA</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10785-2023</t>
        </is>
      </c>
      <c r="B8118" s="1" t="n">
        <v>44988</v>
      </c>
      <c r="C8118" s="1" t="n">
        <v>45657</v>
      </c>
      <c r="D8118" t="inlineStr">
        <is>
          <t>VÄSTERNORRLANDS LÄN</t>
        </is>
      </c>
      <c r="E8118" t="inlineStr">
        <is>
          <t>SOLLEFTEÅ</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11038-2023</t>
        </is>
      </c>
      <c r="B8119" s="1" t="n">
        <v>44991</v>
      </c>
      <c r="C8119" s="1" t="n">
        <v>45657</v>
      </c>
      <c r="D8119" t="inlineStr">
        <is>
          <t>VÄSTERNORRLANDS LÄN</t>
        </is>
      </c>
      <c r="E8119" t="inlineStr">
        <is>
          <t>SOLLEFTEÅ</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11043-2023</t>
        </is>
      </c>
      <c r="B8120" s="1" t="n">
        <v>44991</v>
      </c>
      <c r="C8120" s="1" t="n">
        <v>45657</v>
      </c>
      <c r="D8120" t="inlineStr">
        <is>
          <t>VÄSTERNORRLANDS LÄN</t>
        </is>
      </c>
      <c r="E8120" t="inlineStr">
        <is>
          <t>HÄRNÖSAND</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11050-2023</t>
        </is>
      </c>
      <c r="B8121" s="1" t="n">
        <v>44991</v>
      </c>
      <c r="C8121" s="1" t="n">
        <v>45657</v>
      </c>
      <c r="D8121" t="inlineStr">
        <is>
          <t>VÄSTERNORRLANDS LÄN</t>
        </is>
      </c>
      <c r="E8121" t="inlineStr">
        <is>
          <t>ÖRNSKÖLDSVIK</t>
        </is>
      </c>
      <c r="F8121" t="inlineStr">
        <is>
          <t>SCA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11042-2023</t>
        </is>
      </c>
      <c r="B8122" s="1" t="n">
        <v>44991</v>
      </c>
      <c r="C8122" s="1" t="n">
        <v>45657</v>
      </c>
      <c r="D8122" t="inlineStr">
        <is>
          <t>VÄSTERNORRLANDS LÄN</t>
        </is>
      </c>
      <c r="E8122" t="inlineStr">
        <is>
          <t>KRAMFORS</t>
        </is>
      </c>
      <c r="F8122" t="inlineStr">
        <is>
          <t>SCA</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11052-2023</t>
        </is>
      </c>
      <c r="B8123" s="1" t="n">
        <v>44991</v>
      </c>
      <c r="C8123" s="1" t="n">
        <v>45657</v>
      </c>
      <c r="D8123" t="inlineStr">
        <is>
          <t>VÄSTERNORRLANDS LÄN</t>
        </is>
      </c>
      <c r="E8123" t="inlineStr">
        <is>
          <t>SOLLEFTEÅ</t>
        </is>
      </c>
      <c r="F8123" t="inlineStr">
        <is>
          <t>SCA</t>
        </is>
      </c>
      <c r="G8123" t="n">
        <v>10.1</v>
      </c>
      <c r="H8123" t="n">
        <v>0</v>
      </c>
      <c r="I8123" t="n">
        <v>0</v>
      </c>
      <c r="J8123" t="n">
        <v>0</v>
      </c>
      <c r="K8123" t="n">
        <v>0</v>
      </c>
      <c r="L8123" t="n">
        <v>0</v>
      </c>
      <c r="M8123" t="n">
        <v>0</v>
      </c>
      <c r="N8123" t="n">
        <v>0</v>
      </c>
      <c r="O8123" t="n">
        <v>0</v>
      </c>
      <c r="P8123" t="n">
        <v>0</v>
      </c>
      <c r="Q8123" t="n">
        <v>0</v>
      </c>
      <c r="R8123" s="2" t="inlineStr"/>
    </row>
    <row r="8124" ht="15" customHeight="1">
      <c r="A8124" t="inlineStr">
        <is>
          <t>A 11039-2023</t>
        </is>
      </c>
      <c r="B8124" s="1" t="n">
        <v>44991</v>
      </c>
      <c r="C8124" s="1" t="n">
        <v>45657</v>
      </c>
      <c r="D8124" t="inlineStr">
        <is>
          <t>VÄSTERNORRLANDS LÄN</t>
        </is>
      </c>
      <c r="E8124" t="inlineStr">
        <is>
          <t>SOLLEFTEÅ</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11045-2023</t>
        </is>
      </c>
      <c r="B8125" s="1" t="n">
        <v>44991</v>
      </c>
      <c r="C8125" s="1" t="n">
        <v>45657</v>
      </c>
      <c r="D8125" t="inlineStr">
        <is>
          <t>VÄSTERNORRLANDS LÄN</t>
        </is>
      </c>
      <c r="E8125" t="inlineStr">
        <is>
          <t>SUNDSVALL</t>
        </is>
      </c>
      <c r="F8125" t="inlineStr">
        <is>
          <t>SCA</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11051-2023</t>
        </is>
      </c>
      <c r="B8126" s="1" t="n">
        <v>44991</v>
      </c>
      <c r="C8126" s="1" t="n">
        <v>45657</v>
      </c>
      <c r="D8126" t="inlineStr">
        <is>
          <t>VÄSTERNORRLANDS LÄN</t>
        </is>
      </c>
      <c r="E8126" t="inlineStr">
        <is>
          <t>ÖRNSKÖLDSVIK</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11059-2023</t>
        </is>
      </c>
      <c r="B8127" s="1" t="n">
        <v>44991</v>
      </c>
      <c r="C8127" s="1" t="n">
        <v>45657</v>
      </c>
      <c r="D8127" t="inlineStr">
        <is>
          <t>VÄSTERNORRLANDS LÄN</t>
        </is>
      </c>
      <c r="E8127" t="inlineStr">
        <is>
          <t>ÖRNSKÖLDSVIK</t>
        </is>
      </c>
      <c r="F8127" t="inlineStr">
        <is>
          <t>SCA</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11295-2023</t>
        </is>
      </c>
      <c r="B8128" s="1" t="n">
        <v>44992</v>
      </c>
      <c r="C8128" s="1" t="n">
        <v>45657</v>
      </c>
      <c r="D8128" t="inlineStr">
        <is>
          <t>VÄSTERNORRLANDS LÄN</t>
        </is>
      </c>
      <c r="E8128" t="inlineStr">
        <is>
          <t>SUNDSVALL</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11296-2023</t>
        </is>
      </c>
      <c r="B8129" s="1" t="n">
        <v>44992</v>
      </c>
      <c r="C8129" s="1" t="n">
        <v>45657</v>
      </c>
      <c r="D8129" t="inlineStr">
        <is>
          <t>VÄSTERNORRLANDS LÄN</t>
        </is>
      </c>
      <c r="E8129" t="inlineStr">
        <is>
          <t>SUNDSVALL</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11294-2023</t>
        </is>
      </c>
      <c r="B8130" s="1" t="n">
        <v>44992</v>
      </c>
      <c r="C8130" s="1" t="n">
        <v>45657</v>
      </c>
      <c r="D8130" t="inlineStr">
        <is>
          <t>VÄSTERNORRLANDS LÄN</t>
        </is>
      </c>
      <c r="E8130" t="inlineStr">
        <is>
          <t>SUNDSVALL</t>
        </is>
      </c>
      <c r="G8130" t="n">
        <v>13.6</v>
      </c>
      <c r="H8130" t="n">
        <v>0</v>
      </c>
      <c r="I8130" t="n">
        <v>0</v>
      </c>
      <c r="J8130" t="n">
        <v>0</v>
      </c>
      <c r="K8130" t="n">
        <v>0</v>
      </c>
      <c r="L8130" t="n">
        <v>0</v>
      </c>
      <c r="M8130" t="n">
        <v>0</v>
      </c>
      <c r="N8130" t="n">
        <v>0</v>
      </c>
      <c r="O8130" t="n">
        <v>0</v>
      </c>
      <c r="P8130" t="n">
        <v>0</v>
      </c>
      <c r="Q8130" t="n">
        <v>0</v>
      </c>
      <c r="R8130" s="2" t="inlineStr"/>
    </row>
    <row r="8131" ht="15" customHeight="1">
      <c r="A8131" t="inlineStr">
        <is>
          <t>A 11724-2023</t>
        </is>
      </c>
      <c r="B8131" s="1" t="n">
        <v>44992</v>
      </c>
      <c r="C8131" s="1" t="n">
        <v>45657</v>
      </c>
      <c r="D8131" t="inlineStr">
        <is>
          <t>VÄSTERNORRLANDS LÄN</t>
        </is>
      </c>
      <c r="E8131" t="inlineStr">
        <is>
          <t>ÖRNSKÖLDSVIK</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11300-2023</t>
        </is>
      </c>
      <c r="B8132" s="1" t="n">
        <v>44993</v>
      </c>
      <c r="C8132" s="1" t="n">
        <v>45657</v>
      </c>
      <c r="D8132" t="inlineStr">
        <is>
          <t>VÄSTERNORRLANDS LÄN</t>
        </is>
      </c>
      <c r="E8132" t="inlineStr">
        <is>
          <t>ÅNGE</t>
        </is>
      </c>
      <c r="F8132" t="inlineStr">
        <is>
          <t>SCA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11309-2023</t>
        </is>
      </c>
      <c r="B8133" s="1" t="n">
        <v>44993</v>
      </c>
      <c r="C8133" s="1" t="n">
        <v>45657</v>
      </c>
      <c r="D8133" t="inlineStr">
        <is>
          <t>VÄSTERNORRLANDS LÄN</t>
        </is>
      </c>
      <c r="E8133" t="inlineStr">
        <is>
          <t>ÅNGE</t>
        </is>
      </c>
      <c r="F8133" t="inlineStr">
        <is>
          <t>SCA</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11529-2023</t>
        </is>
      </c>
      <c r="B8134" s="1" t="n">
        <v>44993</v>
      </c>
      <c r="C8134" s="1" t="n">
        <v>45657</v>
      </c>
      <c r="D8134" t="inlineStr">
        <is>
          <t>VÄSTERNORRLANDS LÄN</t>
        </is>
      </c>
      <c r="E8134" t="inlineStr">
        <is>
          <t>ÅNGE</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11299-2023</t>
        </is>
      </c>
      <c r="B8135" s="1" t="n">
        <v>44993</v>
      </c>
      <c r="C8135" s="1" t="n">
        <v>45657</v>
      </c>
      <c r="D8135" t="inlineStr">
        <is>
          <t>VÄSTERNORRLANDS LÄN</t>
        </is>
      </c>
      <c r="E8135" t="inlineStr">
        <is>
          <t>ÅNGE</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11308-2023</t>
        </is>
      </c>
      <c r="B8136" s="1" t="n">
        <v>44993</v>
      </c>
      <c r="C8136" s="1" t="n">
        <v>45657</v>
      </c>
      <c r="D8136" t="inlineStr">
        <is>
          <t>VÄSTERNORRLANDS LÄN</t>
        </is>
      </c>
      <c r="E8136" t="inlineStr">
        <is>
          <t>HÄRNÖSAND</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11307-2023</t>
        </is>
      </c>
      <c r="B8137" s="1" t="n">
        <v>44993</v>
      </c>
      <c r="C8137" s="1" t="n">
        <v>45657</v>
      </c>
      <c r="D8137" t="inlineStr">
        <is>
          <t>VÄSTERNORRLANDS LÄN</t>
        </is>
      </c>
      <c r="E8137" t="inlineStr">
        <is>
          <t>HÄRNÖSAND</t>
        </is>
      </c>
      <c r="F8137" t="inlineStr">
        <is>
          <t>SCA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11301-2023</t>
        </is>
      </c>
      <c r="B8138" s="1" t="n">
        <v>44993</v>
      </c>
      <c r="C8138" s="1" t="n">
        <v>45657</v>
      </c>
      <c r="D8138" t="inlineStr">
        <is>
          <t>VÄSTERNORRLANDS LÄN</t>
        </is>
      </c>
      <c r="E8138" t="inlineStr">
        <is>
          <t>SOLLEFTEÅ</t>
        </is>
      </c>
      <c r="F8138" t="inlineStr">
        <is>
          <t>SCA</t>
        </is>
      </c>
      <c r="G8138" t="n">
        <v>19.9</v>
      </c>
      <c r="H8138" t="n">
        <v>0</v>
      </c>
      <c r="I8138" t="n">
        <v>0</v>
      </c>
      <c r="J8138" t="n">
        <v>0</v>
      </c>
      <c r="K8138" t="n">
        <v>0</v>
      </c>
      <c r="L8138" t="n">
        <v>0</v>
      </c>
      <c r="M8138" t="n">
        <v>0</v>
      </c>
      <c r="N8138" t="n">
        <v>0</v>
      </c>
      <c r="O8138" t="n">
        <v>0</v>
      </c>
      <c r="P8138" t="n">
        <v>0</v>
      </c>
      <c r="Q8138" t="n">
        <v>0</v>
      </c>
      <c r="R8138" s="2" t="inlineStr"/>
    </row>
    <row r="8139" ht="15" customHeight="1">
      <c r="A8139" t="inlineStr">
        <is>
          <t>A 11306-2023</t>
        </is>
      </c>
      <c r="B8139" s="1" t="n">
        <v>44993</v>
      </c>
      <c r="C8139" s="1" t="n">
        <v>45657</v>
      </c>
      <c r="D8139" t="inlineStr">
        <is>
          <t>VÄSTERNORRLANDS LÄN</t>
        </is>
      </c>
      <c r="E8139" t="inlineStr">
        <is>
          <t>SOLLEFTEÅ</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11310-2023</t>
        </is>
      </c>
      <c r="B8140" s="1" t="n">
        <v>44993</v>
      </c>
      <c r="C8140" s="1" t="n">
        <v>45657</v>
      </c>
      <c r="D8140" t="inlineStr">
        <is>
          <t>VÄSTERNORRLANDS LÄN</t>
        </is>
      </c>
      <c r="E8140" t="inlineStr">
        <is>
          <t>ÅNGE</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11531-2023</t>
        </is>
      </c>
      <c r="B8141" s="1" t="n">
        <v>44993</v>
      </c>
      <c r="C8141" s="1" t="n">
        <v>45657</v>
      </c>
      <c r="D8141" t="inlineStr">
        <is>
          <t>VÄSTERNORRLANDS LÄN</t>
        </is>
      </c>
      <c r="E8141" t="inlineStr">
        <is>
          <t>ÅNGE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11532-2023</t>
        </is>
      </c>
      <c r="B8142" s="1" t="n">
        <v>44993</v>
      </c>
      <c r="C8142" s="1" t="n">
        <v>45657</v>
      </c>
      <c r="D8142" t="inlineStr">
        <is>
          <t>VÄSTERNORRLANDS LÄN</t>
        </is>
      </c>
      <c r="E8142" t="inlineStr">
        <is>
          <t>ÅNGE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11551-2023</t>
        </is>
      </c>
      <c r="B8143" s="1" t="n">
        <v>44993</v>
      </c>
      <c r="C8143" s="1" t="n">
        <v>45657</v>
      </c>
      <c r="D8143" t="inlineStr">
        <is>
          <t>VÄSTERNORRLANDS LÄN</t>
        </is>
      </c>
      <c r="E8143" t="inlineStr">
        <is>
          <t>SOLLEFTEÅ</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11555-2023</t>
        </is>
      </c>
      <c r="B8144" s="1" t="n">
        <v>44993</v>
      </c>
      <c r="C8144" s="1" t="n">
        <v>45657</v>
      </c>
      <c r="D8144" t="inlineStr">
        <is>
          <t>VÄSTERNORRLANDS LÄN</t>
        </is>
      </c>
      <c r="E8144" t="inlineStr">
        <is>
          <t>SOLLEFTEÅ</t>
        </is>
      </c>
      <c r="F8144" t="inlineStr">
        <is>
          <t>SCA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11554-2023</t>
        </is>
      </c>
      <c r="B8145" s="1" t="n">
        <v>44993</v>
      </c>
      <c r="C8145" s="1" t="n">
        <v>45657</v>
      </c>
      <c r="D8145" t="inlineStr">
        <is>
          <t>VÄSTERNORRLANDS LÄN</t>
        </is>
      </c>
      <c r="E8145" t="inlineStr">
        <is>
          <t>SOLLEFTEÅ</t>
        </is>
      </c>
      <c r="F8145" t="inlineStr">
        <is>
          <t>SCA</t>
        </is>
      </c>
      <c r="G8145" t="n">
        <v>23.1</v>
      </c>
      <c r="H8145" t="n">
        <v>0</v>
      </c>
      <c r="I8145" t="n">
        <v>0</v>
      </c>
      <c r="J8145" t="n">
        <v>0</v>
      </c>
      <c r="K8145" t="n">
        <v>0</v>
      </c>
      <c r="L8145" t="n">
        <v>0</v>
      </c>
      <c r="M8145" t="n">
        <v>0</v>
      </c>
      <c r="N8145" t="n">
        <v>0</v>
      </c>
      <c r="O8145" t="n">
        <v>0</v>
      </c>
      <c r="P8145" t="n">
        <v>0</v>
      </c>
      <c r="Q8145" t="n">
        <v>0</v>
      </c>
      <c r="R8145" s="2" t="inlineStr"/>
    </row>
    <row r="8146" ht="15" customHeight="1">
      <c r="A8146" t="inlineStr">
        <is>
          <t>A 11831-2023</t>
        </is>
      </c>
      <c r="B8146" s="1" t="n">
        <v>44994</v>
      </c>
      <c r="C8146" s="1" t="n">
        <v>45657</v>
      </c>
      <c r="D8146" t="inlineStr">
        <is>
          <t>VÄSTERNORRLANDS LÄN</t>
        </is>
      </c>
      <c r="E8146" t="inlineStr">
        <is>
          <t>SOLLEFTEÅ</t>
        </is>
      </c>
      <c r="F8146" t="inlineStr">
        <is>
          <t>SCA</t>
        </is>
      </c>
      <c r="G8146" t="n">
        <v>14.8</v>
      </c>
      <c r="H8146" t="n">
        <v>0</v>
      </c>
      <c r="I8146" t="n">
        <v>0</v>
      </c>
      <c r="J8146" t="n">
        <v>0</v>
      </c>
      <c r="K8146" t="n">
        <v>0</v>
      </c>
      <c r="L8146" t="n">
        <v>0</v>
      </c>
      <c r="M8146" t="n">
        <v>0</v>
      </c>
      <c r="N8146" t="n">
        <v>0</v>
      </c>
      <c r="O8146" t="n">
        <v>0</v>
      </c>
      <c r="P8146" t="n">
        <v>0</v>
      </c>
      <c r="Q8146" t="n">
        <v>0</v>
      </c>
      <c r="R8146" s="2" t="inlineStr"/>
    </row>
    <row r="8147" ht="15" customHeight="1">
      <c r="A8147" t="inlineStr">
        <is>
          <t>A 11772-2023</t>
        </is>
      </c>
      <c r="B8147" s="1" t="n">
        <v>44994</v>
      </c>
      <c r="C8147" s="1" t="n">
        <v>45657</v>
      </c>
      <c r="D8147" t="inlineStr">
        <is>
          <t>VÄSTERNORRLANDS LÄN</t>
        </is>
      </c>
      <c r="E8147" t="inlineStr">
        <is>
          <t>SUNDSVALL</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12107-2023</t>
        </is>
      </c>
      <c r="B8148" s="1" t="n">
        <v>44995</v>
      </c>
      <c r="C8148" s="1" t="n">
        <v>45657</v>
      </c>
      <c r="D8148" t="inlineStr">
        <is>
          <t>VÄSTERNORRLANDS LÄN</t>
        </is>
      </c>
      <c r="E8148" t="inlineStr">
        <is>
          <t>SOLLEFTEÅ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12135-2023</t>
        </is>
      </c>
      <c r="B8149" s="1" t="n">
        <v>44995</v>
      </c>
      <c r="C8149" s="1" t="n">
        <v>45657</v>
      </c>
      <c r="D8149" t="inlineStr">
        <is>
          <t>VÄSTERNORRLANDS LÄN</t>
        </is>
      </c>
      <c r="E8149" t="inlineStr">
        <is>
          <t>SOLLEFTEÅ</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12038-2023</t>
        </is>
      </c>
      <c r="B8150" s="1" t="n">
        <v>44996</v>
      </c>
      <c r="C8150" s="1" t="n">
        <v>45657</v>
      </c>
      <c r="D8150" t="inlineStr">
        <is>
          <t>VÄSTERNORRLANDS LÄN</t>
        </is>
      </c>
      <c r="E8150" t="inlineStr">
        <is>
          <t>SOLLEFTEÅ</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12053-2023</t>
        </is>
      </c>
      <c r="B8151" s="1" t="n">
        <v>44996</v>
      </c>
      <c r="C8151" s="1" t="n">
        <v>45657</v>
      </c>
      <c r="D8151" t="inlineStr">
        <is>
          <t>VÄSTERNORRLANDS LÄN</t>
        </is>
      </c>
      <c r="E8151" t="inlineStr">
        <is>
          <t>SOLLEFTEÅ</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12129-2023</t>
        </is>
      </c>
      <c r="B8152" s="1" t="n">
        <v>44995</v>
      </c>
      <c r="C8152" s="1" t="n">
        <v>45657</v>
      </c>
      <c r="D8152" t="inlineStr">
        <is>
          <t>VÄSTERNORRLANDS LÄN</t>
        </is>
      </c>
      <c r="E8152" t="inlineStr">
        <is>
          <t>SOLLEFTEÅ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12164-2023</t>
        </is>
      </c>
      <c r="B8153" s="1" t="n">
        <v>44995</v>
      </c>
      <c r="C8153" s="1" t="n">
        <v>45657</v>
      </c>
      <c r="D8153" t="inlineStr">
        <is>
          <t>VÄSTERNORRLANDS LÄN</t>
        </is>
      </c>
      <c r="E8153" t="inlineStr">
        <is>
          <t>SOLLEFTEÅ</t>
        </is>
      </c>
      <c r="G8153" t="n">
        <v>18.3</v>
      </c>
      <c r="H8153" t="n">
        <v>0</v>
      </c>
      <c r="I8153" t="n">
        <v>0</v>
      </c>
      <c r="J8153" t="n">
        <v>0</v>
      </c>
      <c r="K8153" t="n">
        <v>0</v>
      </c>
      <c r="L8153" t="n">
        <v>0</v>
      </c>
      <c r="M8153" t="n">
        <v>0</v>
      </c>
      <c r="N8153" t="n">
        <v>0</v>
      </c>
      <c r="O8153" t="n">
        <v>0</v>
      </c>
      <c r="P8153" t="n">
        <v>0</v>
      </c>
      <c r="Q8153" t="n">
        <v>0</v>
      </c>
      <c r="R8153" s="2" t="inlineStr"/>
    </row>
    <row r="8154" ht="15" customHeight="1">
      <c r="A8154" t="inlineStr">
        <is>
          <t>A 12311-2023</t>
        </is>
      </c>
      <c r="B8154" s="1" t="n">
        <v>44995</v>
      </c>
      <c r="C8154" s="1" t="n">
        <v>45657</v>
      </c>
      <c r="D8154" t="inlineStr">
        <is>
          <t>VÄSTERNORRLANDS LÄN</t>
        </is>
      </c>
      <c r="E8154" t="inlineStr">
        <is>
          <t>SOLLEFTEÅ</t>
        </is>
      </c>
      <c r="G8154" t="n">
        <v>16.8</v>
      </c>
      <c r="H8154" t="n">
        <v>0</v>
      </c>
      <c r="I8154" t="n">
        <v>0</v>
      </c>
      <c r="J8154" t="n">
        <v>0</v>
      </c>
      <c r="K8154" t="n">
        <v>0</v>
      </c>
      <c r="L8154" t="n">
        <v>0</v>
      </c>
      <c r="M8154" t="n">
        <v>0</v>
      </c>
      <c r="N8154" t="n">
        <v>0</v>
      </c>
      <c r="O8154" t="n">
        <v>0</v>
      </c>
      <c r="P8154" t="n">
        <v>0</v>
      </c>
      <c r="Q8154" t="n">
        <v>0</v>
      </c>
      <c r="R8154" s="2" t="inlineStr"/>
    </row>
    <row r="8155" ht="15" customHeight="1">
      <c r="A8155" t="inlineStr">
        <is>
          <t>A 12054-2023</t>
        </is>
      </c>
      <c r="B8155" s="1" t="n">
        <v>44996</v>
      </c>
      <c r="C8155" s="1" t="n">
        <v>45657</v>
      </c>
      <c r="D8155" t="inlineStr">
        <is>
          <t>VÄSTERNORRLANDS LÄN</t>
        </is>
      </c>
      <c r="E8155" t="inlineStr">
        <is>
          <t>SOLLEFTEÅ</t>
        </is>
      </c>
      <c r="F8155" t="inlineStr">
        <is>
          <t>SCA</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12037-2023</t>
        </is>
      </c>
      <c r="B8156" s="1" t="n">
        <v>44995</v>
      </c>
      <c r="C8156" s="1" t="n">
        <v>45657</v>
      </c>
      <c r="D8156" t="inlineStr">
        <is>
          <t>VÄSTERNORRLANDS LÄN</t>
        </is>
      </c>
      <c r="E8156" t="inlineStr">
        <is>
          <t>SUNDSVALL</t>
        </is>
      </c>
      <c r="F8156" t="inlineStr">
        <is>
          <t>SCA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12045-2023</t>
        </is>
      </c>
      <c r="B8157" s="1" t="n">
        <v>44996</v>
      </c>
      <c r="C8157" s="1" t="n">
        <v>45657</v>
      </c>
      <c r="D8157" t="inlineStr">
        <is>
          <t>VÄSTERNORRLANDS LÄN</t>
        </is>
      </c>
      <c r="E8157" t="inlineStr">
        <is>
          <t>SOLLEFTEÅ</t>
        </is>
      </c>
      <c r="F8157" t="inlineStr">
        <is>
          <t>SCA</t>
        </is>
      </c>
      <c r="G8157" t="n">
        <v>16.4</v>
      </c>
      <c r="H8157" t="n">
        <v>0</v>
      </c>
      <c r="I8157" t="n">
        <v>0</v>
      </c>
      <c r="J8157" t="n">
        <v>0</v>
      </c>
      <c r="K8157" t="n">
        <v>0</v>
      </c>
      <c r="L8157" t="n">
        <v>0</v>
      </c>
      <c r="M8157" t="n">
        <v>0</v>
      </c>
      <c r="N8157" t="n">
        <v>0</v>
      </c>
      <c r="O8157" t="n">
        <v>0</v>
      </c>
      <c r="P8157" t="n">
        <v>0</v>
      </c>
      <c r="Q8157" t="n">
        <v>0</v>
      </c>
      <c r="R8157" s="2" t="inlineStr"/>
    </row>
    <row r="8158" ht="15" customHeight="1">
      <c r="A8158" t="inlineStr">
        <is>
          <t>A 12060-2023</t>
        </is>
      </c>
      <c r="B8158" s="1" t="n">
        <v>44996</v>
      </c>
      <c r="C8158" s="1" t="n">
        <v>45657</v>
      </c>
      <c r="D8158" t="inlineStr">
        <is>
          <t>VÄSTERNORRLANDS LÄN</t>
        </is>
      </c>
      <c r="E8158" t="inlineStr">
        <is>
          <t>SUNDSVALL</t>
        </is>
      </c>
      <c r="F8158" t="inlineStr">
        <is>
          <t>SCA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12429-2023</t>
        </is>
      </c>
      <c r="B8159" s="1" t="n">
        <v>44998</v>
      </c>
      <c r="C8159" s="1" t="n">
        <v>45657</v>
      </c>
      <c r="D8159" t="inlineStr">
        <is>
          <t>VÄSTERNORRLANDS LÄN</t>
        </is>
      </c>
      <c r="E8159" t="inlineStr">
        <is>
          <t>SOLLEFTEÅ</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12371-2023</t>
        </is>
      </c>
      <c r="B8160" s="1" t="n">
        <v>44998</v>
      </c>
      <c r="C8160" s="1" t="n">
        <v>45657</v>
      </c>
      <c r="D8160" t="inlineStr">
        <is>
          <t>VÄSTERNORRLANDS LÄN</t>
        </is>
      </c>
      <c r="E8160" t="inlineStr">
        <is>
          <t>KRAMFORS</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12338-2023</t>
        </is>
      </c>
      <c r="B8161" s="1" t="n">
        <v>44998</v>
      </c>
      <c r="C8161" s="1" t="n">
        <v>45657</v>
      </c>
      <c r="D8161" t="inlineStr">
        <is>
          <t>VÄSTERNORRLANDS LÄN</t>
        </is>
      </c>
      <c r="E8161" t="inlineStr">
        <is>
          <t>KRAMFORS</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12309-2023</t>
        </is>
      </c>
      <c r="B8162" s="1" t="n">
        <v>44999</v>
      </c>
      <c r="C8162" s="1" t="n">
        <v>45657</v>
      </c>
      <c r="D8162" t="inlineStr">
        <is>
          <t>VÄSTERNORRLANDS LÄN</t>
        </is>
      </c>
      <c r="E8162" t="inlineStr">
        <is>
          <t>SUNDSVALL</t>
        </is>
      </c>
      <c r="F8162" t="inlineStr">
        <is>
          <t>Naturvårdsverket</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12333-2023</t>
        </is>
      </c>
      <c r="B8163" s="1" t="n">
        <v>44999</v>
      </c>
      <c r="C8163" s="1" t="n">
        <v>45657</v>
      </c>
      <c r="D8163" t="inlineStr">
        <is>
          <t>VÄSTERNORRLANDS LÄN</t>
        </is>
      </c>
      <c r="E8163" t="inlineStr">
        <is>
          <t>SUNDSVALL</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12779-2023</t>
        </is>
      </c>
      <c r="B8164" s="1" t="n">
        <v>44999</v>
      </c>
      <c r="C8164" s="1" t="n">
        <v>45657</v>
      </c>
      <c r="D8164" t="inlineStr">
        <is>
          <t>VÄSTERNORRLANDS LÄN</t>
        </is>
      </c>
      <c r="E8164" t="inlineStr">
        <is>
          <t>KRAMFORS</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12777-2023</t>
        </is>
      </c>
      <c r="B8165" s="1" t="n">
        <v>44999</v>
      </c>
      <c r="C8165" s="1" t="n">
        <v>45657</v>
      </c>
      <c r="D8165" t="inlineStr">
        <is>
          <t>VÄSTERNORRLANDS LÄN</t>
        </is>
      </c>
      <c r="E8165" t="inlineStr">
        <is>
          <t>KRAMFORS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12515-2023</t>
        </is>
      </c>
      <c r="B8166" s="1" t="n">
        <v>45000</v>
      </c>
      <c r="C8166" s="1" t="n">
        <v>45657</v>
      </c>
      <c r="D8166" t="inlineStr">
        <is>
          <t>VÄSTERNORRLANDS LÄN</t>
        </is>
      </c>
      <c r="E8166" t="inlineStr">
        <is>
          <t>SOLLEFTEÅ</t>
        </is>
      </c>
      <c r="F8166" t="inlineStr">
        <is>
          <t>SCA</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12525-2023</t>
        </is>
      </c>
      <c r="B8167" s="1" t="n">
        <v>45000</v>
      </c>
      <c r="C8167" s="1" t="n">
        <v>45657</v>
      </c>
      <c r="D8167" t="inlineStr">
        <is>
          <t>VÄSTERNORRLANDS LÄN</t>
        </is>
      </c>
      <c r="E8167" t="inlineStr">
        <is>
          <t>SUNDSVALL</t>
        </is>
      </c>
      <c r="F8167" t="inlineStr">
        <is>
          <t>SCA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12530-2023</t>
        </is>
      </c>
      <c r="B8168" s="1" t="n">
        <v>45000</v>
      </c>
      <c r="C8168" s="1" t="n">
        <v>45657</v>
      </c>
      <c r="D8168" t="inlineStr">
        <is>
          <t>VÄSTERNORRLANDS LÄN</t>
        </is>
      </c>
      <c r="E8168" t="inlineStr">
        <is>
          <t>SUNDSVALL</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12534-2023</t>
        </is>
      </c>
      <c r="B8169" s="1" t="n">
        <v>45000</v>
      </c>
      <c r="C8169" s="1" t="n">
        <v>45657</v>
      </c>
      <c r="D8169" t="inlineStr">
        <is>
          <t>VÄSTERNORRLANDS LÄN</t>
        </is>
      </c>
      <c r="E8169" t="inlineStr">
        <is>
          <t>HÄRNÖSAND</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12538-2023</t>
        </is>
      </c>
      <c r="B8170" s="1" t="n">
        <v>45000</v>
      </c>
      <c r="C8170" s="1" t="n">
        <v>45657</v>
      </c>
      <c r="D8170" t="inlineStr">
        <is>
          <t>VÄSTERNORRLANDS LÄN</t>
        </is>
      </c>
      <c r="E8170" t="inlineStr">
        <is>
          <t>SUNDSVALL</t>
        </is>
      </c>
      <c r="F8170" t="inlineStr">
        <is>
          <t>SCA</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12543-2023</t>
        </is>
      </c>
      <c r="B8171" s="1" t="n">
        <v>45000</v>
      </c>
      <c r="C8171" s="1" t="n">
        <v>45657</v>
      </c>
      <c r="D8171" t="inlineStr">
        <is>
          <t>VÄSTERNORRLANDS LÄN</t>
        </is>
      </c>
      <c r="E8171" t="inlineStr">
        <is>
          <t>HÄRNÖSAND</t>
        </is>
      </c>
      <c r="F8171" t="inlineStr">
        <is>
          <t>SCA</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12726-2023</t>
        </is>
      </c>
      <c r="B8172" s="1" t="n">
        <v>45000</v>
      </c>
      <c r="C8172" s="1" t="n">
        <v>45657</v>
      </c>
      <c r="D8172" t="inlineStr">
        <is>
          <t>VÄSTERNORRLANDS LÄN</t>
        </is>
      </c>
      <c r="E8172" t="inlineStr">
        <is>
          <t>SOLLEFTEÅ</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12512-2023</t>
        </is>
      </c>
      <c r="B8173" s="1" t="n">
        <v>45000</v>
      </c>
      <c r="C8173" s="1" t="n">
        <v>45657</v>
      </c>
      <c r="D8173" t="inlineStr">
        <is>
          <t>VÄSTERNORRLANDS LÄN</t>
        </is>
      </c>
      <c r="E8173" t="inlineStr">
        <is>
          <t>SOLLEFTEÅ</t>
        </is>
      </c>
      <c r="F8173" t="inlineStr">
        <is>
          <t>SCA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12519-2023</t>
        </is>
      </c>
      <c r="B8174" s="1" t="n">
        <v>45000</v>
      </c>
      <c r="C8174" s="1" t="n">
        <v>45657</v>
      </c>
      <c r="D8174" t="inlineStr">
        <is>
          <t>VÄSTERNORRLANDS LÄN</t>
        </is>
      </c>
      <c r="E8174" t="inlineStr">
        <is>
          <t>HÄRNÖSAND</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12529-2023</t>
        </is>
      </c>
      <c r="B8175" s="1" t="n">
        <v>45000</v>
      </c>
      <c r="C8175" s="1" t="n">
        <v>45657</v>
      </c>
      <c r="D8175" t="inlineStr">
        <is>
          <t>VÄSTERNORRLANDS LÄN</t>
        </is>
      </c>
      <c r="E8175" t="inlineStr">
        <is>
          <t>SUNDSVALL</t>
        </is>
      </c>
      <c r="F8175" t="inlineStr">
        <is>
          <t>SCA</t>
        </is>
      </c>
      <c r="G8175" t="n">
        <v>22.3</v>
      </c>
      <c r="H8175" t="n">
        <v>0</v>
      </c>
      <c r="I8175" t="n">
        <v>0</v>
      </c>
      <c r="J8175" t="n">
        <v>0</v>
      </c>
      <c r="K8175" t="n">
        <v>0</v>
      </c>
      <c r="L8175" t="n">
        <v>0</v>
      </c>
      <c r="M8175" t="n">
        <v>0</v>
      </c>
      <c r="N8175" t="n">
        <v>0</v>
      </c>
      <c r="O8175" t="n">
        <v>0</v>
      </c>
      <c r="P8175" t="n">
        <v>0</v>
      </c>
      <c r="Q8175" t="n">
        <v>0</v>
      </c>
      <c r="R8175" s="2" t="inlineStr"/>
    </row>
    <row r="8176" ht="15" customHeight="1">
      <c r="A8176" t="inlineStr">
        <is>
          <t>A 12533-2023</t>
        </is>
      </c>
      <c r="B8176" s="1" t="n">
        <v>45000</v>
      </c>
      <c r="C8176" s="1" t="n">
        <v>45657</v>
      </c>
      <c r="D8176" t="inlineStr">
        <is>
          <t>VÄSTERNORRLANDS LÄN</t>
        </is>
      </c>
      <c r="E8176" t="inlineStr">
        <is>
          <t>HÄRNÖSAND</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12537-2023</t>
        </is>
      </c>
      <c r="B8177" s="1" t="n">
        <v>45000</v>
      </c>
      <c r="C8177" s="1" t="n">
        <v>45657</v>
      </c>
      <c r="D8177" t="inlineStr">
        <is>
          <t>VÄSTERNORRLANDS LÄN</t>
        </is>
      </c>
      <c r="E8177" t="inlineStr">
        <is>
          <t>SUNDSVALL</t>
        </is>
      </c>
      <c r="F8177" t="inlineStr">
        <is>
          <t>SCA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12541-2023</t>
        </is>
      </c>
      <c r="B8178" s="1" t="n">
        <v>45000</v>
      </c>
      <c r="C8178" s="1" t="n">
        <v>45657</v>
      </c>
      <c r="D8178" t="inlineStr">
        <is>
          <t>VÄSTERNORRLANDS LÄN</t>
        </is>
      </c>
      <c r="E8178" t="inlineStr">
        <is>
          <t>KRAMFORS</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12532-2023</t>
        </is>
      </c>
      <c r="B8179" s="1" t="n">
        <v>45000</v>
      </c>
      <c r="C8179" s="1" t="n">
        <v>45657</v>
      </c>
      <c r="D8179" t="inlineStr">
        <is>
          <t>VÄSTERNORRLANDS LÄN</t>
        </is>
      </c>
      <c r="E8179" t="inlineStr">
        <is>
          <t>SUNDSVALL</t>
        </is>
      </c>
      <c r="F8179" t="inlineStr">
        <is>
          <t>SCA</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12536-2023</t>
        </is>
      </c>
      <c r="B8180" s="1" t="n">
        <v>45000</v>
      </c>
      <c r="C8180" s="1" t="n">
        <v>45657</v>
      </c>
      <c r="D8180" t="inlineStr">
        <is>
          <t>VÄSTERNORRLANDS LÄN</t>
        </is>
      </c>
      <c r="E8180" t="inlineStr">
        <is>
          <t>SOLLEFTEÅ</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12540-2023</t>
        </is>
      </c>
      <c r="B8181" s="1" t="n">
        <v>45000</v>
      </c>
      <c r="C8181" s="1" t="n">
        <v>45657</v>
      </c>
      <c r="D8181" t="inlineStr">
        <is>
          <t>VÄSTERNORRLANDS LÄN</t>
        </is>
      </c>
      <c r="E8181" t="inlineStr">
        <is>
          <t>SOLLEFTEÅ</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12531-2023</t>
        </is>
      </c>
      <c r="B8182" s="1" t="n">
        <v>45000</v>
      </c>
      <c r="C8182" s="1" t="n">
        <v>45657</v>
      </c>
      <c r="D8182" t="inlineStr">
        <is>
          <t>VÄSTERNORRLANDS LÄN</t>
        </is>
      </c>
      <c r="E8182" t="inlineStr">
        <is>
          <t>SUNDSVALL</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12730-2023</t>
        </is>
      </c>
      <c r="B8183" s="1" t="n">
        <v>45000</v>
      </c>
      <c r="C8183" s="1" t="n">
        <v>45657</v>
      </c>
      <c r="D8183" t="inlineStr">
        <is>
          <t>VÄSTERNORRLANDS LÄN</t>
        </is>
      </c>
      <c r="E8183" t="inlineStr">
        <is>
          <t>SOLLEFTEÅ</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12735-2023</t>
        </is>
      </c>
      <c r="B8184" s="1" t="n">
        <v>45000</v>
      </c>
      <c r="C8184" s="1" t="n">
        <v>45657</v>
      </c>
      <c r="D8184" t="inlineStr">
        <is>
          <t>VÄSTERNORRLANDS LÄN</t>
        </is>
      </c>
      <c r="E8184" t="inlineStr">
        <is>
          <t>SOLLEFTEÅ</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12535-2023</t>
        </is>
      </c>
      <c r="B8185" s="1" t="n">
        <v>45000</v>
      </c>
      <c r="C8185" s="1" t="n">
        <v>45657</v>
      </c>
      <c r="D8185" t="inlineStr">
        <is>
          <t>VÄSTERNORRLANDS LÄN</t>
        </is>
      </c>
      <c r="E8185" t="inlineStr">
        <is>
          <t>HÄRNÖSAND</t>
        </is>
      </c>
      <c r="F8185" t="inlineStr">
        <is>
          <t>SCA</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12539-2023</t>
        </is>
      </c>
      <c r="B8186" s="1" t="n">
        <v>45000</v>
      </c>
      <c r="C8186" s="1" t="n">
        <v>45657</v>
      </c>
      <c r="D8186" t="inlineStr">
        <is>
          <t>VÄSTERNORRLANDS LÄN</t>
        </is>
      </c>
      <c r="E8186" t="inlineStr">
        <is>
          <t>SOLLEFTEÅ</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12727-2023</t>
        </is>
      </c>
      <c r="B8187" s="1" t="n">
        <v>45000</v>
      </c>
      <c r="C8187" s="1" t="n">
        <v>45657</v>
      </c>
      <c r="D8187" t="inlineStr">
        <is>
          <t>VÄSTERNORRLANDS LÄN</t>
        </is>
      </c>
      <c r="E8187" t="inlineStr">
        <is>
          <t>SOLLEFTEÅ</t>
        </is>
      </c>
      <c r="G8187" t="n">
        <v>15.7</v>
      </c>
      <c r="H8187" t="n">
        <v>0</v>
      </c>
      <c r="I8187" t="n">
        <v>0</v>
      </c>
      <c r="J8187" t="n">
        <v>0</v>
      </c>
      <c r="K8187" t="n">
        <v>0</v>
      </c>
      <c r="L8187" t="n">
        <v>0</v>
      </c>
      <c r="M8187" t="n">
        <v>0</v>
      </c>
      <c r="N8187" t="n">
        <v>0</v>
      </c>
      <c r="O8187" t="n">
        <v>0</v>
      </c>
      <c r="P8187" t="n">
        <v>0</v>
      </c>
      <c r="Q8187" t="n">
        <v>0</v>
      </c>
      <c r="R8187" s="2" t="inlineStr"/>
    </row>
    <row r="8188" ht="15" customHeight="1">
      <c r="A8188" t="inlineStr">
        <is>
          <t>A 12733-2023</t>
        </is>
      </c>
      <c r="B8188" s="1" t="n">
        <v>45000</v>
      </c>
      <c r="C8188" s="1" t="n">
        <v>45657</v>
      </c>
      <c r="D8188" t="inlineStr">
        <is>
          <t>VÄSTERNORRLANDS LÄN</t>
        </is>
      </c>
      <c r="E8188" t="inlineStr">
        <is>
          <t>SOLLEFTEÅ</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12743-2023</t>
        </is>
      </c>
      <c r="B8189" s="1" t="n">
        <v>45000</v>
      </c>
      <c r="C8189" s="1" t="n">
        <v>45657</v>
      </c>
      <c r="D8189" t="inlineStr">
        <is>
          <t>VÄSTERNORRLANDS LÄN</t>
        </is>
      </c>
      <c r="E8189" t="inlineStr">
        <is>
          <t>SUNDSVALL</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12747-2023</t>
        </is>
      </c>
      <c r="B8190" s="1" t="n">
        <v>45000</v>
      </c>
      <c r="C8190" s="1" t="n">
        <v>45657</v>
      </c>
      <c r="D8190" t="inlineStr">
        <is>
          <t>VÄSTERNORRLANDS LÄN</t>
        </is>
      </c>
      <c r="E8190" t="inlineStr">
        <is>
          <t>SOLLEFTEÅ</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12823-2023</t>
        </is>
      </c>
      <c r="B8191" s="1" t="n">
        <v>45000</v>
      </c>
      <c r="C8191" s="1" t="n">
        <v>45657</v>
      </c>
      <c r="D8191" t="inlineStr">
        <is>
          <t>VÄSTERNORRLANDS LÄN</t>
        </is>
      </c>
      <c r="E8191" t="inlineStr">
        <is>
          <t>ÖRNSKÖLDSVIK</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12745-2023</t>
        </is>
      </c>
      <c r="B8192" s="1" t="n">
        <v>45000</v>
      </c>
      <c r="C8192" s="1" t="n">
        <v>45657</v>
      </c>
      <c r="D8192" t="inlineStr">
        <is>
          <t>VÄSTERNORRLANDS LÄN</t>
        </is>
      </c>
      <c r="E8192" t="inlineStr">
        <is>
          <t>KRAMFORS</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12749-2023</t>
        </is>
      </c>
      <c r="B8193" s="1" t="n">
        <v>45000</v>
      </c>
      <c r="C8193" s="1" t="n">
        <v>45657</v>
      </c>
      <c r="D8193" t="inlineStr">
        <is>
          <t>VÄSTERNORRLANDS LÄN</t>
        </is>
      </c>
      <c r="E8193" t="inlineStr">
        <is>
          <t>ÅNGE</t>
        </is>
      </c>
      <c r="F8193" t="inlineStr">
        <is>
          <t>SCA</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12754-2023</t>
        </is>
      </c>
      <c r="B8194" s="1" t="n">
        <v>45000</v>
      </c>
      <c r="C8194" s="1" t="n">
        <v>45657</v>
      </c>
      <c r="D8194" t="inlineStr">
        <is>
          <t>VÄSTERNORRLANDS LÄN</t>
        </is>
      </c>
      <c r="E8194" t="inlineStr">
        <is>
          <t>KRAMFORS</t>
        </is>
      </c>
      <c r="F8194" t="inlineStr">
        <is>
          <t>SCA</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12734-2023</t>
        </is>
      </c>
      <c r="B8195" s="1" t="n">
        <v>45000</v>
      </c>
      <c r="C8195" s="1" t="n">
        <v>45657</v>
      </c>
      <c r="D8195" t="inlineStr">
        <is>
          <t>VÄSTERNORRLANDS LÄN</t>
        </is>
      </c>
      <c r="E8195" t="inlineStr">
        <is>
          <t>SOLLEFTEÅ</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12744-2023</t>
        </is>
      </c>
      <c r="B8196" s="1" t="n">
        <v>45000</v>
      </c>
      <c r="C8196" s="1" t="n">
        <v>45657</v>
      </c>
      <c r="D8196" t="inlineStr">
        <is>
          <t>VÄSTERNORRLANDS LÄN</t>
        </is>
      </c>
      <c r="E8196" t="inlineStr">
        <is>
          <t>KRAMFORS</t>
        </is>
      </c>
      <c r="F8196" t="inlineStr">
        <is>
          <t>SCA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12748-2023</t>
        </is>
      </c>
      <c r="B8197" s="1" t="n">
        <v>45000</v>
      </c>
      <c r="C8197" s="1" t="n">
        <v>45657</v>
      </c>
      <c r="D8197" t="inlineStr">
        <is>
          <t>VÄSTERNORRLANDS LÄN</t>
        </is>
      </c>
      <c r="E8197" t="inlineStr">
        <is>
          <t>ÅNGE</t>
        </is>
      </c>
      <c r="F8197" t="inlineStr">
        <is>
          <t>SCA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12752-2023</t>
        </is>
      </c>
      <c r="B8198" s="1" t="n">
        <v>45000</v>
      </c>
      <c r="C8198" s="1" t="n">
        <v>45657</v>
      </c>
      <c r="D8198" t="inlineStr">
        <is>
          <t>VÄSTERNORRLANDS LÄN</t>
        </is>
      </c>
      <c r="E8198" t="inlineStr">
        <is>
          <t>SOLLEFTEÅ</t>
        </is>
      </c>
      <c r="F8198" t="inlineStr">
        <is>
          <t>SCA</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12742-2023</t>
        </is>
      </c>
      <c r="B8199" s="1" t="n">
        <v>45000</v>
      </c>
      <c r="C8199" s="1" t="n">
        <v>45657</v>
      </c>
      <c r="D8199" t="inlineStr">
        <is>
          <t>VÄSTERNORRLANDS LÄN</t>
        </is>
      </c>
      <c r="E8199" t="inlineStr">
        <is>
          <t>ÅNGE</t>
        </is>
      </c>
      <c r="F8199" t="inlineStr">
        <is>
          <t>SCA</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12746-2023</t>
        </is>
      </c>
      <c r="B8200" s="1" t="n">
        <v>45000</v>
      </c>
      <c r="C8200" s="1" t="n">
        <v>45657</v>
      </c>
      <c r="D8200" t="inlineStr">
        <is>
          <t>VÄSTERNORRLANDS LÄN</t>
        </is>
      </c>
      <c r="E8200" t="inlineStr">
        <is>
          <t>SOLLEFTEÅ</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12755-2023</t>
        </is>
      </c>
      <c r="B8201" s="1" t="n">
        <v>45000</v>
      </c>
      <c r="C8201" s="1" t="n">
        <v>45657</v>
      </c>
      <c r="D8201" t="inlineStr">
        <is>
          <t>VÄSTERNORRLANDS LÄN</t>
        </is>
      </c>
      <c r="E8201" t="inlineStr">
        <is>
          <t>SOLLEFTEÅ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12820-2023</t>
        </is>
      </c>
      <c r="B8202" s="1" t="n">
        <v>45000</v>
      </c>
      <c r="C8202" s="1" t="n">
        <v>45657</v>
      </c>
      <c r="D8202" t="inlineStr">
        <is>
          <t>VÄSTERNORRLANDS LÄN</t>
        </is>
      </c>
      <c r="E8202" t="inlineStr">
        <is>
          <t>SOLLEFTEÅ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12972-2023</t>
        </is>
      </c>
      <c r="B8203" s="1" t="n">
        <v>45001</v>
      </c>
      <c r="C8203" s="1" t="n">
        <v>45657</v>
      </c>
      <c r="D8203" t="inlineStr">
        <is>
          <t>VÄSTERNORRLANDS LÄN</t>
        </is>
      </c>
      <c r="E8203" t="inlineStr">
        <is>
          <t>SOLLEFTEÅ</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13066-2023</t>
        </is>
      </c>
      <c r="B8204" s="1" t="n">
        <v>45001</v>
      </c>
      <c r="C8204" s="1" t="n">
        <v>45657</v>
      </c>
      <c r="D8204" t="inlineStr">
        <is>
          <t>VÄSTERNORRLANDS LÄN</t>
        </is>
      </c>
      <c r="E8204" t="inlineStr">
        <is>
          <t>SOLLEFTEÅ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13050-2023</t>
        </is>
      </c>
      <c r="B8205" s="1" t="n">
        <v>45001</v>
      </c>
      <c r="C8205" s="1" t="n">
        <v>45657</v>
      </c>
      <c r="D8205" t="inlineStr">
        <is>
          <t>VÄSTERNORRLANDS LÄN</t>
        </is>
      </c>
      <c r="E8205" t="inlineStr">
        <is>
          <t>SOLLEFTEÅ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12980-2023</t>
        </is>
      </c>
      <c r="B8206" s="1" t="n">
        <v>45002</v>
      </c>
      <c r="C8206" s="1" t="n">
        <v>45657</v>
      </c>
      <c r="D8206" t="inlineStr">
        <is>
          <t>VÄSTERNORRLANDS LÄN</t>
        </is>
      </c>
      <c r="E8206" t="inlineStr">
        <is>
          <t>ÖRNSKÖLDSVIK</t>
        </is>
      </c>
      <c r="F8206" t="inlineStr">
        <is>
          <t>SCA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12988-2023</t>
        </is>
      </c>
      <c r="B8207" s="1" t="n">
        <v>45002</v>
      </c>
      <c r="C8207" s="1" t="n">
        <v>45657</v>
      </c>
      <c r="D8207" t="inlineStr">
        <is>
          <t>VÄSTERNORRLANDS LÄN</t>
        </is>
      </c>
      <c r="E8207" t="inlineStr">
        <is>
          <t>SUNDSVALL</t>
        </is>
      </c>
      <c r="F8207" t="inlineStr">
        <is>
          <t>SCA</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12996-2023</t>
        </is>
      </c>
      <c r="B8208" s="1" t="n">
        <v>45002</v>
      </c>
      <c r="C8208" s="1" t="n">
        <v>45657</v>
      </c>
      <c r="D8208" t="inlineStr">
        <is>
          <t>VÄSTERNORRLANDS LÄN</t>
        </is>
      </c>
      <c r="E8208" t="inlineStr">
        <is>
          <t>SOLLEFTEÅ</t>
        </is>
      </c>
      <c r="F8208" t="inlineStr">
        <is>
          <t>SCA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13009-2023</t>
        </is>
      </c>
      <c r="B8209" s="1" t="n">
        <v>45002</v>
      </c>
      <c r="C8209" s="1" t="n">
        <v>45657</v>
      </c>
      <c r="D8209" t="inlineStr">
        <is>
          <t>VÄSTERNORRLANDS LÄN</t>
        </is>
      </c>
      <c r="E8209" t="inlineStr">
        <is>
          <t>SOLLEFTEÅ</t>
        </is>
      </c>
      <c r="F8209" t="inlineStr">
        <is>
          <t>SCA</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13080-2023</t>
        </is>
      </c>
      <c r="B8210" s="1" t="n">
        <v>45002</v>
      </c>
      <c r="C8210" s="1" t="n">
        <v>45657</v>
      </c>
      <c r="D8210" t="inlineStr">
        <is>
          <t>VÄSTERNORRLANDS LÄN</t>
        </is>
      </c>
      <c r="E8210" t="inlineStr">
        <is>
          <t>SUNDSVALL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12981-2023</t>
        </is>
      </c>
      <c r="B8211" s="1" t="n">
        <v>45002</v>
      </c>
      <c r="C8211" s="1" t="n">
        <v>45657</v>
      </c>
      <c r="D8211" t="inlineStr">
        <is>
          <t>VÄSTERNORRLANDS LÄN</t>
        </is>
      </c>
      <c r="E8211" t="inlineStr">
        <is>
          <t>ÖRNSKÖLDSVIK</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12989-2023</t>
        </is>
      </c>
      <c r="B8212" s="1" t="n">
        <v>45002</v>
      </c>
      <c r="C8212" s="1" t="n">
        <v>45657</v>
      </c>
      <c r="D8212" t="inlineStr">
        <is>
          <t>VÄSTERNORRLANDS LÄN</t>
        </is>
      </c>
      <c r="E8212" t="inlineStr">
        <is>
          <t>SUNDSVALL</t>
        </is>
      </c>
      <c r="F8212" t="inlineStr">
        <is>
          <t>SCA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12997-2023</t>
        </is>
      </c>
      <c r="B8213" s="1" t="n">
        <v>45002</v>
      </c>
      <c r="C8213" s="1" t="n">
        <v>45657</v>
      </c>
      <c r="D8213" t="inlineStr">
        <is>
          <t>VÄSTERNORRLANDS LÄN</t>
        </is>
      </c>
      <c r="E8213" t="inlineStr">
        <is>
          <t>ÅNGE</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12987-2023</t>
        </is>
      </c>
      <c r="B8214" s="1" t="n">
        <v>45002</v>
      </c>
      <c r="C8214" s="1" t="n">
        <v>45657</v>
      </c>
      <c r="D8214" t="inlineStr">
        <is>
          <t>VÄSTERNORRLANDS LÄN</t>
        </is>
      </c>
      <c r="E8214" t="inlineStr">
        <is>
          <t>ÅNGE</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12991-2023</t>
        </is>
      </c>
      <c r="B8215" s="1" t="n">
        <v>45002</v>
      </c>
      <c r="C8215" s="1" t="n">
        <v>45657</v>
      </c>
      <c r="D8215" t="inlineStr">
        <is>
          <t>VÄSTERNORRLANDS LÄN</t>
        </is>
      </c>
      <c r="E8215" t="inlineStr">
        <is>
          <t>SUNDSVALL</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12999-2023</t>
        </is>
      </c>
      <c r="B8216" s="1" t="n">
        <v>45002</v>
      </c>
      <c r="C8216" s="1" t="n">
        <v>45657</v>
      </c>
      <c r="D8216" t="inlineStr">
        <is>
          <t>VÄSTERNORRLANDS LÄN</t>
        </is>
      </c>
      <c r="E8216" t="inlineStr">
        <is>
          <t>ÅNGE</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13006-2023</t>
        </is>
      </c>
      <c r="B8217" s="1" t="n">
        <v>45002</v>
      </c>
      <c r="C8217" s="1" t="n">
        <v>45657</v>
      </c>
      <c r="D8217" t="inlineStr">
        <is>
          <t>VÄSTERNORRLANDS LÄN</t>
        </is>
      </c>
      <c r="E8217" t="inlineStr">
        <is>
          <t>SOLLEFTEÅ</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12978-2023</t>
        </is>
      </c>
      <c r="B8218" s="1" t="n">
        <v>45002</v>
      </c>
      <c r="C8218" s="1" t="n">
        <v>45657</v>
      </c>
      <c r="D8218" t="inlineStr">
        <is>
          <t>VÄSTERNORRLANDS LÄN</t>
        </is>
      </c>
      <c r="E8218" t="inlineStr">
        <is>
          <t>ÖRNSKÖLDSVIK</t>
        </is>
      </c>
      <c r="F8218" t="inlineStr">
        <is>
          <t>SCA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12983-2023</t>
        </is>
      </c>
      <c r="B8219" s="1" t="n">
        <v>45002</v>
      </c>
      <c r="C8219" s="1" t="n">
        <v>45657</v>
      </c>
      <c r="D8219" t="inlineStr">
        <is>
          <t>VÄSTERNORRLANDS LÄN</t>
        </is>
      </c>
      <c r="E8219" t="inlineStr">
        <is>
          <t>SOLLEFTEÅ</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12990-2023</t>
        </is>
      </c>
      <c r="B8220" s="1" t="n">
        <v>45002</v>
      </c>
      <c r="C8220" s="1" t="n">
        <v>45657</v>
      </c>
      <c r="D8220" t="inlineStr">
        <is>
          <t>VÄSTERNORRLANDS LÄN</t>
        </is>
      </c>
      <c r="E8220" t="inlineStr">
        <is>
          <t>SUNDSVALL</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13008-2023</t>
        </is>
      </c>
      <c r="B8221" s="1" t="n">
        <v>45002</v>
      </c>
      <c r="C8221" s="1" t="n">
        <v>45657</v>
      </c>
      <c r="D8221" t="inlineStr">
        <is>
          <t>VÄSTERNORRLANDS LÄN</t>
        </is>
      </c>
      <c r="E8221" t="inlineStr">
        <is>
          <t>SOLLEFTEÅ</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13083-2023</t>
        </is>
      </c>
      <c r="B8222" s="1" t="n">
        <v>45002</v>
      </c>
      <c r="C8222" s="1" t="n">
        <v>45657</v>
      </c>
      <c r="D8222" t="inlineStr">
        <is>
          <t>VÄSTERNORRLANDS LÄN</t>
        </is>
      </c>
      <c r="E8222" t="inlineStr">
        <is>
          <t>SUNDSVALL</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12998-2023</t>
        </is>
      </c>
      <c r="B8223" s="1" t="n">
        <v>45002</v>
      </c>
      <c r="C8223" s="1" t="n">
        <v>45657</v>
      </c>
      <c r="D8223" t="inlineStr">
        <is>
          <t>VÄSTERNORRLANDS LÄN</t>
        </is>
      </c>
      <c r="E8223" t="inlineStr">
        <is>
          <t>ÅNGE</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13007-2023</t>
        </is>
      </c>
      <c r="B8224" s="1" t="n">
        <v>45002</v>
      </c>
      <c r="C8224" s="1" t="n">
        <v>45657</v>
      </c>
      <c r="D8224" t="inlineStr">
        <is>
          <t>VÄSTERNORRLANDS LÄN</t>
        </is>
      </c>
      <c r="E8224" t="inlineStr">
        <is>
          <t>SOLLEFTEÅ</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13225-2023</t>
        </is>
      </c>
      <c r="B8225" s="1" t="n">
        <v>45002</v>
      </c>
      <c r="C8225" s="1" t="n">
        <v>45657</v>
      </c>
      <c r="D8225" t="inlineStr">
        <is>
          <t>VÄSTERNORRLANDS LÄN</t>
        </is>
      </c>
      <c r="E8225" t="inlineStr">
        <is>
          <t>ÖRNSKÖLDSVIK</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13252-2023</t>
        </is>
      </c>
      <c r="B8226" s="1" t="n">
        <v>45002</v>
      </c>
      <c r="C8226" s="1" t="n">
        <v>45657</v>
      </c>
      <c r="D8226" t="inlineStr">
        <is>
          <t>VÄSTERNORRLANDS LÄN</t>
        </is>
      </c>
      <c r="E8226" t="inlineStr">
        <is>
          <t>SOLLEFTEÅ</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13256-2023</t>
        </is>
      </c>
      <c r="B8227" s="1" t="n">
        <v>45002</v>
      </c>
      <c r="C8227" s="1" t="n">
        <v>45657</v>
      </c>
      <c r="D8227" t="inlineStr">
        <is>
          <t>VÄSTERNORRLANDS LÄN</t>
        </is>
      </c>
      <c r="E8227" t="inlineStr">
        <is>
          <t>TIMRÅ</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13261-2023</t>
        </is>
      </c>
      <c r="B8228" s="1" t="n">
        <v>45002</v>
      </c>
      <c r="C8228" s="1" t="n">
        <v>45657</v>
      </c>
      <c r="D8228" t="inlineStr">
        <is>
          <t>VÄSTERNORRLANDS LÄN</t>
        </is>
      </c>
      <c r="E8228" t="inlineStr">
        <is>
          <t>SUNDSVALL</t>
        </is>
      </c>
      <c r="F8228" t="inlineStr">
        <is>
          <t>Naturvårdsverket</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13254-2023</t>
        </is>
      </c>
      <c r="B8229" s="1" t="n">
        <v>45002</v>
      </c>
      <c r="C8229" s="1" t="n">
        <v>45657</v>
      </c>
      <c r="D8229" t="inlineStr">
        <is>
          <t>VÄSTERNORRLANDS LÄN</t>
        </is>
      </c>
      <c r="E8229" t="inlineStr">
        <is>
          <t>TIMRÅ</t>
        </is>
      </c>
      <c r="F8229" t="inlineStr">
        <is>
          <t>SCA</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13264-2023</t>
        </is>
      </c>
      <c r="B8230" s="1" t="n">
        <v>45002</v>
      </c>
      <c r="C8230" s="1" t="n">
        <v>45657</v>
      </c>
      <c r="D8230" t="inlineStr">
        <is>
          <t>VÄSTERNORRLANDS LÄN</t>
        </is>
      </c>
      <c r="E8230" t="inlineStr">
        <is>
          <t>SOLLEFTEÅ</t>
        </is>
      </c>
      <c r="F8230" t="inlineStr">
        <is>
          <t>SCA</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13226-2023</t>
        </is>
      </c>
      <c r="B8231" s="1" t="n">
        <v>45002</v>
      </c>
      <c r="C8231" s="1" t="n">
        <v>45657</v>
      </c>
      <c r="D8231" t="inlineStr">
        <is>
          <t>VÄSTERNORRLANDS LÄN</t>
        </is>
      </c>
      <c r="E8231" t="inlineStr">
        <is>
          <t>ÖRNSKÖLDSVIK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13238-2023</t>
        </is>
      </c>
      <c r="B8232" s="1" t="n">
        <v>45002</v>
      </c>
      <c r="C8232" s="1" t="n">
        <v>45657</v>
      </c>
      <c r="D8232" t="inlineStr">
        <is>
          <t>VÄSTERNORRLANDS LÄN</t>
        </is>
      </c>
      <c r="E8232" t="inlineStr">
        <is>
          <t>ÖRNSKÖLDSVIK</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13255-2023</t>
        </is>
      </c>
      <c r="B8233" s="1" t="n">
        <v>45002</v>
      </c>
      <c r="C8233" s="1" t="n">
        <v>45657</v>
      </c>
      <c r="D8233" t="inlineStr">
        <is>
          <t>VÄSTERNORRLANDS LÄN</t>
        </is>
      </c>
      <c r="E8233" t="inlineStr">
        <is>
          <t>TIMRÅ</t>
        </is>
      </c>
      <c r="F8233" t="inlineStr">
        <is>
          <t>SCA</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13260-2023</t>
        </is>
      </c>
      <c r="B8234" s="1" t="n">
        <v>45002</v>
      </c>
      <c r="C8234" s="1" t="n">
        <v>45657</v>
      </c>
      <c r="D8234" t="inlineStr">
        <is>
          <t>VÄSTERNORRLANDS LÄN</t>
        </is>
      </c>
      <c r="E8234" t="inlineStr">
        <is>
          <t>SUNDSVALL</t>
        </is>
      </c>
      <c r="F8234" t="inlineStr">
        <is>
          <t>Naturvårdsverket</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13232-2023</t>
        </is>
      </c>
      <c r="B8235" s="1" t="n">
        <v>45002</v>
      </c>
      <c r="C8235" s="1" t="n">
        <v>45657</v>
      </c>
      <c r="D8235" t="inlineStr">
        <is>
          <t>VÄSTERNORRLANDS LÄN</t>
        </is>
      </c>
      <c r="E8235" t="inlineStr">
        <is>
          <t>ÖRNSKÖLDSVIK</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13253-2023</t>
        </is>
      </c>
      <c r="B8236" s="1" t="n">
        <v>45002</v>
      </c>
      <c r="C8236" s="1" t="n">
        <v>45657</v>
      </c>
      <c r="D8236" t="inlineStr">
        <is>
          <t>VÄSTERNORRLANDS LÄN</t>
        </is>
      </c>
      <c r="E8236" t="inlineStr">
        <is>
          <t>TIMRÅ</t>
        </is>
      </c>
      <c r="F8236" t="inlineStr">
        <is>
          <t>SCA</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13262-2023</t>
        </is>
      </c>
      <c r="B8237" s="1" t="n">
        <v>45002</v>
      </c>
      <c r="C8237" s="1" t="n">
        <v>45657</v>
      </c>
      <c r="D8237" t="inlineStr">
        <is>
          <t>VÄSTERNORRLANDS LÄN</t>
        </is>
      </c>
      <c r="E8237" t="inlineStr">
        <is>
          <t>SUNDSVALL</t>
        </is>
      </c>
      <c r="F8237" t="inlineStr">
        <is>
          <t>Naturvårdsverket</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13292-2023</t>
        </is>
      </c>
      <c r="B8238" s="1" t="n">
        <v>45004</v>
      </c>
      <c r="C8238" s="1" t="n">
        <v>45657</v>
      </c>
      <c r="D8238" t="inlineStr">
        <is>
          <t>VÄSTERNORRLANDS LÄN</t>
        </is>
      </c>
      <c r="E8238" t="inlineStr">
        <is>
          <t>SOLLEFTEÅ</t>
        </is>
      </c>
      <c r="F8238" t="inlineStr">
        <is>
          <t>SCA</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13279-2023</t>
        </is>
      </c>
      <c r="B8239" s="1" t="n">
        <v>45004</v>
      </c>
      <c r="C8239" s="1" t="n">
        <v>45657</v>
      </c>
      <c r="D8239" t="inlineStr">
        <is>
          <t>VÄSTERNORRLANDS LÄN</t>
        </is>
      </c>
      <c r="E8239" t="inlineStr">
        <is>
          <t>ÖRNSKÖLDSVIK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13310-2023</t>
        </is>
      </c>
      <c r="B8240" s="1" t="n">
        <v>45005</v>
      </c>
      <c r="C8240" s="1" t="n">
        <v>45657</v>
      </c>
      <c r="D8240" t="inlineStr">
        <is>
          <t>VÄSTERNORRLANDS LÄN</t>
        </is>
      </c>
      <c r="E8240" t="inlineStr">
        <is>
          <t>ÖRNSKÖLDSVIK</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13314-2023</t>
        </is>
      </c>
      <c r="B8241" s="1" t="n">
        <v>45005</v>
      </c>
      <c r="C8241" s="1" t="n">
        <v>45657</v>
      </c>
      <c r="D8241" t="inlineStr">
        <is>
          <t>VÄSTERNORRLANDS LÄN</t>
        </is>
      </c>
      <c r="E8241" t="inlineStr">
        <is>
          <t>SUNDSVALL</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13489-2023</t>
        </is>
      </c>
      <c r="B8242" s="1" t="n">
        <v>45005</v>
      </c>
      <c r="C8242" s="1" t="n">
        <v>45657</v>
      </c>
      <c r="D8242" t="inlineStr">
        <is>
          <t>VÄSTERNORRLANDS LÄN</t>
        </is>
      </c>
      <c r="E8242" t="inlineStr">
        <is>
          <t>SOLLEFTEÅ</t>
        </is>
      </c>
      <c r="F8242" t="inlineStr">
        <is>
          <t>SCA</t>
        </is>
      </c>
      <c r="G8242" t="n">
        <v>26.3</v>
      </c>
      <c r="H8242" t="n">
        <v>0</v>
      </c>
      <c r="I8242" t="n">
        <v>0</v>
      </c>
      <c r="J8242" t="n">
        <v>0</v>
      </c>
      <c r="K8242" t="n">
        <v>0</v>
      </c>
      <c r="L8242" t="n">
        <v>0</v>
      </c>
      <c r="M8242" t="n">
        <v>0</v>
      </c>
      <c r="N8242" t="n">
        <v>0</v>
      </c>
      <c r="O8242" t="n">
        <v>0</v>
      </c>
      <c r="P8242" t="n">
        <v>0</v>
      </c>
      <c r="Q8242" t="n">
        <v>0</v>
      </c>
      <c r="R8242" s="2" t="inlineStr"/>
    </row>
    <row r="8243" ht="15" customHeight="1">
      <c r="A8243" t="inlineStr">
        <is>
          <t>A 13335-2023</t>
        </is>
      </c>
      <c r="B8243" s="1" t="n">
        <v>45005</v>
      </c>
      <c r="C8243" s="1" t="n">
        <v>45657</v>
      </c>
      <c r="D8243" t="inlineStr">
        <is>
          <t>VÄSTERNORRLANDS LÄN</t>
        </is>
      </c>
      <c r="E8243" t="inlineStr">
        <is>
          <t>SUNDSVALL</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13427-2023</t>
        </is>
      </c>
      <c r="B8244" s="1" t="n">
        <v>45005</v>
      </c>
      <c r="C8244" s="1" t="n">
        <v>45657</v>
      </c>
      <c r="D8244" t="inlineStr">
        <is>
          <t>VÄSTERNORRLANDS LÄN</t>
        </is>
      </c>
      <c r="E8244" t="inlineStr">
        <is>
          <t>ÖRNSKÖLDSVIK</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13446-2023</t>
        </is>
      </c>
      <c r="B8245" s="1" t="n">
        <v>45005</v>
      </c>
      <c r="C8245" s="1" t="n">
        <v>45657</v>
      </c>
      <c r="D8245" t="inlineStr">
        <is>
          <t>VÄSTERNORRLANDS LÄN</t>
        </is>
      </c>
      <c r="E8245" t="inlineStr">
        <is>
          <t>TIMRÅ</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13487-2023</t>
        </is>
      </c>
      <c r="B8246" s="1" t="n">
        <v>45005</v>
      </c>
      <c r="C8246" s="1" t="n">
        <v>45657</v>
      </c>
      <c r="D8246" t="inlineStr">
        <is>
          <t>VÄSTERNORRLANDS LÄN</t>
        </is>
      </c>
      <c r="E8246" t="inlineStr">
        <is>
          <t>SOLLEFTEÅ</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13494-2023</t>
        </is>
      </c>
      <c r="B8247" s="1" t="n">
        <v>45005</v>
      </c>
      <c r="C8247" s="1" t="n">
        <v>45657</v>
      </c>
      <c r="D8247" t="inlineStr">
        <is>
          <t>VÄSTERNORRLANDS LÄN</t>
        </is>
      </c>
      <c r="E8247" t="inlineStr">
        <is>
          <t>ÖRNSKÖLDSVIK</t>
        </is>
      </c>
      <c r="F8247" t="inlineStr">
        <is>
          <t>SCA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13485-2023</t>
        </is>
      </c>
      <c r="B8248" s="1" t="n">
        <v>45005</v>
      </c>
      <c r="C8248" s="1" t="n">
        <v>45657</v>
      </c>
      <c r="D8248" t="inlineStr">
        <is>
          <t>VÄSTERNORRLANDS LÄN</t>
        </is>
      </c>
      <c r="E8248" t="inlineStr">
        <is>
          <t>ÅNGE</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13496-2023</t>
        </is>
      </c>
      <c r="B8249" s="1" t="n">
        <v>45005</v>
      </c>
      <c r="C8249" s="1" t="n">
        <v>45657</v>
      </c>
      <c r="D8249" t="inlineStr">
        <is>
          <t>VÄSTERNORRLANDS LÄN</t>
        </is>
      </c>
      <c r="E8249" t="inlineStr">
        <is>
          <t>ÖRNSKÖLDSVIK</t>
        </is>
      </c>
      <c r="F8249" t="inlineStr">
        <is>
          <t>SCA</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13521-2023</t>
        </is>
      </c>
      <c r="B8250" s="1" t="n">
        <v>45005</v>
      </c>
      <c r="C8250" s="1" t="n">
        <v>45657</v>
      </c>
      <c r="D8250" t="inlineStr">
        <is>
          <t>VÄSTERNORRLANDS LÄN</t>
        </is>
      </c>
      <c r="E8250" t="inlineStr">
        <is>
          <t>SOLLEFTEÅ</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13567-2023</t>
        </is>
      </c>
      <c r="B8251" s="1" t="n">
        <v>45005</v>
      </c>
      <c r="C8251" s="1" t="n">
        <v>45657</v>
      </c>
      <c r="D8251" t="inlineStr">
        <is>
          <t>VÄSTERNORRLANDS LÄN</t>
        </is>
      </c>
      <c r="E8251" t="inlineStr">
        <is>
          <t>SOLLEFTEÅ</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13491-2023</t>
        </is>
      </c>
      <c r="B8252" s="1" t="n">
        <v>45005</v>
      </c>
      <c r="C8252" s="1" t="n">
        <v>45657</v>
      </c>
      <c r="D8252" t="inlineStr">
        <is>
          <t>VÄSTERNORRLANDS LÄN</t>
        </is>
      </c>
      <c r="E8252" t="inlineStr">
        <is>
          <t>ÅNGE</t>
        </is>
      </c>
      <c r="F8252" t="inlineStr">
        <is>
          <t>SCA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13570-2023</t>
        </is>
      </c>
      <c r="B8253" s="1" t="n">
        <v>45005</v>
      </c>
      <c r="C8253" s="1" t="n">
        <v>45657</v>
      </c>
      <c r="D8253" t="inlineStr">
        <is>
          <t>VÄSTERNORRLANDS LÄN</t>
        </is>
      </c>
      <c r="E8253" t="inlineStr">
        <is>
          <t>SOLLEFTEÅ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13601-2023</t>
        </is>
      </c>
      <c r="B8254" s="1" t="n">
        <v>45005</v>
      </c>
      <c r="C8254" s="1" t="n">
        <v>45657</v>
      </c>
      <c r="D8254" t="inlineStr">
        <is>
          <t>VÄSTERNORRLANDS LÄN</t>
        </is>
      </c>
      <c r="E8254" t="inlineStr">
        <is>
          <t>HÄRNÖSAND</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13499-2023</t>
        </is>
      </c>
      <c r="B8255" s="1" t="n">
        <v>45005</v>
      </c>
      <c r="C8255" s="1" t="n">
        <v>45657</v>
      </c>
      <c r="D8255" t="inlineStr">
        <is>
          <t>VÄSTERNORRLANDS LÄN</t>
        </is>
      </c>
      <c r="E8255" t="inlineStr">
        <is>
          <t>SOLLEFTEÅ</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13565-2023</t>
        </is>
      </c>
      <c r="B8256" s="1" t="n">
        <v>45005</v>
      </c>
      <c r="C8256" s="1" t="n">
        <v>45657</v>
      </c>
      <c r="D8256" t="inlineStr">
        <is>
          <t>VÄSTERNORRLANDS LÄN</t>
        </is>
      </c>
      <c r="E8256" t="inlineStr">
        <is>
          <t>SOLLEFTEÅ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13548-2023</t>
        </is>
      </c>
      <c r="B8257" s="1" t="n">
        <v>45006</v>
      </c>
      <c r="C8257" s="1" t="n">
        <v>45657</v>
      </c>
      <c r="D8257" t="inlineStr">
        <is>
          <t>VÄSTERNORRLANDS LÄN</t>
        </is>
      </c>
      <c r="E8257" t="inlineStr">
        <is>
          <t>ÖRNSKÖLDSVIK</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13611-2023</t>
        </is>
      </c>
      <c r="B8258" s="1" t="n">
        <v>45006</v>
      </c>
      <c r="C8258" s="1" t="n">
        <v>45657</v>
      </c>
      <c r="D8258" t="inlineStr">
        <is>
          <t>VÄSTERNORRLANDS LÄN</t>
        </is>
      </c>
      <c r="E8258" t="inlineStr">
        <is>
          <t>HÄRNÖSAND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13680-2023</t>
        </is>
      </c>
      <c r="B8259" s="1" t="n">
        <v>45006</v>
      </c>
      <c r="C8259" s="1" t="n">
        <v>45657</v>
      </c>
      <c r="D8259" t="inlineStr">
        <is>
          <t>VÄSTERNORRLANDS LÄN</t>
        </is>
      </c>
      <c r="E8259" t="inlineStr">
        <is>
          <t>SUNDSVALL</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13550-2023</t>
        </is>
      </c>
      <c r="B8260" s="1" t="n">
        <v>45006</v>
      </c>
      <c r="C8260" s="1" t="n">
        <v>45657</v>
      </c>
      <c r="D8260" t="inlineStr">
        <is>
          <t>VÄSTERNORRLANDS LÄN</t>
        </is>
      </c>
      <c r="E8260" t="inlineStr">
        <is>
          <t>ÖRNSKÖLDSVIK</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13689-2023</t>
        </is>
      </c>
      <c r="B8261" s="1" t="n">
        <v>45006</v>
      </c>
      <c r="C8261" s="1" t="n">
        <v>45657</v>
      </c>
      <c r="D8261" t="inlineStr">
        <is>
          <t>VÄSTERNORRLANDS LÄN</t>
        </is>
      </c>
      <c r="E8261" t="inlineStr">
        <is>
          <t>SOLLEFTEÅ</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13694-2023</t>
        </is>
      </c>
      <c r="B8262" s="1" t="n">
        <v>45006</v>
      </c>
      <c r="C8262" s="1" t="n">
        <v>45657</v>
      </c>
      <c r="D8262" t="inlineStr">
        <is>
          <t>VÄSTERNORRLANDS LÄN</t>
        </is>
      </c>
      <c r="E8262" t="inlineStr">
        <is>
          <t>SUNDSVALL</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13698-2023</t>
        </is>
      </c>
      <c r="B8263" s="1" t="n">
        <v>45006</v>
      </c>
      <c r="C8263" s="1" t="n">
        <v>45657</v>
      </c>
      <c r="D8263" t="inlineStr">
        <is>
          <t>VÄSTERNORRLANDS LÄN</t>
        </is>
      </c>
      <c r="E8263" t="inlineStr">
        <is>
          <t>ÖRNSKÖLDSVIK</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13506-2023</t>
        </is>
      </c>
      <c r="B8264" s="1" t="n">
        <v>45006</v>
      </c>
      <c r="C8264" s="1" t="n">
        <v>45657</v>
      </c>
      <c r="D8264" t="inlineStr">
        <is>
          <t>VÄSTERNORRLANDS LÄN</t>
        </is>
      </c>
      <c r="E8264" t="inlineStr">
        <is>
          <t>SUNDSVALL</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13549-2023</t>
        </is>
      </c>
      <c r="B8265" s="1" t="n">
        <v>45006</v>
      </c>
      <c r="C8265" s="1" t="n">
        <v>45657</v>
      </c>
      <c r="D8265" t="inlineStr">
        <is>
          <t>VÄSTERNORRLANDS LÄN</t>
        </is>
      </c>
      <c r="E8265" t="inlineStr">
        <is>
          <t>ÖRNSKÖLDSVIK</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13691-2023</t>
        </is>
      </c>
      <c r="B8266" s="1" t="n">
        <v>45006</v>
      </c>
      <c r="C8266" s="1" t="n">
        <v>45657</v>
      </c>
      <c r="D8266" t="inlineStr">
        <is>
          <t>VÄSTERNORRLANDS LÄN</t>
        </is>
      </c>
      <c r="E8266" t="inlineStr">
        <is>
          <t>SUNDSVALL</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13690-2023</t>
        </is>
      </c>
      <c r="B8267" s="1" t="n">
        <v>45006</v>
      </c>
      <c r="C8267" s="1" t="n">
        <v>45657</v>
      </c>
      <c r="D8267" t="inlineStr">
        <is>
          <t>VÄSTERNORRLANDS LÄN</t>
        </is>
      </c>
      <c r="E8267" t="inlineStr">
        <is>
          <t>SUNDSVALL</t>
        </is>
      </c>
      <c r="F8267" t="inlineStr">
        <is>
          <t>SCA</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13695-2023</t>
        </is>
      </c>
      <c r="B8268" s="1" t="n">
        <v>45006</v>
      </c>
      <c r="C8268" s="1" t="n">
        <v>45657</v>
      </c>
      <c r="D8268" t="inlineStr">
        <is>
          <t>VÄSTERNORRLANDS LÄN</t>
        </is>
      </c>
      <c r="E8268" t="inlineStr">
        <is>
          <t>SOLLEFTEÅ</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13701-2023</t>
        </is>
      </c>
      <c r="B8269" s="1" t="n">
        <v>45006</v>
      </c>
      <c r="C8269" s="1" t="n">
        <v>45657</v>
      </c>
      <c r="D8269" t="inlineStr">
        <is>
          <t>VÄSTERNORRLANDS LÄN</t>
        </is>
      </c>
      <c r="E8269" t="inlineStr">
        <is>
          <t>SUNDSVALL</t>
        </is>
      </c>
      <c r="F8269" t="inlineStr">
        <is>
          <t>SCA</t>
        </is>
      </c>
      <c r="G8269" t="n">
        <v>11.6</v>
      </c>
      <c r="H8269" t="n">
        <v>0</v>
      </c>
      <c r="I8269" t="n">
        <v>0</v>
      </c>
      <c r="J8269" t="n">
        <v>0</v>
      </c>
      <c r="K8269" t="n">
        <v>0</v>
      </c>
      <c r="L8269" t="n">
        <v>0</v>
      </c>
      <c r="M8269" t="n">
        <v>0</v>
      </c>
      <c r="N8269" t="n">
        <v>0</v>
      </c>
      <c r="O8269" t="n">
        <v>0</v>
      </c>
      <c r="P8269" t="n">
        <v>0</v>
      </c>
      <c r="Q8269" t="n">
        <v>0</v>
      </c>
      <c r="R8269" s="2" t="inlineStr"/>
    </row>
    <row r="8270" ht="15" customHeight="1">
      <c r="A8270" t="inlineStr">
        <is>
          <t>A 13705-2023</t>
        </is>
      </c>
      <c r="B8270" s="1" t="n">
        <v>45006</v>
      </c>
      <c r="C8270" s="1" t="n">
        <v>45657</v>
      </c>
      <c r="D8270" t="inlineStr">
        <is>
          <t>VÄSTERNORRLANDS LÄN</t>
        </is>
      </c>
      <c r="E8270" t="inlineStr">
        <is>
          <t>ÅNGE</t>
        </is>
      </c>
      <c r="F8270" t="inlineStr">
        <is>
          <t>SCA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13704-2023</t>
        </is>
      </c>
      <c r="B8271" s="1" t="n">
        <v>45006</v>
      </c>
      <c r="C8271" s="1" t="n">
        <v>45657</v>
      </c>
      <c r="D8271" t="inlineStr">
        <is>
          <t>VÄSTERNORRLANDS LÄN</t>
        </is>
      </c>
      <c r="E8271" t="inlineStr">
        <is>
          <t>ÅNGE</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13693-2023</t>
        </is>
      </c>
      <c r="B8272" s="1" t="n">
        <v>45006</v>
      </c>
      <c r="C8272" s="1" t="n">
        <v>45657</v>
      </c>
      <c r="D8272" t="inlineStr">
        <is>
          <t>VÄSTERNORRLANDS LÄN</t>
        </is>
      </c>
      <c r="E8272" t="inlineStr">
        <is>
          <t>SUNDSVALL</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13697-2023</t>
        </is>
      </c>
      <c r="B8273" s="1" t="n">
        <v>45006</v>
      </c>
      <c r="C8273" s="1" t="n">
        <v>45657</v>
      </c>
      <c r="D8273" t="inlineStr">
        <is>
          <t>VÄSTERNORRLANDS LÄN</t>
        </is>
      </c>
      <c r="E8273" t="inlineStr">
        <is>
          <t>SOLLEFTEÅ</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13702-2023</t>
        </is>
      </c>
      <c r="B8274" s="1" t="n">
        <v>45006</v>
      </c>
      <c r="C8274" s="1" t="n">
        <v>45657</v>
      </c>
      <c r="D8274" t="inlineStr">
        <is>
          <t>VÄSTERNORRLANDS LÄN</t>
        </is>
      </c>
      <c r="E8274" t="inlineStr">
        <is>
          <t>SUNDSVALL</t>
        </is>
      </c>
      <c r="F8274" t="inlineStr">
        <is>
          <t>SCA</t>
        </is>
      </c>
      <c r="G8274" t="n">
        <v>30.9</v>
      </c>
      <c r="H8274" t="n">
        <v>0</v>
      </c>
      <c r="I8274" t="n">
        <v>0</v>
      </c>
      <c r="J8274" t="n">
        <v>0</v>
      </c>
      <c r="K8274" t="n">
        <v>0</v>
      </c>
      <c r="L8274" t="n">
        <v>0</v>
      </c>
      <c r="M8274" t="n">
        <v>0</v>
      </c>
      <c r="N8274" t="n">
        <v>0</v>
      </c>
      <c r="O8274" t="n">
        <v>0</v>
      </c>
      <c r="P8274" t="n">
        <v>0</v>
      </c>
      <c r="Q8274" t="n">
        <v>0</v>
      </c>
      <c r="R8274" s="2" t="inlineStr"/>
    </row>
    <row r="8275" ht="15" customHeight="1">
      <c r="A8275" t="inlineStr">
        <is>
          <t>A 13706-2023</t>
        </is>
      </c>
      <c r="B8275" s="1" t="n">
        <v>45006</v>
      </c>
      <c r="C8275" s="1" t="n">
        <v>45657</v>
      </c>
      <c r="D8275" t="inlineStr">
        <is>
          <t>VÄSTERNORRLANDS LÄN</t>
        </is>
      </c>
      <c r="E8275" t="inlineStr">
        <is>
          <t>ÅNGE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13733-2023</t>
        </is>
      </c>
      <c r="B8276" s="1" t="n">
        <v>45006</v>
      </c>
      <c r="C8276" s="1" t="n">
        <v>45657</v>
      </c>
      <c r="D8276" t="inlineStr">
        <is>
          <t>VÄSTERNORRLANDS LÄN</t>
        </is>
      </c>
      <c r="E8276" t="inlineStr">
        <is>
          <t>ÖRNSKÖLDSVIK</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13796-2023</t>
        </is>
      </c>
      <c r="B8277" s="1" t="n">
        <v>45007</v>
      </c>
      <c r="C8277" s="1" t="n">
        <v>45657</v>
      </c>
      <c r="D8277" t="inlineStr">
        <is>
          <t>VÄSTERNORRLANDS LÄN</t>
        </is>
      </c>
      <c r="E8277" t="inlineStr">
        <is>
          <t>HÄRNÖSAND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13945-2023</t>
        </is>
      </c>
      <c r="B8278" s="1" t="n">
        <v>45007</v>
      </c>
      <c r="C8278" s="1" t="n">
        <v>45657</v>
      </c>
      <c r="D8278" t="inlineStr">
        <is>
          <t>VÄSTERNORRLANDS LÄN</t>
        </is>
      </c>
      <c r="E8278" t="inlineStr">
        <is>
          <t>ÖRNSKÖLDSVIK</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13815-2023</t>
        </is>
      </c>
      <c r="B8279" s="1" t="n">
        <v>45007</v>
      </c>
      <c r="C8279" s="1" t="n">
        <v>45657</v>
      </c>
      <c r="D8279" t="inlineStr">
        <is>
          <t>VÄSTERNORRLANDS LÄN</t>
        </is>
      </c>
      <c r="E8279" t="inlineStr">
        <is>
          <t>ÖRNSKÖLDSVIK</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13818-2023</t>
        </is>
      </c>
      <c r="B8280" s="1" t="n">
        <v>45007</v>
      </c>
      <c r="C8280" s="1" t="n">
        <v>45657</v>
      </c>
      <c r="D8280" t="inlineStr">
        <is>
          <t>VÄSTERNORRLANDS LÄN</t>
        </is>
      </c>
      <c r="E8280" t="inlineStr">
        <is>
          <t>ÖRNSKÖLDSVIK</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13832-2023</t>
        </is>
      </c>
      <c r="B8281" s="1" t="n">
        <v>45007</v>
      </c>
      <c r="C8281" s="1" t="n">
        <v>45657</v>
      </c>
      <c r="D8281" t="inlineStr">
        <is>
          <t>VÄSTERNORRLANDS LÄN</t>
        </is>
      </c>
      <c r="E8281" t="inlineStr">
        <is>
          <t>ÖRNSKÖLDSVIK</t>
        </is>
      </c>
      <c r="F8281" t="inlineStr">
        <is>
          <t>Holmen skog AB</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13862-2023</t>
        </is>
      </c>
      <c r="B8282" s="1" t="n">
        <v>45007</v>
      </c>
      <c r="C8282" s="1" t="n">
        <v>45657</v>
      </c>
      <c r="D8282" t="inlineStr">
        <is>
          <t>VÄSTERNORRLANDS LÄN</t>
        </is>
      </c>
      <c r="E8282" t="inlineStr">
        <is>
          <t>ÖRNSKÖLDSVIK</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13934-2023</t>
        </is>
      </c>
      <c r="B8283" s="1" t="n">
        <v>45007</v>
      </c>
      <c r="C8283" s="1" t="n">
        <v>45657</v>
      </c>
      <c r="D8283" t="inlineStr">
        <is>
          <t>VÄSTERNORRLANDS LÄN</t>
        </is>
      </c>
      <c r="E8283" t="inlineStr">
        <is>
          <t>ÖRNSKÖLDSVIK</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13959-2023</t>
        </is>
      </c>
      <c r="B8284" s="1" t="n">
        <v>45007</v>
      </c>
      <c r="C8284" s="1" t="n">
        <v>45657</v>
      </c>
      <c r="D8284" t="inlineStr">
        <is>
          <t>VÄSTERNORRLANDS LÄN</t>
        </is>
      </c>
      <c r="E8284" t="inlineStr">
        <is>
          <t>ÖRNSKÖLDSVIK</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13920-2023</t>
        </is>
      </c>
      <c r="B8285" s="1" t="n">
        <v>45007</v>
      </c>
      <c r="C8285" s="1" t="n">
        <v>45657</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13895-2023</t>
        </is>
      </c>
      <c r="B8286" s="1" t="n">
        <v>45008</v>
      </c>
      <c r="C8286" s="1" t="n">
        <v>45657</v>
      </c>
      <c r="D8286" t="inlineStr">
        <is>
          <t>VÄSTERNORRLANDS LÄN</t>
        </is>
      </c>
      <c r="E8286" t="inlineStr">
        <is>
          <t>ÖRNSKÖLDSVIK</t>
        </is>
      </c>
      <c r="F8286" t="inlineStr">
        <is>
          <t>SCA</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13894-2023</t>
        </is>
      </c>
      <c r="B8287" s="1" t="n">
        <v>45008</v>
      </c>
      <c r="C8287" s="1" t="n">
        <v>45657</v>
      </c>
      <c r="D8287" t="inlineStr">
        <is>
          <t>VÄSTERNORRLANDS LÄN</t>
        </is>
      </c>
      <c r="E8287" t="inlineStr">
        <is>
          <t>ÖRNSKÖLDSVIK</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13926-2023</t>
        </is>
      </c>
      <c r="B8288" s="1" t="n">
        <v>45008</v>
      </c>
      <c r="C8288" s="1" t="n">
        <v>45657</v>
      </c>
      <c r="D8288" t="inlineStr">
        <is>
          <t>VÄSTERNORRLANDS LÄN</t>
        </is>
      </c>
      <c r="E8288" t="inlineStr">
        <is>
          <t>KRAMFORS</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13893-2023</t>
        </is>
      </c>
      <c r="B8289" s="1" t="n">
        <v>45008</v>
      </c>
      <c r="C8289" s="1" t="n">
        <v>45657</v>
      </c>
      <c r="D8289" t="inlineStr">
        <is>
          <t>VÄSTERNORRLANDS LÄN</t>
        </is>
      </c>
      <c r="E8289" t="inlineStr">
        <is>
          <t>ÖRNSKÖLDSVIK</t>
        </is>
      </c>
      <c r="F8289" t="inlineStr">
        <is>
          <t>SCA</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14109-2023</t>
        </is>
      </c>
      <c r="B8290" s="1" t="n">
        <v>45008</v>
      </c>
      <c r="C8290" s="1" t="n">
        <v>45657</v>
      </c>
      <c r="D8290" t="inlineStr">
        <is>
          <t>VÄSTERNORRLANDS LÄN</t>
        </is>
      </c>
      <c r="E8290" t="inlineStr">
        <is>
          <t>SOLLEFTEÅ</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14134-2023</t>
        </is>
      </c>
      <c r="B8291" s="1" t="n">
        <v>45008</v>
      </c>
      <c r="C8291" s="1" t="n">
        <v>45657</v>
      </c>
      <c r="D8291" t="inlineStr">
        <is>
          <t>VÄSTERNORRLANDS LÄN</t>
        </is>
      </c>
      <c r="E8291" t="inlineStr">
        <is>
          <t>SOLLEFTEÅ</t>
        </is>
      </c>
      <c r="F8291" t="inlineStr">
        <is>
          <t>Övriga Aktiebolag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14129-2023</t>
        </is>
      </c>
      <c r="B8292" s="1" t="n">
        <v>45008</v>
      </c>
      <c r="C8292" s="1" t="n">
        <v>45657</v>
      </c>
      <c r="D8292" t="inlineStr">
        <is>
          <t>VÄSTERNORRLANDS LÄN</t>
        </is>
      </c>
      <c r="E8292" t="inlineStr">
        <is>
          <t>KRAMFORS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14183-2023</t>
        </is>
      </c>
      <c r="B8293" s="1" t="n">
        <v>45009</v>
      </c>
      <c r="C8293" s="1" t="n">
        <v>45657</v>
      </c>
      <c r="D8293" t="inlineStr">
        <is>
          <t>VÄSTERNORRLANDS LÄN</t>
        </is>
      </c>
      <c r="E8293" t="inlineStr">
        <is>
          <t>ÅNGE</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14201-2023</t>
        </is>
      </c>
      <c r="B8294" s="1" t="n">
        <v>45009</v>
      </c>
      <c r="C8294" s="1" t="n">
        <v>45657</v>
      </c>
      <c r="D8294" t="inlineStr">
        <is>
          <t>VÄSTERNORRLANDS LÄN</t>
        </is>
      </c>
      <c r="E8294" t="inlineStr">
        <is>
          <t>ÖRNSKÖLDSVIK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14257-2023</t>
        </is>
      </c>
      <c r="B8295" s="1" t="n">
        <v>45009</v>
      </c>
      <c r="C8295" s="1" t="n">
        <v>45657</v>
      </c>
      <c r="D8295" t="inlineStr">
        <is>
          <t>VÄSTERNORRLANDS LÄN</t>
        </is>
      </c>
      <c r="E8295" t="inlineStr">
        <is>
          <t>ÅNGE</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14077-2023</t>
        </is>
      </c>
      <c r="B8296" s="1" t="n">
        <v>45009</v>
      </c>
      <c r="C8296" s="1" t="n">
        <v>45657</v>
      </c>
      <c r="D8296" t="inlineStr">
        <is>
          <t>VÄSTERNORRLANDS LÄN</t>
        </is>
      </c>
      <c r="E8296" t="inlineStr">
        <is>
          <t>SUNDSVALL</t>
        </is>
      </c>
      <c r="F8296" t="inlineStr">
        <is>
          <t>SCA</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14258-2023</t>
        </is>
      </c>
      <c r="B8297" s="1" t="n">
        <v>45009</v>
      </c>
      <c r="C8297" s="1" t="n">
        <v>45657</v>
      </c>
      <c r="D8297" t="inlineStr">
        <is>
          <t>VÄSTERNORRLANDS LÄN</t>
        </is>
      </c>
      <c r="E8297" t="inlineStr">
        <is>
          <t>ÅNGE</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14263-2023</t>
        </is>
      </c>
      <c r="B8298" s="1" t="n">
        <v>45009</v>
      </c>
      <c r="C8298" s="1" t="n">
        <v>45657</v>
      </c>
      <c r="D8298" t="inlineStr">
        <is>
          <t>VÄSTERNORRLANDS LÄN</t>
        </is>
      </c>
      <c r="E8298" t="inlineStr">
        <is>
          <t>HÄRNÖSAND</t>
        </is>
      </c>
      <c r="F8298" t="inlineStr">
        <is>
          <t>SCA</t>
        </is>
      </c>
      <c r="G8298" t="n">
        <v>51.8</v>
      </c>
      <c r="H8298" t="n">
        <v>0</v>
      </c>
      <c r="I8298" t="n">
        <v>0</v>
      </c>
      <c r="J8298" t="n">
        <v>0</v>
      </c>
      <c r="K8298" t="n">
        <v>0</v>
      </c>
      <c r="L8298" t="n">
        <v>0</v>
      </c>
      <c r="M8298" t="n">
        <v>0</v>
      </c>
      <c r="N8298" t="n">
        <v>0</v>
      </c>
      <c r="O8298" t="n">
        <v>0</v>
      </c>
      <c r="P8298" t="n">
        <v>0</v>
      </c>
      <c r="Q8298" t="n">
        <v>0</v>
      </c>
      <c r="R8298" s="2" t="inlineStr"/>
    </row>
    <row r="8299" ht="15" customHeight="1">
      <c r="A8299" t="inlineStr">
        <is>
          <t>A 14337-2023</t>
        </is>
      </c>
      <c r="B8299" s="1" t="n">
        <v>45009</v>
      </c>
      <c r="C8299" s="1" t="n">
        <v>45657</v>
      </c>
      <c r="D8299" t="inlineStr">
        <is>
          <t>VÄSTERNORRLANDS LÄN</t>
        </is>
      </c>
      <c r="E8299" t="inlineStr">
        <is>
          <t>ÖRNSKÖLDSVIK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14260-2023</t>
        </is>
      </c>
      <c r="B8300" s="1" t="n">
        <v>45009</v>
      </c>
      <c r="C8300" s="1" t="n">
        <v>45657</v>
      </c>
      <c r="D8300" t="inlineStr">
        <is>
          <t>VÄSTERNORRLANDS LÄN</t>
        </is>
      </c>
      <c r="E8300" t="inlineStr">
        <is>
          <t>ÅNGE</t>
        </is>
      </c>
      <c r="F8300" t="inlineStr">
        <is>
          <t>SCA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14265-2023</t>
        </is>
      </c>
      <c r="B8301" s="1" t="n">
        <v>45009</v>
      </c>
      <c r="C8301" s="1" t="n">
        <v>45657</v>
      </c>
      <c r="D8301" t="inlineStr">
        <is>
          <t>VÄSTERNORRLANDS LÄN</t>
        </is>
      </c>
      <c r="E8301" t="inlineStr">
        <is>
          <t>SUNDSVALL</t>
        </is>
      </c>
      <c r="F8301" t="inlineStr">
        <is>
          <t>SCA</t>
        </is>
      </c>
      <c r="G8301" t="n">
        <v>8.199999999999999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14319-2023</t>
        </is>
      </c>
      <c r="B8302" s="1" t="n">
        <v>45012</v>
      </c>
      <c r="C8302" s="1" t="n">
        <v>45657</v>
      </c>
      <c r="D8302" t="inlineStr">
        <is>
          <t>VÄSTERNORRLANDS LÄN</t>
        </is>
      </c>
      <c r="E8302" t="inlineStr">
        <is>
          <t>ÖRNSKÖLDSVIK</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14318-2023</t>
        </is>
      </c>
      <c r="B8303" s="1" t="n">
        <v>45012</v>
      </c>
      <c r="C8303" s="1" t="n">
        <v>45657</v>
      </c>
      <c r="D8303" t="inlineStr">
        <is>
          <t>VÄSTERNORRLANDS LÄN</t>
        </is>
      </c>
      <c r="E8303" t="inlineStr">
        <is>
          <t>ÖRNSKÖLDSVIK</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14336-2023</t>
        </is>
      </c>
      <c r="B8304" s="1" t="n">
        <v>45012</v>
      </c>
      <c r="C8304" s="1" t="n">
        <v>45657</v>
      </c>
      <c r="D8304" t="inlineStr">
        <is>
          <t>VÄSTERNORRLANDS LÄN</t>
        </is>
      </c>
      <c r="E8304" t="inlineStr">
        <is>
          <t>ÖRNSKÖLDSVIK</t>
        </is>
      </c>
      <c r="F8304" t="inlineStr">
        <is>
          <t>Holmen skog AB</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14527-2023</t>
        </is>
      </c>
      <c r="B8305" s="1" t="n">
        <v>45013</v>
      </c>
      <c r="C8305" s="1" t="n">
        <v>45657</v>
      </c>
      <c r="D8305" t="inlineStr">
        <is>
          <t>VÄSTERNORRLANDS LÄN</t>
        </is>
      </c>
      <c r="E8305" t="inlineStr">
        <is>
          <t>ÅNGE</t>
        </is>
      </c>
      <c r="F8305" t="inlineStr">
        <is>
          <t>SCA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14529-2023</t>
        </is>
      </c>
      <c r="B8306" s="1" t="n">
        <v>45012</v>
      </c>
      <c r="C8306" s="1" t="n">
        <v>45657</v>
      </c>
      <c r="D8306" t="inlineStr">
        <is>
          <t>VÄSTERNORRLANDS LÄN</t>
        </is>
      </c>
      <c r="E8306" t="inlineStr">
        <is>
          <t>SUNDSVALL</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14718-2023</t>
        </is>
      </c>
      <c r="B8307" s="1" t="n">
        <v>45012</v>
      </c>
      <c r="C8307" s="1" t="n">
        <v>45657</v>
      </c>
      <c r="D8307" t="inlineStr">
        <is>
          <t>VÄSTERNORRLANDS LÄN</t>
        </is>
      </c>
      <c r="E8307" t="inlineStr">
        <is>
          <t>SOLLEFTEÅ</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14675-2023</t>
        </is>
      </c>
      <c r="B8308" s="1" t="n">
        <v>45014</v>
      </c>
      <c r="C8308" s="1" t="n">
        <v>45657</v>
      </c>
      <c r="D8308" t="inlineStr">
        <is>
          <t>VÄSTERNORRLANDS LÄN</t>
        </is>
      </c>
      <c r="E8308" t="inlineStr">
        <is>
          <t>SOLLEFTEÅ</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14667-2023</t>
        </is>
      </c>
      <c r="B8309" s="1" t="n">
        <v>45013</v>
      </c>
      <c r="C8309" s="1" t="n">
        <v>45657</v>
      </c>
      <c r="D8309" t="inlineStr">
        <is>
          <t>VÄSTERNORRLANDS LÄN</t>
        </is>
      </c>
      <c r="E8309" t="inlineStr">
        <is>
          <t>ÅNGE</t>
        </is>
      </c>
      <c r="F8309" t="inlineStr">
        <is>
          <t>SCA</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14677-2023</t>
        </is>
      </c>
      <c r="B8310" s="1" t="n">
        <v>45013</v>
      </c>
      <c r="C8310" s="1" t="n">
        <v>45657</v>
      </c>
      <c r="D8310" t="inlineStr">
        <is>
          <t>VÄSTERNORRLANDS LÄN</t>
        </is>
      </c>
      <c r="E8310" t="inlineStr">
        <is>
          <t>SUNDSVALL</t>
        </is>
      </c>
      <c r="F8310" t="inlineStr">
        <is>
          <t>SCA</t>
        </is>
      </c>
      <c r="G8310" t="n">
        <v>13.7</v>
      </c>
      <c r="H8310" t="n">
        <v>0</v>
      </c>
      <c r="I8310" t="n">
        <v>0</v>
      </c>
      <c r="J8310" t="n">
        <v>0</v>
      </c>
      <c r="K8310" t="n">
        <v>0</v>
      </c>
      <c r="L8310" t="n">
        <v>0</v>
      </c>
      <c r="M8310" t="n">
        <v>0</v>
      </c>
      <c r="N8310" t="n">
        <v>0</v>
      </c>
      <c r="O8310" t="n">
        <v>0</v>
      </c>
      <c r="P8310" t="n">
        <v>0</v>
      </c>
      <c r="Q8310" t="n">
        <v>0</v>
      </c>
      <c r="R8310" s="2" t="inlineStr"/>
    </row>
    <row r="8311" ht="15" customHeight="1">
      <c r="A8311" t="inlineStr">
        <is>
          <t>A 14676-2023</t>
        </is>
      </c>
      <c r="B8311" s="1" t="n">
        <v>45013</v>
      </c>
      <c r="C8311" s="1" t="n">
        <v>45657</v>
      </c>
      <c r="D8311" t="inlineStr">
        <is>
          <t>VÄSTERNORRLANDS LÄN</t>
        </is>
      </c>
      <c r="E8311" t="inlineStr">
        <is>
          <t>ÅNGE</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14668-2023</t>
        </is>
      </c>
      <c r="B8312" s="1" t="n">
        <v>45014</v>
      </c>
      <c r="C8312" s="1" t="n">
        <v>45657</v>
      </c>
      <c r="D8312" t="inlineStr">
        <is>
          <t>VÄSTERNORRLANDS LÄN</t>
        </is>
      </c>
      <c r="E8312" t="inlineStr">
        <is>
          <t>SOLLEFTEÅ</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14699-2023</t>
        </is>
      </c>
      <c r="B8313" s="1" t="n">
        <v>45014</v>
      </c>
      <c r="C8313" s="1" t="n">
        <v>45657</v>
      </c>
      <c r="D8313" t="inlineStr">
        <is>
          <t>VÄSTERNORRLANDS LÄN</t>
        </is>
      </c>
      <c r="E8313" t="inlineStr">
        <is>
          <t>KRAMFORS</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14713-2023</t>
        </is>
      </c>
      <c r="B8314" s="1" t="n">
        <v>45014</v>
      </c>
      <c r="C8314" s="1" t="n">
        <v>45657</v>
      </c>
      <c r="D8314" t="inlineStr">
        <is>
          <t>VÄSTERNORRLANDS LÄN</t>
        </is>
      </c>
      <c r="E8314" t="inlineStr">
        <is>
          <t>ÖRNSKÖLDSVIK</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14937-2023</t>
        </is>
      </c>
      <c r="B8315" s="1" t="n">
        <v>45014</v>
      </c>
      <c r="C8315" s="1" t="n">
        <v>45657</v>
      </c>
      <c r="D8315" t="inlineStr">
        <is>
          <t>VÄSTERNORRLANDS LÄN</t>
        </is>
      </c>
      <c r="E8315" t="inlineStr">
        <is>
          <t>SOLLEFTEÅ</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14865-2023</t>
        </is>
      </c>
      <c r="B8316" s="1" t="n">
        <v>45015</v>
      </c>
      <c r="C8316" s="1" t="n">
        <v>45657</v>
      </c>
      <c r="D8316" t="inlineStr">
        <is>
          <t>VÄSTERNORRLANDS LÄN</t>
        </is>
      </c>
      <c r="E8316" t="inlineStr">
        <is>
          <t>TIMRÅ</t>
        </is>
      </c>
      <c r="F8316" t="inlineStr">
        <is>
          <t>SCA</t>
        </is>
      </c>
      <c r="G8316" t="n">
        <v>20.1</v>
      </c>
      <c r="H8316" t="n">
        <v>0</v>
      </c>
      <c r="I8316" t="n">
        <v>0</v>
      </c>
      <c r="J8316" t="n">
        <v>0</v>
      </c>
      <c r="K8316" t="n">
        <v>0</v>
      </c>
      <c r="L8316" t="n">
        <v>0</v>
      </c>
      <c r="M8316" t="n">
        <v>0</v>
      </c>
      <c r="N8316" t="n">
        <v>0</v>
      </c>
      <c r="O8316" t="n">
        <v>0</v>
      </c>
      <c r="P8316" t="n">
        <v>0</v>
      </c>
      <c r="Q8316" t="n">
        <v>0</v>
      </c>
      <c r="R8316" s="2" t="inlineStr"/>
    </row>
    <row r="8317" ht="15" customHeight="1">
      <c r="A8317" t="inlineStr">
        <is>
          <t>A 14873-2023</t>
        </is>
      </c>
      <c r="B8317" s="1" t="n">
        <v>45015</v>
      </c>
      <c r="C8317" s="1" t="n">
        <v>45657</v>
      </c>
      <c r="D8317" t="inlineStr">
        <is>
          <t>VÄSTERNORRLANDS LÄN</t>
        </is>
      </c>
      <c r="E8317" t="inlineStr">
        <is>
          <t>HÄRNÖSAND</t>
        </is>
      </c>
      <c r="F8317" t="inlineStr">
        <is>
          <t>SCA</t>
        </is>
      </c>
      <c r="G8317" t="n">
        <v>39.1</v>
      </c>
      <c r="H8317" t="n">
        <v>0</v>
      </c>
      <c r="I8317" t="n">
        <v>0</v>
      </c>
      <c r="J8317" t="n">
        <v>0</v>
      </c>
      <c r="K8317" t="n">
        <v>0</v>
      </c>
      <c r="L8317" t="n">
        <v>0</v>
      </c>
      <c r="M8317" t="n">
        <v>0</v>
      </c>
      <c r="N8317" t="n">
        <v>0</v>
      </c>
      <c r="O8317" t="n">
        <v>0</v>
      </c>
      <c r="P8317" t="n">
        <v>0</v>
      </c>
      <c r="Q8317" t="n">
        <v>0</v>
      </c>
      <c r="R8317" s="2" t="inlineStr"/>
    </row>
    <row r="8318" ht="15" customHeight="1">
      <c r="A8318" t="inlineStr">
        <is>
          <t>A 14859-2023</t>
        </is>
      </c>
      <c r="B8318" s="1" t="n">
        <v>45015</v>
      </c>
      <c r="C8318" s="1" t="n">
        <v>45657</v>
      </c>
      <c r="D8318" t="inlineStr">
        <is>
          <t>VÄSTERNORRLANDS LÄN</t>
        </is>
      </c>
      <c r="E8318" t="inlineStr">
        <is>
          <t>SOLLEFTEÅ</t>
        </is>
      </c>
      <c r="F8318" t="inlineStr">
        <is>
          <t>SCA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14863-2023</t>
        </is>
      </c>
      <c r="B8319" s="1" t="n">
        <v>45015</v>
      </c>
      <c r="C8319" s="1" t="n">
        <v>45657</v>
      </c>
      <c r="D8319" t="inlineStr">
        <is>
          <t>VÄSTERNORRLANDS LÄN</t>
        </is>
      </c>
      <c r="E8319" t="inlineStr">
        <is>
          <t>TIMRÅ</t>
        </is>
      </c>
      <c r="F8319" t="inlineStr">
        <is>
          <t>SCA</t>
        </is>
      </c>
      <c r="G8319" t="n">
        <v>19.8</v>
      </c>
      <c r="H8319" t="n">
        <v>0</v>
      </c>
      <c r="I8319" t="n">
        <v>0</v>
      </c>
      <c r="J8319" t="n">
        <v>0</v>
      </c>
      <c r="K8319" t="n">
        <v>0</v>
      </c>
      <c r="L8319" t="n">
        <v>0</v>
      </c>
      <c r="M8319" t="n">
        <v>0</v>
      </c>
      <c r="N8319" t="n">
        <v>0</v>
      </c>
      <c r="O8319" t="n">
        <v>0</v>
      </c>
      <c r="P8319" t="n">
        <v>0</v>
      </c>
      <c r="Q8319" t="n">
        <v>0</v>
      </c>
      <c r="R8319" s="2" t="inlineStr"/>
    </row>
    <row r="8320" ht="15" customHeight="1">
      <c r="A8320" t="inlineStr">
        <is>
          <t>A 14871-2023</t>
        </is>
      </c>
      <c r="B8320" s="1" t="n">
        <v>45015</v>
      </c>
      <c r="C8320" s="1" t="n">
        <v>45657</v>
      </c>
      <c r="D8320" t="inlineStr">
        <is>
          <t>VÄSTERNORRLANDS LÄN</t>
        </is>
      </c>
      <c r="E8320" t="inlineStr">
        <is>
          <t>HÄRNÖSAND</t>
        </is>
      </c>
      <c r="F8320" t="inlineStr">
        <is>
          <t>SCA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14875-2023</t>
        </is>
      </c>
      <c r="B8321" s="1" t="n">
        <v>45015</v>
      </c>
      <c r="C8321" s="1" t="n">
        <v>45657</v>
      </c>
      <c r="D8321" t="inlineStr">
        <is>
          <t>VÄSTERNORRLANDS LÄN</t>
        </is>
      </c>
      <c r="E8321" t="inlineStr">
        <is>
          <t>SOLLEFTEÅ</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14879-2023</t>
        </is>
      </c>
      <c r="B8322" s="1" t="n">
        <v>45015</v>
      </c>
      <c r="C8322" s="1" t="n">
        <v>45657</v>
      </c>
      <c r="D8322" t="inlineStr">
        <is>
          <t>VÄSTERNORRLANDS LÄN</t>
        </is>
      </c>
      <c r="E8322" t="inlineStr">
        <is>
          <t>ÅNGE</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14885-2023</t>
        </is>
      </c>
      <c r="B8323" s="1" t="n">
        <v>45015</v>
      </c>
      <c r="C8323" s="1" t="n">
        <v>45657</v>
      </c>
      <c r="D8323" t="inlineStr">
        <is>
          <t>VÄSTERNORRLANDS LÄN</t>
        </is>
      </c>
      <c r="E8323" t="inlineStr">
        <is>
          <t>ÅNGE</t>
        </is>
      </c>
      <c r="F8323" t="inlineStr">
        <is>
          <t>SCA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14887-2023</t>
        </is>
      </c>
      <c r="B8324" s="1" t="n">
        <v>45015</v>
      </c>
      <c r="C8324" s="1" t="n">
        <v>45657</v>
      </c>
      <c r="D8324" t="inlineStr">
        <is>
          <t>VÄSTERNORRLANDS LÄN</t>
        </is>
      </c>
      <c r="E8324" t="inlineStr">
        <is>
          <t>SUNDSVALL</t>
        </is>
      </c>
      <c r="F8324" t="inlineStr">
        <is>
          <t>SCA</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14864-2023</t>
        </is>
      </c>
      <c r="B8325" s="1" t="n">
        <v>45015</v>
      </c>
      <c r="C8325" s="1" t="n">
        <v>45657</v>
      </c>
      <c r="D8325" t="inlineStr">
        <is>
          <t>VÄSTERNORRLANDS LÄN</t>
        </is>
      </c>
      <c r="E8325" t="inlineStr">
        <is>
          <t>TIMRÅ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14872-2023</t>
        </is>
      </c>
      <c r="B8326" s="1" t="n">
        <v>45015</v>
      </c>
      <c r="C8326" s="1" t="n">
        <v>45657</v>
      </c>
      <c r="D8326" t="inlineStr">
        <is>
          <t>VÄSTERNORRLANDS LÄN</t>
        </is>
      </c>
      <c r="E8326" t="inlineStr">
        <is>
          <t>HÄRNÖSAND</t>
        </is>
      </c>
      <c r="F8326" t="inlineStr">
        <is>
          <t>SCA</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14870-2023</t>
        </is>
      </c>
      <c r="B8327" s="1" t="n">
        <v>45015</v>
      </c>
      <c r="C8327" s="1" t="n">
        <v>45657</v>
      </c>
      <c r="D8327" t="inlineStr">
        <is>
          <t>VÄSTERNORRLANDS LÄN</t>
        </is>
      </c>
      <c r="E8327" t="inlineStr">
        <is>
          <t>ÅNGE</t>
        </is>
      </c>
      <c r="F8327" t="inlineStr">
        <is>
          <t>SCA</t>
        </is>
      </c>
      <c r="G8327" t="n">
        <v>30.5</v>
      </c>
      <c r="H8327" t="n">
        <v>0</v>
      </c>
      <c r="I8327" t="n">
        <v>0</v>
      </c>
      <c r="J8327" t="n">
        <v>0</v>
      </c>
      <c r="K8327" t="n">
        <v>0</v>
      </c>
      <c r="L8327" t="n">
        <v>0</v>
      </c>
      <c r="M8327" t="n">
        <v>0</v>
      </c>
      <c r="N8327" t="n">
        <v>0</v>
      </c>
      <c r="O8327" t="n">
        <v>0</v>
      </c>
      <c r="P8327" t="n">
        <v>0</v>
      </c>
      <c r="Q8327" t="n">
        <v>0</v>
      </c>
      <c r="R8327" s="2" t="inlineStr"/>
    </row>
    <row r="8328" ht="15" customHeight="1">
      <c r="A8328" t="inlineStr">
        <is>
          <t>A 14874-2023</t>
        </is>
      </c>
      <c r="B8328" s="1" t="n">
        <v>45015</v>
      </c>
      <c r="C8328" s="1" t="n">
        <v>45657</v>
      </c>
      <c r="D8328" t="inlineStr">
        <is>
          <t>VÄSTERNORRLANDS LÄN</t>
        </is>
      </c>
      <c r="E8328" t="inlineStr">
        <is>
          <t>HÄRNÖSAND</t>
        </is>
      </c>
      <c r="F8328" t="inlineStr">
        <is>
          <t>SCA</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14963-2023</t>
        </is>
      </c>
      <c r="B8329" s="1" t="n">
        <v>45015</v>
      </c>
      <c r="C8329" s="1" t="n">
        <v>45657</v>
      </c>
      <c r="D8329" t="inlineStr">
        <is>
          <t>VÄSTERNORRLANDS LÄN</t>
        </is>
      </c>
      <c r="E8329" t="inlineStr">
        <is>
          <t>ÖRNSKÖLDSVIK</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15071-2023</t>
        </is>
      </c>
      <c r="B8330" s="1" t="n">
        <v>45015</v>
      </c>
      <c r="C8330" s="1" t="n">
        <v>45657</v>
      </c>
      <c r="D8330" t="inlineStr">
        <is>
          <t>VÄSTERNORRLANDS LÄN</t>
        </is>
      </c>
      <c r="E8330" t="inlineStr">
        <is>
          <t>KRAMFORS</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14929-2023</t>
        </is>
      </c>
      <c r="B8331" s="1" t="n">
        <v>45015</v>
      </c>
      <c r="C8331" s="1" t="n">
        <v>45657</v>
      </c>
      <c r="D8331" t="inlineStr">
        <is>
          <t>VÄSTERNORRLANDS LÄN</t>
        </is>
      </c>
      <c r="E8331" t="inlineStr">
        <is>
          <t>ÖRNSKÖLDSVIK</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15050-2023</t>
        </is>
      </c>
      <c r="B8332" s="1" t="n">
        <v>45015</v>
      </c>
      <c r="C8332" s="1" t="n">
        <v>45657</v>
      </c>
      <c r="D8332" t="inlineStr">
        <is>
          <t>VÄSTERNORRLANDS LÄN</t>
        </is>
      </c>
      <c r="E8332" t="inlineStr">
        <is>
          <t>ÖRNSKÖLDSVIK</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15048-2023</t>
        </is>
      </c>
      <c r="B8333" s="1" t="n">
        <v>45015</v>
      </c>
      <c r="C8333" s="1" t="n">
        <v>45657</v>
      </c>
      <c r="D8333" t="inlineStr">
        <is>
          <t>VÄSTERNORRLANDS LÄN</t>
        </is>
      </c>
      <c r="E8333" t="inlineStr">
        <is>
          <t>ÖRNSKÖLDSVIK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15080-2023</t>
        </is>
      </c>
      <c r="B8334" s="1" t="n">
        <v>45016</v>
      </c>
      <c r="C8334" s="1" t="n">
        <v>45657</v>
      </c>
      <c r="D8334" t="inlineStr">
        <is>
          <t>VÄSTERNORRLANDS LÄN</t>
        </is>
      </c>
      <c r="E8334" t="inlineStr">
        <is>
          <t>SOLLEFTEÅ</t>
        </is>
      </c>
      <c r="F8334" t="inlineStr">
        <is>
          <t>SCA</t>
        </is>
      </c>
      <c r="G8334" t="n">
        <v>33.6</v>
      </c>
      <c r="H8334" t="n">
        <v>0</v>
      </c>
      <c r="I8334" t="n">
        <v>0</v>
      </c>
      <c r="J8334" t="n">
        <v>0</v>
      </c>
      <c r="K8334" t="n">
        <v>0</v>
      </c>
      <c r="L8334" t="n">
        <v>0</v>
      </c>
      <c r="M8334" t="n">
        <v>0</v>
      </c>
      <c r="N8334" t="n">
        <v>0</v>
      </c>
      <c r="O8334" t="n">
        <v>0</v>
      </c>
      <c r="P8334" t="n">
        <v>0</v>
      </c>
      <c r="Q8334" t="n">
        <v>0</v>
      </c>
      <c r="R8334" s="2" t="inlineStr"/>
    </row>
    <row r="8335" ht="15" customHeight="1">
      <c r="A8335" t="inlineStr">
        <is>
          <t>A 15419-2023</t>
        </is>
      </c>
      <c r="B8335" s="1" t="n">
        <v>45019</v>
      </c>
      <c r="C8335" s="1" t="n">
        <v>45657</v>
      </c>
      <c r="D8335" t="inlineStr">
        <is>
          <t>VÄSTERNORRLANDS LÄN</t>
        </is>
      </c>
      <c r="E8335" t="inlineStr">
        <is>
          <t>ÖRNSKÖLDSVIK</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15414-2023</t>
        </is>
      </c>
      <c r="B8336" s="1" t="n">
        <v>45019</v>
      </c>
      <c r="C8336" s="1" t="n">
        <v>45657</v>
      </c>
      <c r="D8336" t="inlineStr">
        <is>
          <t>VÄSTERNORRLANDS LÄN</t>
        </is>
      </c>
      <c r="E8336" t="inlineStr">
        <is>
          <t>ÖRNSKÖLDSVIK</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15632-2023</t>
        </is>
      </c>
      <c r="B8337" s="1" t="n">
        <v>45019</v>
      </c>
      <c r="C8337" s="1" t="n">
        <v>45657</v>
      </c>
      <c r="D8337" t="inlineStr">
        <is>
          <t>VÄSTERNORRLANDS LÄN</t>
        </is>
      </c>
      <c r="E8337" t="inlineStr">
        <is>
          <t>SOLLEFTEÅ</t>
        </is>
      </c>
      <c r="G8337" t="n">
        <v>12.8</v>
      </c>
      <c r="H8337" t="n">
        <v>0</v>
      </c>
      <c r="I8337" t="n">
        <v>0</v>
      </c>
      <c r="J8337" t="n">
        <v>0</v>
      </c>
      <c r="K8337" t="n">
        <v>0</v>
      </c>
      <c r="L8337" t="n">
        <v>0</v>
      </c>
      <c r="M8337" t="n">
        <v>0</v>
      </c>
      <c r="N8337" t="n">
        <v>0</v>
      </c>
      <c r="O8337" t="n">
        <v>0</v>
      </c>
      <c r="P8337" t="n">
        <v>0</v>
      </c>
      <c r="Q8337" t="n">
        <v>0</v>
      </c>
      <c r="R8337" s="2" t="inlineStr"/>
    </row>
    <row r="8338" ht="15" customHeight="1">
      <c r="A8338" t="inlineStr">
        <is>
          <t>A 15485-2023</t>
        </is>
      </c>
      <c r="B8338" s="1" t="n">
        <v>45020</v>
      </c>
      <c r="C8338" s="1" t="n">
        <v>45657</v>
      </c>
      <c r="D8338" t="inlineStr">
        <is>
          <t>VÄSTERNORRLANDS LÄN</t>
        </is>
      </c>
      <c r="E8338" t="inlineStr">
        <is>
          <t>ÖRNSKÖLDSVIK</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15620-2023</t>
        </is>
      </c>
      <c r="B8339" s="1" t="n">
        <v>45020</v>
      </c>
      <c r="C8339" s="1" t="n">
        <v>45657</v>
      </c>
      <c r="D8339" t="inlineStr">
        <is>
          <t>VÄSTERNORRLANDS LÄN</t>
        </is>
      </c>
      <c r="E8339" t="inlineStr">
        <is>
          <t>SUNDSVALL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15723-2023</t>
        </is>
      </c>
      <c r="B8340" s="1" t="n">
        <v>45020</v>
      </c>
      <c r="C8340" s="1" t="n">
        <v>45657</v>
      </c>
      <c r="D8340" t="inlineStr">
        <is>
          <t>VÄSTERNORRLANDS LÄN</t>
        </is>
      </c>
      <c r="E8340" t="inlineStr">
        <is>
          <t>SOLLEFTEÅ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15815-2023</t>
        </is>
      </c>
      <c r="B8341" s="1" t="n">
        <v>45022</v>
      </c>
      <c r="C8341" s="1" t="n">
        <v>45657</v>
      </c>
      <c r="D8341" t="inlineStr">
        <is>
          <t>VÄSTERNORRLANDS LÄN</t>
        </is>
      </c>
      <c r="E8341" t="inlineStr">
        <is>
          <t>TIMRÅ</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15820-2023</t>
        </is>
      </c>
      <c r="B8342" s="1" t="n">
        <v>45022</v>
      </c>
      <c r="C8342" s="1" t="n">
        <v>45657</v>
      </c>
      <c r="D8342" t="inlineStr">
        <is>
          <t>VÄSTERNORRLANDS LÄN</t>
        </is>
      </c>
      <c r="E8342" t="inlineStr">
        <is>
          <t>TIMRÅ</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15816-2023</t>
        </is>
      </c>
      <c r="B8343" s="1" t="n">
        <v>45021</v>
      </c>
      <c r="C8343" s="1" t="n">
        <v>45657</v>
      </c>
      <c r="D8343" t="inlineStr">
        <is>
          <t>VÄSTERNORRLANDS LÄN</t>
        </is>
      </c>
      <c r="E8343" t="inlineStr">
        <is>
          <t>TIMRÅ</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15821-2023</t>
        </is>
      </c>
      <c r="B8344" s="1" t="n">
        <v>45022</v>
      </c>
      <c r="C8344" s="1" t="n">
        <v>45657</v>
      </c>
      <c r="D8344" t="inlineStr">
        <is>
          <t>VÄSTERNORRLANDS LÄN</t>
        </is>
      </c>
      <c r="E8344" t="inlineStr">
        <is>
          <t>TIMRÅ</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15823-2023</t>
        </is>
      </c>
      <c r="B8345" s="1" t="n">
        <v>45021</v>
      </c>
      <c r="C8345" s="1" t="n">
        <v>45657</v>
      </c>
      <c r="D8345" t="inlineStr">
        <is>
          <t>VÄSTERNORRLANDS LÄN</t>
        </is>
      </c>
      <c r="E8345" t="inlineStr">
        <is>
          <t>TIMRÅ</t>
        </is>
      </c>
      <c r="F8345" t="inlineStr">
        <is>
          <t>SCA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15981-2023</t>
        </is>
      </c>
      <c r="B8346" s="1" t="n">
        <v>45023</v>
      </c>
      <c r="C8346" s="1" t="n">
        <v>45657</v>
      </c>
      <c r="D8346" t="inlineStr">
        <is>
          <t>VÄSTERNORRLANDS LÄN</t>
        </is>
      </c>
      <c r="E8346" t="inlineStr">
        <is>
          <t>SUNDSVALL</t>
        </is>
      </c>
      <c r="F8346" t="inlineStr">
        <is>
          <t>SCA</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15982-2023</t>
        </is>
      </c>
      <c r="B8347" s="1" t="n">
        <v>45023</v>
      </c>
      <c r="C8347" s="1" t="n">
        <v>45657</v>
      </c>
      <c r="D8347" t="inlineStr">
        <is>
          <t>VÄSTERNORRLANDS LÄN</t>
        </is>
      </c>
      <c r="E8347" t="inlineStr">
        <is>
          <t>ÖRNSKÖLDSVIK</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15978-2023</t>
        </is>
      </c>
      <c r="B8348" s="1" t="n">
        <v>45023</v>
      </c>
      <c r="C8348" s="1" t="n">
        <v>45657</v>
      </c>
      <c r="D8348" t="inlineStr">
        <is>
          <t>VÄSTERNORRLANDS LÄN</t>
        </is>
      </c>
      <c r="E8348" t="inlineStr">
        <is>
          <t>SOLLEFTEÅ</t>
        </is>
      </c>
      <c r="F8348" t="inlineStr">
        <is>
          <t>SCA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15987-2023</t>
        </is>
      </c>
      <c r="B8349" s="1" t="n">
        <v>45023</v>
      </c>
      <c r="C8349" s="1" t="n">
        <v>45657</v>
      </c>
      <c r="D8349" t="inlineStr">
        <is>
          <t>VÄSTERNORRLANDS LÄN</t>
        </is>
      </c>
      <c r="E8349" t="inlineStr">
        <is>
          <t>SOLLEFTEÅ</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15998-2023</t>
        </is>
      </c>
      <c r="B8350" s="1" t="n">
        <v>45024</v>
      </c>
      <c r="C8350" s="1" t="n">
        <v>45657</v>
      </c>
      <c r="D8350" t="inlineStr">
        <is>
          <t>VÄSTERNORRLANDS LÄN</t>
        </is>
      </c>
      <c r="E8350" t="inlineStr">
        <is>
          <t>SOLLEFTEÅ</t>
        </is>
      </c>
      <c r="F8350" t="inlineStr">
        <is>
          <t>SCA</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16189-2023</t>
        </is>
      </c>
      <c r="B8351" s="1" t="n">
        <v>45028</v>
      </c>
      <c r="C8351" s="1" t="n">
        <v>45657</v>
      </c>
      <c r="D8351" t="inlineStr">
        <is>
          <t>VÄSTERNORRLANDS LÄN</t>
        </is>
      </c>
      <c r="E8351" t="inlineStr">
        <is>
          <t>SOLLEFTEÅ</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16193-2023</t>
        </is>
      </c>
      <c r="B8352" s="1" t="n">
        <v>45028</v>
      </c>
      <c r="C8352" s="1" t="n">
        <v>45657</v>
      </c>
      <c r="D8352" t="inlineStr">
        <is>
          <t>VÄSTERNORRLANDS LÄN</t>
        </is>
      </c>
      <c r="E8352" t="inlineStr">
        <is>
          <t>ÖRNSKÖLDSVIK</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16190-2023</t>
        </is>
      </c>
      <c r="B8353" s="1" t="n">
        <v>45028</v>
      </c>
      <c r="C8353" s="1" t="n">
        <v>45657</v>
      </c>
      <c r="D8353" t="inlineStr">
        <is>
          <t>VÄSTERNORRLANDS LÄN</t>
        </is>
      </c>
      <c r="E8353" t="inlineStr">
        <is>
          <t>SOLLEFTEÅ</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16192-2023</t>
        </is>
      </c>
      <c r="B8354" s="1" t="n">
        <v>45028</v>
      </c>
      <c r="C8354" s="1" t="n">
        <v>45657</v>
      </c>
      <c r="D8354" t="inlineStr">
        <is>
          <t>VÄSTERNORRLANDS LÄN</t>
        </is>
      </c>
      <c r="E8354" t="inlineStr">
        <is>
          <t>ÅNGE</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16486-2023</t>
        </is>
      </c>
      <c r="B8355" s="1" t="n">
        <v>45027</v>
      </c>
      <c r="C8355" s="1" t="n">
        <v>45657</v>
      </c>
      <c r="D8355" t="inlineStr">
        <is>
          <t>VÄSTERNORRLANDS LÄN</t>
        </is>
      </c>
      <c r="E8355" t="inlineStr">
        <is>
          <t>ÖRNSKÖLDSVIK</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16191-2023</t>
        </is>
      </c>
      <c r="B8356" s="1" t="n">
        <v>45028</v>
      </c>
      <c r="C8356" s="1" t="n">
        <v>45657</v>
      </c>
      <c r="D8356" t="inlineStr">
        <is>
          <t>VÄSTERNORRLANDS LÄN</t>
        </is>
      </c>
      <c r="E8356" t="inlineStr">
        <is>
          <t>ÅNGE</t>
        </is>
      </c>
      <c r="F8356" t="inlineStr">
        <is>
          <t>SCA</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16196-2023</t>
        </is>
      </c>
      <c r="B8357" s="1" t="n">
        <v>45028</v>
      </c>
      <c r="C8357" s="1" t="n">
        <v>45657</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16489-2023</t>
        </is>
      </c>
      <c r="B8358" s="1" t="n">
        <v>45027</v>
      </c>
      <c r="C8358" s="1" t="n">
        <v>45657</v>
      </c>
      <c r="D8358" t="inlineStr">
        <is>
          <t>VÄSTERNORRLANDS LÄN</t>
        </is>
      </c>
      <c r="E8358" t="inlineStr">
        <is>
          <t>ÖRNSKÖLDSVIK</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16361-2023</t>
        </is>
      </c>
      <c r="B8359" s="1" t="n">
        <v>45029</v>
      </c>
      <c r="C8359" s="1" t="n">
        <v>45657</v>
      </c>
      <c r="D8359" t="inlineStr">
        <is>
          <t>VÄSTERNORRLANDS LÄN</t>
        </is>
      </c>
      <c r="E8359" t="inlineStr">
        <is>
          <t>ÅNGE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16365-2023</t>
        </is>
      </c>
      <c r="B8360" s="1" t="n">
        <v>45028</v>
      </c>
      <c r="C8360" s="1" t="n">
        <v>45657</v>
      </c>
      <c r="D8360" t="inlineStr">
        <is>
          <t>VÄSTERNORRLANDS LÄN</t>
        </is>
      </c>
      <c r="E8360" t="inlineStr">
        <is>
          <t>ÅNGE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16375-2023</t>
        </is>
      </c>
      <c r="B8361" s="1" t="n">
        <v>45029</v>
      </c>
      <c r="C8361" s="1" t="n">
        <v>45657</v>
      </c>
      <c r="D8361" t="inlineStr">
        <is>
          <t>VÄSTERNORRLANDS LÄN</t>
        </is>
      </c>
      <c r="E8361" t="inlineStr">
        <is>
          <t>SUNDSVALL</t>
        </is>
      </c>
      <c r="F8361" t="inlineStr">
        <is>
          <t>SCA</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16281-2023</t>
        </is>
      </c>
      <c r="B8362" s="1" t="n">
        <v>45028</v>
      </c>
      <c r="C8362" s="1" t="n">
        <v>45657</v>
      </c>
      <c r="D8362" t="inlineStr">
        <is>
          <t>VÄSTERNORRLANDS LÄN</t>
        </is>
      </c>
      <c r="E8362" t="inlineStr">
        <is>
          <t>ÅNGE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16250-2023</t>
        </is>
      </c>
      <c r="B8363" s="1" t="n">
        <v>45028</v>
      </c>
      <c r="C8363" s="1" t="n">
        <v>45657</v>
      </c>
      <c r="D8363" t="inlineStr">
        <is>
          <t>VÄSTERNORRLANDS LÄN</t>
        </is>
      </c>
      <c r="E8363" t="inlineStr">
        <is>
          <t>ÖRNSKÖLDSVIK</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16362-2023</t>
        </is>
      </c>
      <c r="B8364" s="1" t="n">
        <v>45029</v>
      </c>
      <c r="C8364" s="1" t="n">
        <v>45657</v>
      </c>
      <c r="D8364" t="inlineStr">
        <is>
          <t>VÄSTERNORRLANDS LÄN</t>
        </is>
      </c>
      <c r="E8364" t="inlineStr">
        <is>
          <t>ÅNGE</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16360-2023</t>
        </is>
      </c>
      <c r="B8365" s="1" t="n">
        <v>45029</v>
      </c>
      <c r="C8365" s="1" t="n">
        <v>45657</v>
      </c>
      <c r="D8365" t="inlineStr">
        <is>
          <t>VÄSTERNORRLANDS LÄN</t>
        </is>
      </c>
      <c r="E8365" t="inlineStr">
        <is>
          <t>ÅNGE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16378-2023</t>
        </is>
      </c>
      <c r="B8366" s="1" t="n">
        <v>45028</v>
      </c>
      <c r="C8366" s="1" t="n">
        <v>45657</v>
      </c>
      <c r="D8366" t="inlineStr">
        <is>
          <t>VÄSTERNORRLANDS LÄN</t>
        </is>
      </c>
      <c r="E8366" t="inlineStr">
        <is>
          <t>ÅNGE</t>
        </is>
      </c>
      <c r="F8366" t="inlineStr">
        <is>
          <t>SCA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16681-2023</t>
        </is>
      </c>
      <c r="B8367" s="1" t="n">
        <v>45028</v>
      </c>
      <c r="C8367" s="1" t="n">
        <v>45657</v>
      </c>
      <c r="D8367" t="inlineStr">
        <is>
          <t>VÄSTERNORRLANDS LÄN</t>
        </is>
      </c>
      <c r="E8367" t="inlineStr">
        <is>
          <t>KRAMFORS</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16370-2023</t>
        </is>
      </c>
      <c r="B8368" s="1" t="n">
        <v>45029</v>
      </c>
      <c r="C8368" s="1" t="n">
        <v>45657</v>
      </c>
      <c r="D8368" t="inlineStr">
        <is>
          <t>VÄSTERNORRLANDS LÄN</t>
        </is>
      </c>
      <c r="E8368" t="inlineStr">
        <is>
          <t>SOLLEFTEÅ</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16376-2023</t>
        </is>
      </c>
      <c r="B8369" s="1" t="n">
        <v>45029</v>
      </c>
      <c r="C8369" s="1" t="n">
        <v>45657</v>
      </c>
      <c r="D8369" t="inlineStr">
        <is>
          <t>VÄSTERNORRLANDS LÄN</t>
        </is>
      </c>
      <c r="E8369" t="inlineStr">
        <is>
          <t>SOLLEFTEÅ</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16380-2023</t>
        </is>
      </c>
      <c r="B8370" s="1" t="n">
        <v>45028</v>
      </c>
      <c r="C8370" s="1" t="n">
        <v>45657</v>
      </c>
      <c r="D8370" t="inlineStr">
        <is>
          <t>VÄSTERNORRLANDS LÄN</t>
        </is>
      </c>
      <c r="E8370" t="inlineStr">
        <is>
          <t>ÅNGE</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16799-2023</t>
        </is>
      </c>
      <c r="B8371" s="1" t="n">
        <v>45028</v>
      </c>
      <c r="C8371" s="1" t="n">
        <v>45657</v>
      </c>
      <c r="D8371" t="inlineStr">
        <is>
          <t>VÄSTERNORRLANDS LÄN</t>
        </is>
      </c>
      <c r="E8371" t="inlineStr">
        <is>
          <t>ÖRNSKÖLDSVIK</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16558-2023</t>
        </is>
      </c>
      <c r="B8372" s="1" t="n">
        <v>45029</v>
      </c>
      <c r="C8372" s="1" t="n">
        <v>45657</v>
      </c>
      <c r="D8372" t="inlineStr">
        <is>
          <t>VÄSTERNORRLANDS LÄN</t>
        </is>
      </c>
      <c r="E8372" t="inlineStr">
        <is>
          <t>SUNDSVALL</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16563-2023</t>
        </is>
      </c>
      <c r="B8373" s="1" t="n">
        <v>45029</v>
      </c>
      <c r="C8373" s="1" t="n">
        <v>45657</v>
      </c>
      <c r="D8373" t="inlineStr">
        <is>
          <t>VÄSTERNORRLANDS LÄN</t>
        </is>
      </c>
      <c r="E8373" t="inlineStr">
        <is>
          <t>SUNDSVALL</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16568-2023</t>
        </is>
      </c>
      <c r="B8374" s="1" t="n">
        <v>45030</v>
      </c>
      <c r="C8374" s="1" t="n">
        <v>45657</v>
      </c>
      <c r="D8374" t="inlineStr">
        <is>
          <t>VÄSTERNORRLANDS LÄN</t>
        </is>
      </c>
      <c r="E8374" t="inlineStr">
        <is>
          <t>SUNDSVALL</t>
        </is>
      </c>
      <c r="F8374" t="inlineStr">
        <is>
          <t>SCA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16577-2023</t>
        </is>
      </c>
      <c r="B8375" s="1" t="n">
        <v>45030</v>
      </c>
      <c r="C8375" s="1" t="n">
        <v>45657</v>
      </c>
      <c r="D8375" t="inlineStr">
        <is>
          <t>VÄSTERNORRLANDS LÄN</t>
        </is>
      </c>
      <c r="E8375" t="inlineStr">
        <is>
          <t>SUNDSVALL</t>
        </is>
      </c>
      <c r="F8375" t="inlineStr">
        <is>
          <t>SCA</t>
        </is>
      </c>
      <c r="G8375" t="n">
        <v>14.6</v>
      </c>
      <c r="H8375" t="n">
        <v>0</v>
      </c>
      <c r="I8375" t="n">
        <v>0</v>
      </c>
      <c r="J8375" t="n">
        <v>0</v>
      </c>
      <c r="K8375" t="n">
        <v>0</v>
      </c>
      <c r="L8375" t="n">
        <v>0</v>
      </c>
      <c r="M8375" t="n">
        <v>0</v>
      </c>
      <c r="N8375" t="n">
        <v>0</v>
      </c>
      <c r="O8375" t="n">
        <v>0</v>
      </c>
      <c r="P8375" t="n">
        <v>0</v>
      </c>
      <c r="Q8375" t="n">
        <v>0</v>
      </c>
      <c r="R8375" s="2" t="inlineStr"/>
    </row>
    <row r="8376" ht="15" customHeight="1">
      <c r="A8376" t="inlineStr">
        <is>
          <t>A 16554-2023</t>
        </is>
      </c>
      <c r="B8376" s="1" t="n">
        <v>45029</v>
      </c>
      <c r="C8376" s="1" t="n">
        <v>45657</v>
      </c>
      <c r="D8376" t="inlineStr">
        <is>
          <t>VÄSTERNORRLANDS LÄN</t>
        </is>
      </c>
      <c r="E8376" t="inlineStr">
        <is>
          <t>TIMRÅ</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16559-2023</t>
        </is>
      </c>
      <c r="B8377" s="1" t="n">
        <v>45029</v>
      </c>
      <c r="C8377" s="1" t="n">
        <v>45657</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16564-2023</t>
        </is>
      </c>
      <c r="B8378" s="1" t="n">
        <v>45030</v>
      </c>
      <c r="C8378" s="1" t="n">
        <v>45657</v>
      </c>
      <c r="D8378" t="inlineStr">
        <is>
          <t>VÄSTERNORRLANDS LÄN</t>
        </is>
      </c>
      <c r="E8378" t="inlineStr">
        <is>
          <t>SUNDSVALL</t>
        </is>
      </c>
      <c r="F8378" t="inlineStr">
        <is>
          <t>SCA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16548-2023</t>
        </is>
      </c>
      <c r="B8379" s="1" t="n">
        <v>45029</v>
      </c>
      <c r="C8379" s="1" t="n">
        <v>45657</v>
      </c>
      <c r="D8379" t="inlineStr">
        <is>
          <t>VÄSTERNORRLANDS LÄN</t>
        </is>
      </c>
      <c r="E8379" t="inlineStr">
        <is>
          <t>ÖRNSKÖLDSVIK</t>
        </is>
      </c>
      <c r="G8379" t="n">
        <v>9.4</v>
      </c>
      <c r="H8379" t="n">
        <v>0</v>
      </c>
      <c r="I8379" t="n">
        <v>0</v>
      </c>
      <c r="J8379" t="n">
        <v>0</v>
      </c>
      <c r="K8379" t="n">
        <v>0</v>
      </c>
      <c r="L8379" t="n">
        <v>0</v>
      </c>
      <c r="M8379" t="n">
        <v>0</v>
      </c>
      <c r="N8379" t="n">
        <v>0</v>
      </c>
      <c r="O8379" t="n">
        <v>0</v>
      </c>
      <c r="P8379" t="n">
        <v>0</v>
      </c>
      <c r="Q8379" t="n">
        <v>0</v>
      </c>
      <c r="R8379" s="2" t="inlineStr"/>
    </row>
    <row r="8380" ht="15" customHeight="1">
      <c r="A8380" t="inlineStr">
        <is>
          <t>A 16555-2023</t>
        </is>
      </c>
      <c r="B8380" s="1" t="n">
        <v>45029</v>
      </c>
      <c r="C8380" s="1" t="n">
        <v>45657</v>
      </c>
      <c r="D8380" t="inlineStr">
        <is>
          <t>VÄSTERNORRLANDS LÄN</t>
        </is>
      </c>
      <c r="E8380" t="inlineStr">
        <is>
          <t>TIMRÅ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16571-2023</t>
        </is>
      </c>
      <c r="B8381" s="1" t="n">
        <v>45030</v>
      </c>
      <c r="C8381" s="1" t="n">
        <v>45657</v>
      </c>
      <c r="D8381" t="inlineStr">
        <is>
          <t>VÄSTERNORRLANDS LÄN</t>
        </is>
      </c>
      <c r="E8381" t="inlineStr">
        <is>
          <t>ÅNGE</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16549-2023</t>
        </is>
      </c>
      <c r="B8382" s="1" t="n">
        <v>45029</v>
      </c>
      <c r="C8382" s="1" t="n">
        <v>45657</v>
      </c>
      <c r="D8382" t="inlineStr">
        <is>
          <t>VÄSTERNORRLANDS LÄN</t>
        </is>
      </c>
      <c r="E8382" t="inlineStr">
        <is>
          <t>ÖRNSKÖLDSVIK</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16562-2023</t>
        </is>
      </c>
      <c r="B8383" s="1" t="n">
        <v>45029</v>
      </c>
      <c r="C8383" s="1" t="n">
        <v>45657</v>
      </c>
      <c r="D8383" t="inlineStr">
        <is>
          <t>VÄSTERNORRLANDS LÄN</t>
        </is>
      </c>
      <c r="E8383" t="inlineStr">
        <is>
          <t>SOLLEFTEÅ</t>
        </is>
      </c>
      <c r="F8383" t="inlineStr">
        <is>
          <t>SCA</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16567-2023</t>
        </is>
      </c>
      <c r="B8384" s="1" t="n">
        <v>45030</v>
      </c>
      <c r="C8384" s="1" t="n">
        <v>45657</v>
      </c>
      <c r="D8384" t="inlineStr">
        <is>
          <t>VÄSTERNORRLANDS LÄN</t>
        </is>
      </c>
      <c r="E8384" t="inlineStr">
        <is>
          <t>SUNDSVALL</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16572-2023</t>
        </is>
      </c>
      <c r="B8385" s="1" t="n">
        <v>45030</v>
      </c>
      <c r="C8385" s="1" t="n">
        <v>45657</v>
      </c>
      <c r="D8385" t="inlineStr">
        <is>
          <t>VÄSTERNORRLANDS LÄN</t>
        </is>
      </c>
      <c r="E8385" t="inlineStr">
        <is>
          <t>ÅNGE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16576-2023</t>
        </is>
      </c>
      <c r="B8386" s="1" t="n">
        <v>45030</v>
      </c>
      <c r="C8386" s="1" t="n">
        <v>45657</v>
      </c>
      <c r="D8386" t="inlineStr">
        <is>
          <t>VÄSTERNORRLANDS LÄN</t>
        </is>
      </c>
      <c r="E8386" t="inlineStr">
        <is>
          <t>ÅNGE</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16600-2023</t>
        </is>
      </c>
      <c r="B8387" s="1" t="n">
        <v>45030</v>
      </c>
      <c r="C8387" s="1" t="n">
        <v>45657</v>
      </c>
      <c r="D8387" t="inlineStr">
        <is>
          <t>VÄSTERNORRLANDS LÄN</t>
        </is>
      </c>
      <c r="E8387" t="inlineStr">
        <is>
          <t>ÅNGE</t>
        </is>
      </c>
      <c r="G8387" t="n">
        <v>0.1</v>
      </c>
      <c r="H8387" t="n">
        <v>0</v>
      </c>
      <c r="I8387" t="n">
        <v>0</v>
      </c>
      <c r="J8387" t="n">
        <v>0</v>
      </c>
      <c r="K8387" t="n">
        <v>0</v>
      </c>
      <c r="L8387" t="n">
        <v>0</v>
      </c>
      <c r="M8387" t="n">
        <v>0</v>
      </c>
      <c r="N8387" t="n">
        <v>0</v>
      </c>
      <c r="O8387" t="n">
        <v>0</v>
      </c>
      <c r="P8387" t="n">
        <v>0</v>
      </c>
      <c r="Q8387" t="n">
        <v>0</v>
      </c>
      <c r="R8387" s="2" t="inlineStr"/>
    </row>
    <row r="8388" ht="15" customHeight="1">
      <c r="A8388" t="inlineStr">
        <is>
          <t>A 16606-2023</t>
        </is>
      </c>
      <c r="B8388" s="1" t="n">
        <v>45030</v>
      </c>
      <c r="C8388" s="1" t="n">
        <v>45657</v>
      </c>
      <c r="D8388" t="inlineStr">
        <is>
          <t>VÄSTERNORRLANDS LÄN</t>
        </is>
      </c>
      <c r="E8388" t="inlineStr">
        <is>
          <t>ÅNGE</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16763-2023</t>
        </is>
      </c>
      <c r="B8389" s="1" t="n">
        <v>45030</v>
      </c>
      <c r="C8389" s="1" t="n">
        <v>45657</v>
      </c>
      <c r="D8389" t="inlineStr">
        <is>
          <t>VÄSTERNORRLANDS LÄN</t>
        </is>
      </c>
      <c r="E8389" t="inlineStr">
        <is>
          <t>ÅNGE</t>
        </is>
      </c>
      <c r="F8389" t="inlineStr">
        <is>
          <t>SCA</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16593-2023</t>
        </is>
      </c>
      <c r="B8390" s="1" t="n">
        <v>45030</v>
      </c>
      <c r="C8390" s="1" t="n">
        <v>45657</v>
      </c>
      <c r="D8390" t="inlineStr">
        <is>
          <t>VÄSTERNORRLANDS LÄN</t>
        </is>
      </c>
      <c r="E8390" t="inlineStr">
        <is>
          <t>ÅNGE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16765-2023</t>
        </is>
      </c>
      <c r="B8391" s="1" t="n">
        <v>45030</v>
      </c>
      <c r="C8391" s="1" t="n">
        <v>45657</v>
      </c>
      <c r="D8391" t="inlineStr">
        <is>
          <t>VÄSTERNORRLANDS LÄN</t>
        </is>
      </c>
      <c r="E8391" t="inlineStr">
        <is>
          <t>SUNDSVALL</t>
        </is>
      </c>
      <c r="F8391" t="inlineStr">
        <is>
          <t>Naturvårdsverket</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16760-2023</t>
        </is>
      </c>
      <c r="B8392" s="1" t="n">
        <v>45030</v>
      </c>
      <c r="C8392" s="1" t="n">
        <v>45657</v>
      </c>
      <c r="D8392" t="inlineStr">
        <is>
          <t>VÄSTERNORRLANDS LÄN</t>
        </is>
      </c>
      <c r="E8392" t="inlineStr">
        <is>
          <t>SOLLEFTEÅ</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16764-2023</t>
        </is>
      </c>
      <c r="B8393" s="1" t="n">
        <v>45031</v>
      </c>
      <c r="C8393" s="1" t="n">
        <v>45657</v>
      </c>
      <c r="D8393" t="inlineStr">
        <is>
          <t>VÄSTERNORRLANDS LÄN</t>
        </is>
      </c>
      <c r="E8393" t="inlineStr">
        <is>
          <t>ÖRNSKÖLDSVIK</t>
        </is>
      </c>
      <c r="F8393" t="inlineStr">
        <is>
          <t>SCA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16768-2023</t>
        </is>
      </c>
      <c r="B8394" s="1" t="n">
        <v>45030</v>
      </c>
      <c r="C8394" s="1" t="n">
        <v>45657</v>
      </c>
      <c r="D8394" t="inlineStr">
        <is>
          <t>VÄSTERNORRLANDS LÄN</t>
        </is>
      </c>
      <c r="E8394" t="inlineStr">
        <is>
          <t>SUNDSVALL</t>
        </is>
      </c>
      <c r="F8394" t="inlineStr">
        <is>
          <t>SCA</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16762-2023</t>
        </is>
      </c>
      <c r="B8395" s="1" t="n">
        <v>45030</v>
      </c>
      <c r="C8395" s="1" t="n">
        <v>45657</v>
      </c>
      <c r="D8395" t="inlineStr">
        <is>
          <t>VÄSTERNORRLANDS LÄN</t>
        </is>
      </c>
      <c r="E8395" t="inlineStr">
        <is>
          <t>ÅNGE</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16766-2023</t>
        </is>
      </c>
      <c r="B8396" s="1" t="n">
        <v>45030</v>
      </c>
      <c r="C8396" s="1" t="n">
        <v>45657</v>
      </c>
      <c r="D8396" t="inlineStr">
        <is>
          <t>VÄSTERNORRLANDS LÄN</t>
        </is>
      </c>
      <c r="E8396" t="inlineStr">
        <is>
          <t>SUNDSVALL</t>
        </is>
      </c>
      <c r="F8396" t="inlineStr">
        <is>
          <t>Naturvårdsverket</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16785-2023</t>
        </is>
      </c>
      <c r="B8397" s="1" t="n">
        <v>45033</v>
      </c>
      <c r="C8397" s="1" t="n">
        <v>45657</v>
      </c>
      <c r="D8397" t="inlineStr">
        <is>
          <t>VÄSTERNORRLANDS LÄN</t>
        </is>
      </c>
      <c r="E8397" t="inlineStr">
        <is>
          <t>SUNDSVALL</t>
        </is>
      </c>
      <c r="F8397" t="inlineStr">
        <is>
          <t>SCA</t>
        </is>
      </c>
      <c r="G8397" t="n">
        <v>10.8</v>
      </c>
      <c r="H8397" t="n">
        <v>0</v>
      </c>
      <c r="I8397" t="n">
        <v>0</v>
      </c>
      <c r="J8397" t="n">
        <v>0</v>
      </c>
      <c r="K8397" t="n">
        <v>0</v>
      </c>
      <c r="L8397" t="n">
        <v>0</v>
      </c>
      <c r="M8397" t="n">
        <v>0</v>
      </c>
      <c r="N8397" t="n">
        <v>0</v>
      </c>
      <c r="O8397" t="n">
        <v>0</v>
      </c>
      <c r="P8397" t="n">
        <v>0</v>
      </c>
      <c r="Q8397" t="n">
        <v>0</v>
      </c>
      <c r="R8397" s="2" t="inlineStr"/>
    </row>
    <row r="8398" ht="15" customHeight="1">
      <c r="A8398" t="inlineStr">
        <is>
          <t>A 16786-2023</t>
        </is>
      </c>
      <c r="B8398" s="1" t="n">
        <v>45032</v>
      </c>
      <c r="C8398" s="1" t="n">
        <v>45657</v>
      </c>
      <c r="D8398" t="inlineStr">
        <is>
          <t>VÄSTERNORRLANDS LÄN</t>
        </is>
      </c>
      <c r="E8398" t="inlineStr">
        <is>
          <t>TIMRÅ</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16815-2023</t>
        </is>
      </c>
      <c r="B8399" s="1" t="n">
        <v>45033</v>
      </c>
      <c r="C8399" s="1" t="n">
        <v>45657</v>
      </c>
      <c r="D8399" t="inlineStr">
        <is>
          <t>VÄSTERNORRLANDS LÄN</t>
        </is>
      </c>
      <c r="E8399" t="inlineStr">
        <is>
          <t>ÅNGE</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16812-2023</t>
        </is>
      </c>
      <c r="B8400" s="1" t="n">
        <v>45033</v>
      </c>
      <c r="C8400" s="1" t="n">
        <v>45657</v>
      </c>
      <c r="D8400" t="inlineStr">
        <is>
          <t>VÄSTERNORRLANDS LÄN</t>
        </is>
      </c>
      <c r="E8400" t="inlineStr">
        <is>
          <t>ÅNGE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16853-2023</t>
        </is>
      </c>
      <c r="B8401" s="1" t="n">
        <v>45033</v>
      </c>
      <c r="C8401" s="1" t="n">
        <v>45657</v>
      </c>
      <c r="D8401" t="inlineStr">
        <is>
          <t>VÄSTERNORRLANDS LÄN</t>
        </is>
      </c>
      <c r="E8401" t="inlineStr">
        <is>
          <t>ÅNGE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17002-2023</t>
        </is>
      </c>
      <c r="B8402" s="1" t="n">
        <v>45033</v>
      </c>
      <c r="C8402" s="1" t="n">
        <v>45657</v>
      </c>
      <c r="D8402" t="inlineStr">
        <is>
          <t>VÄSTERNORRLANDS LÄN</t>
        </is>
      </c>
      <c r="E8402" t="inlineStr">
        <is>
          <t>TIMRÅ</t>
        </is>
      </c>
      <c r="F8402" t="inlineStr">
        <is>
          <t>SCA</t>
        </is>
      </c>
      <c r="G8402" t="n">
        <v>12.7</v>
      </c>
      <c r="H8402" t="n">
        <v>0</v>
      </c>
      <c r="I8402" t="n">
        <v>0</v>
      </c>
      <c r="J8402" t="n">
        <v>0</v>
      </c>
      <c r="K8402" t="n">
        <v>0</v>
      </c>
      <c r="L8402" t="n">
        <v>0</v>
      </c>
      <c r="M8402" t="n">
        <v>0</v>
      </c>
      <c r="N8402" t="n">
        <v>0</v>
      </c>
      <c r="O8402" t="n">
        <v>0</v>
      </c>
      <c r="P8402" t="n">
        <v>0</v>
      </c>
      <c r="Q8402" t="n">
        <v>0</v>
      </c>
      <c r="R8402" s="2" t="inlineStr"/>
    </row>
    <row r="8403" ht="15" customHeight="1">
      <c r="A8403" t="inlineStr">
        <is>
          <t>A 16997-2023</t>
        </is>
      </c>
      <c r="B8403" s="1" t="n">
        <v>45034</v>
      </c>
      <c r="C8403" s="1" t="n">
        <v>45657</v>
      </c>
      <c r="D8403" t="inlineStr">
        <is>
          <t>VÄSTERNORRLANDS LÄN</t>
        </is>
      </c>
      <c r="E8403" t="inlineStr">
        <is>
          <t>SUNDSVALL</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17001-2023</t>
        </is>
      </c>
      <c r="B8404" s="1" t="n">
        <v>45033</v>
      </c>
      <c r="C8404" s="1" t="n">
        <v>45657</v>
      </c>
      <c r="D8404" t="inlineStr">
        <is>
          <t>VÄSTERNORRLANDS LÄN</t>
        </is>
      </c>
      <c r="E8404" t="inlineStr">
        <is>
          <t>KRAMFORS</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16992-2023</t>
        </is>
      </c>
      <c r="B8405" s="1" t="n">
        <v>45033</v>
      </c>
      <c r="C8405" s="1" t="n">
        <v>45657</v>
      </c>
      <c r="D8405" t="inlineStr">
        <is>
          <t>VÄSTERNORRLANDS LÄN</t>
        </is>
      </c>
      <c r="E8405" t="inlineStr">
        <is>
          <t>KRAMFORS</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16996-2023</t>
        </is>
      </c>
      <c r="B8406" s="1" t="n">
        <v>45034</v>
      </c>
      <c r="C8406" s="1" t="n">
        <v>45657</v>
      </c>
      <c r="D8406" t="inlineStr">
        <is>
          <t>VÄSTERNORRLANDS LÄN</t>
        </is>
      </c>
      <c r="E8406" t="inlineStr">
        <is>
          <t>SUNDSVALL</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17107-2023</t>
        </is>
      </c>
      <c r="B8407" s="1" t="n">
        <v>45033</v>
      </c>
      <c r="C8407" s="1" t="n">
        <v>45657</v>
      </c>
      <c r="D8407" t="inlineStr">
        <is>
          <t>VÄSTERNORRLANDS LÄN</t>
        </is>
      </c>
      <c r="E8407" t="inlineStr">
        <is>
          <t>KRAMFORS</t>
        </is>
      </c>
      <c r="F8407" t="inlineStr">
        <is>
          <t>Kommuner</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17009-2023</t>
        </is>
      </c>
      <c r="B8408" s="1" t="n">
        <v>45034</v>
      </c>
      <c r="C8408" s="1" t="n">
        <v>45657</v>
      </c>
      <c r="D8408" t="inlineStr">
        <is>
          <t>VÄSTERNORRLANDS LÄN</t>
        </is>
      </c>
      <c r="E8408" t="inlineStr">
        <is>
          <t>ÅNGE</t>
        </is>
      </c>
      <c r="F8408" t="inlineStr">
        <is>
          <t>SCA</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17356-2023</t>
        </is>
      </c>
      <c r="B8409" s="1" t="n">
        <v>45033</v>
      </c>
      <c r="C8409" s="1" t="n">
        <v>45657</v>
      </c>
      <c r="D8409" t="inlineStr">
        <is>
          <t>VÄSTERNORRLANDS LÄN</t>
        </is>
      </c>
      <c r="E8409" t="inlineStr">
        <is>
          <t>ÖRNSKÖLDSVIK</t>
        </is>
      </c>
      <c r="G8409" t="n">
        <v>18.3</v>
      </c>
      <c r="H8409" t="n">
        <v>0</v>
      </c>
      <c r="I8409" t="n">
        <v>0</v>
      </c>
      <c r="J8409" t="n">
        <v>0</v>
      </c>
      <c r="K8409" t="n">
        <v>0</v>
      </c>
      <c r="L8409" t="n">
        <v>0</v>
      </c>
      <c r="M8409" t="n">
        <v>0</v>
      </c>
      <c r="N8409" t="n">
        <v>0</v>
      </c>
      <c r="O8409" t="n">
        <v>0</v>
      </c>
      <c r="P8409" t="n">
        <v>0</v>
      </c>
      <c r="Q8409" t="n">
        <v>0</v>
      </c>
      <c r="R8409" s="2" t="inlineStr"/>
    </row>
    <row r="8410" ht="15" customHeight="1">
      <c r="A8410" t="inlineStr">
        <is>
          <t>A 17007-2023</t>
        </is>
      </c>
      <c r="B8410" s="1" t="n">
        <v>45034</v>
      </c>
      <c r="C8410" s="1" t="n">
        <v>45657</v>
      </c>
      <c r="D8410" t="inlineStr">
        <is>
          <t>VÄSTERNORRLANDS LÄN</t>
        </is>
      </c>
      <c r="E8410" t="inlineStr">
        <is>
          <t>SOLLEFTEÅ</t>
        </is>
      </c>
      <c r="F8410" t="inlineStr">
        <is>
          <t>SCA</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17102-2023</t>
        </is>
      </c>
      <c r="B8411" s="1" t="n">
        <v>45033</v>
      </c>
      <c r="C8411" s="1" t="n">
        <v>45657</v>
      </c>
      <c r="D8411" t="inlineStr">
        <is>
          <t>VÄSTERNORRLANDS LÄN</t>
        </is>
      </c>
      <c r="E8411" t="inlineStr">
        <is>
          <t>KRAMFORS</t>
        </is>
      </c>
      <c r="F8411" t="inlineStr">
        <is>
          <t>Kommuner</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17058-2023</t>
        </is>
      </c>
      <c r="B8412" s="1" t="n">
        <v>45034</v>
      </c>
      <c r="C8412" s="1" t="n">
        <v>45657</v>
      </c>
      <c r="D8412" t="inlineStr">
        <is>
          <t>VÄSTERNORRLANDS LÄN</t>
        </is>
      </c>
      <c r="E8412" t="inlineStr">
        <is>
          <t>KRAMFORS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17064-2023</t>
        </is>
      </c>
      <c r="B8413" s="1" t="n">
        <v>45034</v>
      </c>
      <c r="C8413" s="1" t="n">
        <v>45657</v>
      </c>
      <c r="D8413" t="inlineStr">
        <is>
          <t>VÄSTERNORRLANDS LÄN</t>
        </is>
      </c>
      <c r="E8413" t="inlineStr">
        <is>
          <t>SOLLEFTEÅ</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17040-2023</t>
        </is>
      </c>
      <c r="B8414" s="1" t="n">
        <v>45034</v>
      </c>
      <c r="C8414" s="1" t="n">
        <v>45657</v>
      </c>
      <c r="D8414" t="inlineStr">
        <is>
          <t>VÄSTERNORRLANDS LÄN</t>
        </is>
      </c>
      <c r="E8414" t="inlineStr">
        <is>
          <t>KRAMFORS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17044-2023</t>
        </is>
      </c>
      <c r="B8415" s="1" t="n">
        <v>45034</v>
      </c>
      <c r="C8415" s="1" t="n">
        <v>45657</v>
      </c>
      <c r="D8415" t="inlineStr">
        <is>
          <t>VÄSTERNORRLANDS LÄN</t>
        </is>
      </c>
      <c r="E8415" t="inlineStr">
        <is>
          <t>ÅNGE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17054-2023</t>
        </is>
      </c>
      <c r="B8416" s="1" t="n">
        <v>45034</v>
      </c>
      <c r="C8416" s="1" t="n">
        <v>45657</v>
      </c>
      <c r="D8416" t="inlineStr">
        <is>
          <t>VÄSTERNORRLANDS LÄN</t>
        </is>
      </c>
      <c r="E8416" t="inlineStr">
        <is>
          <t>KRAMFORS</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17061-2023</t>
        </is>
      </c>
      <c r="B8417" s="1" t="n">
        <v>45034</v>
      </c>
      <c r="C8417" s="1" t="n">
        <v>45657</v>
      </c>
      <c r="D8417" t="inlineStr">
        <is>
          <t>VÄSTERNORRLANDS LÄN</t>
        </is>
      </c>
      <c r="E8417" t="inlineStr">
        <is>
          <t>KRAMFORS</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17099-2023</t>
        </is>
      </c>
      <c r="B8418" s="1" t="n">
        <v>45034</v>
      </c>
      <c r="C8418" s="1" t="n">
        <v>45657</v>
      </c>
      <c r="D8418" t="inlineStr">
        <is>
          <t>VÄSTERNORRLANDS LÄN</t>
        </is>
      </c>
      <c r="E8418" t="inlineStr">
        <is>
          <t>ÖRNSKÖLDSVIK</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17112-2023</t>
        </is>
      </c>
      <c r="B8419" s="1" t="n">
        <v>45034</v>
      </c>
      <c r="C8419" s="1" t="n">
        <v>45657</v>
      </c>
      <c r="D8419" t="inlineStr">
        <is>
          <t>VÄSTERNORRLANDS LÄN</t>
        </is>
      </c>
      <c r="E8419" t="inlineStr">
        <is>
          <t>KRAMFORS</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17041-2023</t>
        </is>
      </c>
      <c r="B8420" s="1" t="n">
        <v>45034</v>
      </c>
      <c r="C8420" s="1" t="n">
        <v>45657</v>
      </c>
      <c r="D8420" t="inlineStr">
        <is>
          <t>VÄSTERNORRLANDS LÄN</t>
        </is>
      </c>
      <c r="E8420" t="inlineStr">
        <is>
          <t>KRAMFORS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17175-2023</t>
        </is>
      </c>
      <c r="B8421" s="1" t="n">
        <v>45034</v>
      </c>
      <c r="C8421" s="1" t="n">
        <v>45657</v>
      </c>
      <c r="D8421" t="inlineStr">
        <is>
          <t>VÄSTERNORRLANDS LÄN</t>
        </is>
      </c>
      <c r="E8421" t="inlineStr">
        <is>
          <t>ÖRNSKÖLDSVIK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17103-2023</t>
        </is>
      </c>
      <c r="B8422" s="1" t="n">
        <v>45034</v>
      </c>
      <c r="C8422" s="1" t="n">
        <v>45657</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17214-2023</t>
        </is>
      </c>
      <c r="B8423" s="1" t="n">
        <v>45035</v>
      </c>
      <c r="C8423" s="1" t="n">
        <v>45657</v>
      </c>
      <c r="D8423" t="inlineStr">
        <is>
          <t>VÄSTERNORRLANDS LÄN</t>
        </is>
      </c>
      <c r="E8423" t="inlineStr">
        <is>
          <t>ÖRNSKÖLDSVIK</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17218-2023</t>
        </is>
      </c>
      <c r="B8424" s="1" t="n">
        <v>45035</v>
      </c>
      <c r="C8424" s="1" t="n">
        <v>45657</v>
      </c>
      <c r="D8424" t="inlineStr">
        <is>
          <t>VÄSTERNORRLANDS LÄN</t>
        </is>
      </c>
      <c r="E8424" t="inlineStr">
        <is>
          <t>SOLLEFTEÅ</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17113-2023</t>
        </is>
      </c>
      <c r="B8425" s="1" t="n">
        <v>45034</v>
      </c>
      <c r="C8425" s="1" t="n">
        <v>45657</v>
      </c>
      <c r="D8425" t="inlineStr">
        <is>
          <t>VÄSTERNORRLANDS LÄN</t>
        </is>
      </c>
      <c r="E8425" t="inlineStr">
        <is>
          <t>KRAMFORS</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17213-2023</t>
        </is>
      </c>
      <c r="B8426" s="1" t="n">
        <v>45035</v>
      </c>
      <c r="C8426" s="1" t="n">
        <v>45657</v>
      </c>
      <c r="D8426" t="inlineStr">
        <is>
          <t>VÄSTERNORRLANDS LÄN</t>
        </is>
      </c>
      <c r="E8426" t="inlineStr">
        <is>
          <t>ÖRNSKÖLDSVIK</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17219-2023</t>
        </is>
      </c>
      <c r="B8427" s="1" t="n">
        <v>45034</v>
      </c>
      <c r="C8427" s="1" t="n">
        <v>45657</v>
      </c>
      <c r="D8427" t="inlineStr">
        <is>
          <t>VÄSTERNORRLANDS LÄN</t>
        </is>
      </c>
      <c r="E8427" t="inlineStr">
        <is>
          <t>SOLLEFTEÅ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17211-2023</t>
        </is>
      </c>
      <c r="B8428" s="1" t="n">
        <v>45035</v>
      </c>
      <c r="C8428" s="1" t="n">
        <v>45657</v>
      </c>
      <c r="D8428" t="inlineStr">
        <is>
          <t>VÄSTERNORRLANDS LÄN</t>
        </is>
      </c>
      <c r="E8428" t="inlineStr">
        <is>
          <t>KRAMFORS</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17224-2023</t>
        </is>
      </c>
      <c r="B8429" s="1" t="n">
        <v>45035</v>
      </c>
      <c r="C8429" s="1" t="n">
        <v>45657</v>
      </c>
      <c r="D8429" t="inlineStr">
        <is>
          <t>VÄSTERNORRLANDS LÄN</t>
        </is>
      </c>
      <c r="E8429" t="inlineStr">
        <is>
          <t>SUNDSVALL</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17515-2023</t>
        </is>
      </c>
      <c r="B8430" s="1" t="n">
        <v>45034</v>
      </c>
      <c r="C8430" s="1" t="n">
        <v>45657</v>
      </c>
      <c r="D8430" t="inlineStr">
        <is>
          <t>VÄSTERNORRLANDS LÄN</t>
        </is>
      </c>
      <c r="E8430" t="inlineStr">
        <is>
          <t>ÖRNSKÖLDSVIK</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17514-2023</t>
        </is>
      </c>
      <c r="B8431" s="1" t="n">
        <v>45034</v>
      </c>
      <c r="C8431" s="1" t="n">
        <v>45657</v>
      </c>
      <c r="D8431" t="inlineStr">
        <is>
          <t>VÄSTERNORRLANDS LÄN</t>
        </is>
      </c>
      <c r="E8431" t="inlineStr">
        <is>
          <t>ÖRNSKÖLDSVIK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17416-2023</t>
        </is>
      </c>
      <c r="B8432" s="1" t="n">
        <v>45036</v>
      </c>
      <c r="C8432" s="1" t="n">
        <v>45657</v>
      </c>
      <c r="D8432" t="inlineStr">
        <is>
          <t>VÄSTERNORRLANDS LÄN</t>
        </is>
      </c>
      <c r="E8432" t="inlineStr">
        <is>
          <t>SOLLEFTEÅ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17443-2023</t>
        </is>
      </c>
      <c r="B8433" s="1" t="n">
        <v>45036</v>
      </c>
      <c r="C8433" s="1" t="n">
        <v>45657</v>
      </c>
      <c r="D8433" t="inlineStr">
        <is>
          <t>VÄSTERNORRLANDS LÄN</t>
        </is>
      </c>
      <c r="E8433" t="inlineStr">
        <is>
          <t>SUNDSVALL</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17622-2023</t>
        </is>
      </c>
      <c r="B8434" s="1" t="n">
        <v>45035</v>
      </c>
      <c r="C8434" s="1" t="n">
        <v>45657</v>
      </c>
      <c r="D8434" t="inlineStr">
        <is>
          <t>VÄSTERNORRLANDS LÄN</t>
        </is>
      </c>
      <c r="E8434" t="inlineStr">
        <is>
          <t>KRAMFORS</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17436-2023</t>
        </is>
      </c>
      <c r="B8435" s="1" t="n">
        <v>45036</v>
      </c>
      <c r="C8435" s="1" t="n">
        <v>45657</v>
      </c>
      <c r="D8435" t="inlineStr">
        <is>
          <t>VÄSTERNORRLANDS LÄN</t>
        </is>
      </c>
      <c r="E8435" t="inlineStr">
        <is>
          <t>SUNDSVALL</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17683-2023</t>
        </is>
      </c>
      <c r="B8436" s="1" t="n">
        <v>45035</v>
      </c>
      <c r="C8436" s="1" t="n">
        <v>45657</v>
      </c>
      <c r="D8436" t="inlineStr">
        <is>
          <t>VÄSTERNORRLANDS LÄN</t>
        </is>
      </c>
      <c r="E8436" t="inlineStr">
        <is>
          <t>SOLLEFTEÅ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17431-2023</t>
        </is>
      </c>
      <c r="B8437" s="1" t="n">
        <v>45035</v>
      </c>
      <c r="C8437" s="1" t="n">
        <v>45657</v>
      </c>
      <c r="D8437" t="inlineStr">
        <is>
          <t>VÄSTERNORRLANDS LÄN</t>
        </is>
      </c>
      <c r="E8437" t="inlineStr">
        <is>
          <t>HÄRNÖSAND</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17437-2023</t>
        </is>
      </c>
      <c r="B8438" s="1" t="n">
        <v>45036</v>
      </c>
      <c r="C8438" s="1" t="n">
        <v>45657</v>
      </c>
      <c r="D8438" t="inlineStr">
        <is>
          <t>VÄSTERNORRLANDS LÄN</t>
        </is>
      </c>
      <c r="E8438" t="inlineStr">
        <is>
          <t>SUNDSVALL</t>
        </is>
      </c>
      <c r="G8438" t="n">
        <v>13.7</v>
      </c>
      <c r="H8438" t="n">
        <v>0</v>
      </c>
      <c r="I8438" t="n">
        <v>0</v>
      </c>
      <c r="J8438" t="n">
        <v>0</v>
      </c>
      <c r="K8438" t="n">
        <v>0</v>
      </c>
      <c r="L8438" t="n">
        <v>0</v>
      </c>
      <c r="M8438" t="n">
        <v>0</v>
      </c>
      <c r="N8438" t="n">
        <v>0</v>
      </c>
      <c r="O8438" t="n">
        <v>0</v>
      </c>
      <c r="P8438" t="n">
        <v>0</v>
      </c>
      <c r="Q8438" t="n">
        <v>0</v>
      </c>
      <c r="R8438" s="2" t="inlineStr"/>
    </row>
    <row r="8439" ht="15" customHeight="1">
      <c r="A8439" t="inlineStr">
        <is>
          <t>A 17441-2023</t>
        </is>
      </c>
      <c r="B8439" s="1" t="n">
        <v>45036</v>
      </c>
      <c r="C8439" s="1" t="n">
        <v>45657</v>
      </c>
      <c r="D8439" t="inlineStr">
        <is>
          <t>VÄSTERNORRLANDS LÄN</t>
        </is>
      </c>
      <c r="E8439" t="inlineStr">
        <is>
          <t>TIMRÅ</t>
        </is>
      </c>
      <c r="F8439" t="inlineStr">
        <is>
          <t>SCA</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17620-2023</t>
        </is>
      </c>
      <c r="B8440" s="1" t="n">
        <v>45035</v>
      </c>
      <c r="C8440" s="1" t="n">
        <v>45657</v>
      </c>
      <c r="D8440" t="inlineStr">
        <is>
          <t>VÄSTERNORRLANDS LÄN</t>
        </is>
      </c>
      <c r="E8440" t="inlineStr">
        <is>
          <t>ÖRNSKÖLDSVIK</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17461-2023</t>
        </is>
      </c>
      <c r="B8441" s="1" t="n">
        <v>45036</v>
      </c>
      <c r="C8441" s="1" t="n">
        <v>45657</v>
      </c>
      <c r="D8441" t="inlineStr">
        <is>
          <t>VÄSTERNORRLANDS LÄN</t>
        </is>
      </c>
      <c r="E8441" t="inlineStr">
        <is>
          <t>KRAMFORS</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17540-2023</t>
        </is>
      </c>
      <c r="B8442" s="1" t="n">
        <v>45036</v>
      </c>
      <c r="C8442" s="1" t="n">
        <v>45657</v>
      </c>
      <c r="D8442" t="inlineStr">
        <is>
          <t>VÄSTERNORRLANDS LÄN</t>
        </is>
      </c>
      <c r="E8442" t="inlineStr">
        <is>
          <t>KRAMFORS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17668-2023</t>
        </is>
      </c>
      <c r="B8443" s="1" t="n">
        <v>45036</v>
      </c>
      <c r="C8443" s="1" t="n">
        <v>45657</v>
      </c>
      <c r="D8443" t="inlineStr">
        <is>
          <t>VÄSTERNORRLANDS LÄN</t>
        </is>
      </c>
      <c r="E8443" t="inlineStr">
        <is>
          <t>ÅNGE</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17551-2023</t>
        </is>
      </c>
      <c r="B8444" s="1" t="n">
        <v>45036</v>
      </c>
      <c r="C8444" s="1" t="n">
        <v>45657</v>
      </c>
      <c r="D8444" t="inlineStr">
        <is>
          <t>VÄSTERNORRLANDS LÄN</t>
        </is>
      </c>
      <c r="E8444" t="inlineStr">
        <is>
          <t>KRAMFORS</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17574-2023</t>
        </is>
      </c>
      <c r="B8445" s="1" t="n">
        <v>45036</v>
      </c>
      <c r="C8445" s="1" t="n">
        <v>45657</v>
      </c>
      <c r="D8445" t="inlineStr">
        <is>
          <t>VÄSTERNORRLANDS LÄN</t>
        </is>
      </c>
      <c r="E8445" t="inlineStr">
        <is>
          <t>KRAMFORS</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17547-2023</t>
        </is>
      </c>
      <c r="B8446" s="1" t="n">
        <v>45036</v>
      </c>
      <c r="C8446" s="1" t="n">
        <v>45657</v>
      </c>
      <c r="D8446" t="inlineStr">
        <is>
          <t>VÄSTERNORRLANDS LÄN</t>
        </is>
      </c>
      <c r="E8446" t="inlineStr">
        <is>
          <t>KRAMFORS</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17664-2023</t>
        </is>
      </c>
      <c r="B8447" s="1" t="n">
        <v>45037</v>
      </c>
      <c r="C8447" s="1" t="n">
        <v>45657</v>
      </c>
      <c r="D8447" t="inlineStr">
        <is>
          <t>VÄSTERNORRLANDS LÄN</t>
        </is>
      </c>
      <c r="E8447" t="inlineStr">
        <is>
          <t>SOLLEFTEÅ</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17671-2023</t>
        </is>
      </c>
      <c r="B8448" s="1" t="n">
        <v>45037</v>
      </c>
      <c r="C8448" s="1" t="n">
        <v>45657</v>
      </c>
      <c r="D8448" t="inlineStr">
        <is>
          <t>VÄSTERNORRLANDS LÄN</t>
        </is>
      </c>
      <c r="E8448" t="inlineStr">
        <is>
          <t>SUNDSVALL</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17801-2023</t>
        </is>
      </c>
      <c r="B8449" s="1" t="n">
        <v>45036</v>
      </c>
      <c r="C8449" s="1" t="n">
        <v>45657</v>
      </c>
      <c r="D8449" t="inlineStr">
        <is>
          <t>VÄSTERNORRLANDS LÄN</t>
        </is>
      </c>
      <c r="E8449" t="inlineStr">
        <is>
          <t>KRAMFORS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17669-2023</t>
        </is>
      </c>
      <c r="B8450" s="1" t="n">
        <v>45037</v>
      </c>
      <c r="C8450" s="1" t="n">
        <v>45657</v>
      </c>
      <c r="D8450" t="inlineStr">
        <is>
          <t>VÄSTERNORRLANDS LÄN</t>
        </is>
      </c>
      <c r="E8450" t="inlineStr">
        <is>
          <t>ÅNGE</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17777-2023</t>
        </is>
      </c>
      <c r="B8451" s="1" t="n">
        <v>45036</v>
      </c>
      <c r="C8451" s="1" t="n">
        <v>45657</v>
      </c>
      <c r="D8451" t="inlineStr">
        <is>
          <t>VÄSTERNORRLANDS LÄN</t>
        </is>
      </c>
      <c r="E8451" t="inlineStr">
        <is>
          <t>SUNDSVALL</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17807-2023</t>
        </is>
      </c>
      <c r="B8452" s="1" t="n">
        <v>45036</v>
      </c>
      <c r="C8452" s="1" t="n">
        <v>45657</v>
      </c>
      <c r="D8452" t="inlineStr">
        <is>
          <t>VÄSTERNORRLANDS LÄN</t>
        </is>
      </c>
      <c r="E8452" t="inlineStr">
        <is>
          <t>KRAMFORS</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17670-2023</t>
        </is>
      </c>
      <c r="B8453" s="1" t="n">
        <v>45036</v>
      </c>
      <c r="C8453" s="1" t="n">
        <v>45657</v>
      </c>
      <c r="D8453" t="inlineStr">
        <is>
          <t>VÄSTERNORRLANDS LÄN</t>
        </is>
      </c>
      <c r="E8453" t="inlineStr">
        <is>
          <t>ÅNGE</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17845-2023</t>
        </is>
      </c>
      <c r="B8454" s="1" t="n">
        <v>45037</v>
      </c>
      <c r="C8454" s="1" t="n">
        <v>45657</v>
      </c>
      <c r="D8454" t="inlineStr">
        <is>
          <t>VÄSTERNORRLANDS LÄN</t>
        </is>
      </c>
      <c r="E8454" t="inlineStr">
        <is>
          <t>ÖRNSKÖLDSVIK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17895-2023</t>
        </is>
      </c>
      <c r="B8455" s="1" t="n">
        <v>45037</v>
      </c>
      <c r="C8455" s="1" t="n">
        <v>45657</v>
      </c>
      <c r="D8455" t="inlineStr">
        <is>
          <t>VÄSTERNORRLANDS LÄN</t>
        </is>
      </c>
      <c r="E8455" t="inlineStr">
        <is>
          <t>KRAMFORS</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17934-2023</t>
        </is>
      </c>
      <c r="B8456" s="1" t="n">
        <v>45037</v>
      </c>
      <c r="C8456" s="1" t="n">
        <v>45657</v>
      </c>
      <c r="D8456" t="inlineStr">
        <is>
          <t>VÄSTERNORRLANDS LÄN</t>
        </is>
      </c>
      <c r="E8456" t="inlineStr">
        <is>
          <t>ÅNGE</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18033-2023</t>
        </is>
      </c>
      <c r="B8457" s="1" t="n">
        <v>45037</v>
      </c>
      <c r="C8457" s="1" t="n">
        <v>45657</v>
      </c>
      <c r="D8457" t="inlineStr">
        <is>
          <t>VÄSTERNORRLANDS LÄN</t>
        </is>
      </c>
      <c r="E8457" t="inlineStr">
        <is>
          <t>ÅNGE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17968-2023</t>
        </is>
      </c>
      <c r="B8458" s="1" t="n">
        <v>45037</v>
      </c>
      <c r="C8458" s="1" t="n">
        <v>45657</v>
      </c>
      <c r="D8458" t="inlineStr">
        <is>
          <t>VÄSTERNORRLANDS LÄN</t>
        </is>
      </c>
      <c r="E8458" t="inlineStr">
        <is>
          <t>ÖRNSKÖLDSVIK</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17948-2023</t>
        </is>
      </c>
      <c r="B8459" s="1" t="n">
        <v>45037</v>
      </c>
      <c r="C8459" s="1" t="n">
        <v>45657</v>
      </c>
      <c r="D8459" t="inlineStr">
        <is>
          <t>VÄSTERNORRLANDS LÄN</t>
        </is>
      </c>
      <c r="E8459" t="inlineStr">
        <is>
          <t>ÖRNSKÖLDSVIK</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17859-2023</t>
        </is>
      </c>
      <c r="B8460" s="1" t="n">
        <v>45038</v>
      </c>
      <c r="C8460" s="1" t="n">
        <v>45657</v>
      </c>
      <c r="D8460" t="inlineStr">
        <is>
          <t>VÄSTERNORRLANDS LÄN</t>
        </is>
      </c>
      <c r="E8460" t="inlineStr">
        <is>
          <t>HÄRNÖSAND</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17860-2023</t>
        </is>
      </c>
      <c r="B8461" s="1" t="n">
        <v>45038</v>
      </c>
      <c r="C8461" s="1" t="n">
        <v>45657</v>
      </c>
      <c r="D8461" t="inlineStr">
        <is>
          <t>VÄSTERNORRLANDS LÄN</t>
        </is>
      </c>
      <c r="E8461" t="inlineStr">
        <is>
          <t>ÅNGE</t>
        </is>
      </c>
      <c r="F8461" t="inlineStr">
        <is>
          <t>SCA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17865-2023</t>
        </is>
      </c>
      <c r="B8462" s="1" t="n">
        <v>45038</v>
      </c>
      <c r="C8462" s="1" t="n">
        <v>45657</v>
      </c>
      <c r="D8462" t="inlineStr">
        <is>
          <t>VÄSTERNORRLANDS LÄN</t>
        </is>
      </c>
      <c r="E8462" t="inlineStr">
        <is>
          <t>TIMRÅ</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17821-2023</t>
        </is>
      </c>
      <c r="B8463" s="1" t="n">
        <v>45037</v>
      </c>
      <c r="C8463" s="1" t="n">
        <v>45657</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17959-2023</t>
        </is>
      </c>
      <c r="B8464" s="1" t="n">
        <v>45037</v>
      </c>
      <c r="C8464" s="1" t="n">
        <v>45657</v>
      </c>
      <c r="D8464" t="inlineStr">
        <is>
          <t>VÄSTERNORRLANDS LÄN</t>
        </is>
      </c>
      <c r="E8464" t="inlineStr">
        <is>
          <t>ÖRNSKÖLDSVIK</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18061-2023</t>
        </is>
      </c>
      <c r="B8465" s="1" t="n">
        <v>45037</v>
      </c>
      <c r="C8465" s="1" t="n">
        <v>45657</v>
      </c>
      <c r="D8465" t="inlineStr">
        <is>
          <t>VÄSTERNORRLANDS LÄN</t>
        </is>
      </c>
      <c r="E8465" t="inlineStr">
        <is>
          <t>ÅNGE</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18094-2023</t>
        </is>
      </c>
      <c r="B8466" s="1" t="n">
        <v>45040</v>
      </c>
      <c r="C8466" s="1" t="n">
        <v>45657</v>
      </c>
      <c r="D8466" t="inlineStr">
        <is>
          <t>VÄSTERNORRLANDS LÄN</t>
        </is>
      </c>
      <c r="E8466" t="inlineStr">
        <is>
          <t>ÖRNSKÖLDSVIK</t>
        </is>
      </c>
      <c r="G8466" t="n">
        <v>8.5</v>
      </c>
      <c r="H8466" t="n">
        <v>0</v>
      </c>
      <c r="I8466" t="n">
        <v>0</v>
      </c>
      <c r="J8466" t="n">
        <v>0</v>
      </c>
      <c r="K8466" t="n">
        <v>0</v>
      </c>
      <c r="L8466" t="n">
        <v>0</v>
      </c>
      <c r="M8466" t="n">
        <v>0</v>
      </c>
      <c r="N8466" t="n">
        <v>0</v>
      </c>
      <c r="O8466" t="n">
        <v>0</v>
      </c>
      <c r="P8466" t="n">
        <v>0</v>
      </c>
      <c r="Q8466" t="n">
        <v>0</v>
      </c>
      <c r="R8466" s="2" t="inlineStr"/>
    </row>
    <row r="8467" ht="15" customHeight="1">
      <c r="A8467" t="inlineStr">
        <is>
          <t>A 17946-2023</t>
        </is>
      </c>
      <c r="B8467" s="1" t="n">
        <v>45040</v>
      </c>
      <c r="C8467" s="1" t="n">
        <v>45657</v>
      </c>
      <c r="D8467" t="inlineStr">
        <is>
          <t>VÄSTERNORRLANDS LÄN</t>
        </is>
      </c>
      <c r="E8467" t="inlineStr">
        <is>
          <t>KRAMFORS</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17936-2023</t>
        </is>
      </c>
      <c r="B8468" s="1" t="n">
        <v>45040</v>
      </c>
      <c r="C8468" s="1" t="n">
        <v>45657</v>
      </c>
      <c r="D8468" t="inlineStr">
        <is>
          <t>VÄSTERNORRLANDS LÄN</t>
        </is>
      </c>
      <c r="E8468" t="inlineStr">
        <is>
          <t>TIMRÅ</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18054-2023</t>
        </is>
      </c>
      <c r="B8469" s="1" t="n">
        <v>45040</v>
      </c>
      <c r="C8469" s="1" t="n">
        <v>45657</v>
      </c>
      <c r="D8469" t="inlineStr">
        <is>
          <t>VÄSTERNORRLANDS LÄN</t>
        </is>
      </c>
      <c r="E8469" t="inlineStr">
        <is>
          <t>ÖRNSKÖLDSVIK</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18105-2023</t>
        </is>
      </c>
      <c r="B8470" s="1" t="n">
        <v>45040</v>
      </c>
      <c r="C8470" s="1" t="n">
        <v>45657</v>
      </c>
      <c r="D8470" t="inlineStr">
        <is>
          <t>VÄSTERNORRLANDS LÄN</t>
        </is>
      </c>
      <c r="E8470" t="inlineStr">
        <is>
          <t>ÖRNSKÖLDSVIK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18144-2023</t>
        </is>
      </c>
      <c r="B8471" s="1" t="n">
        <v>45040</v>
      </c>
      <c r="C8471" s="1" t="n">
        <v>45657</v>
      </c>
      <c r="D8471" t="inlineStr">
        <is>
          <t>VÄSTERNORRLANDS LÄN</t>
        </is>
      </c>
      <c r="E8471" t="inlineStr">
        <is>
          <t>SUNDSVALL</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18148-2023</t>
        </is>
      </c>
      <c r="B8472" s="1" t="n">
        <v>45041</v>
      </c>
      <c r="C8472" s="1" t="n">
        <v>45657</v>
      </c>
      <c r="D8472" t="inlineStr">
        <is>
          <t>VÄSTERNORRLANDS LÄN</t>
        </is>
      </c>
      <c r="E8472" t="inlineStr">
        <is>
          <t>ÖRNSKÖLDSVIK</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18149-2023</t>
        </is>
      </c>
      <c r="B8473" s="1" t="n">
        <v>45040</v>
      </c>
      <c r="C8473" s="1" t="n">
        <v>45657</v>
      </c>
      <c r="D8473" t="inlineStr">
        <is>
          <t>VÄSTERNORRLANDS LÄN</t>
        </is>
      </c>
      <c r="E8473" t="inlineStr">
        <is>
          <t>SOLLEFTEÅ</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18153-2023</t>
        </is>
      </c>
      <c r="B8474" s="1" t="n">
        <v>45040</v>
      </c>
      <c r="C8474" s="1" t="n">
        <v>45657</v>
      </c>
      <c r="D8474" t="inlineStr">
        <is>
          <t>VÄSTERNORRLANDS LÄN</t>
        </is>
      </c>
      <c r="E8474" t="inlineStr">
        <is>
          <t>SUNDSVALL</t>
        </is>
      </c>
      <c r="F8474" t="inlineStr">
        <is>
          <t>SCA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18160-2023</t>
        </is>
      </c>
      <c r="B8475" s="1" t="n">
        <v>45040</v>
      </c>
      <c r="C8475" s="1" t="n">
        <v>45657</v>
      </c>
      <c r="D8475" t="inlineStr">
        <is>
          <t>VÄSTERNORRLANDS LÄN</t>
        </is>
      </c>
      <c r="E8475" t="inlineStr">
        <is>
          <t>SOLLEFTEÅ</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18162-2023</t>
        </is>
      </c>
      <c r="B8476" s="1" t="n">
        <v>45040</v>
      </c>
      <c r="C8476" s="1" t="n">
        <v>45657</v>
      </c>
      <c r="D8476" t="inlineStr">
        <is>
          <t>VÄSTERNORRLANDS LÄN</t>
        </is>
      </c>
      <c r="E8476" t="inlineStr">
        <is>
          <t>SUNDSVALL</t>
        </is>
      </c>
      <c r="F8476" t="inlineStr">
        <is>
          <t>SCA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18168-2023</t>
        </is>
      </c>
      <c r="B8477" s="1" t="n">
        <v>45040</v>
      </c>
      <c r="C8477" s="1" t="n">
        <v>45657</v>
      </c>
      <c r="D8477" t="inlineStr">
        <is>
          <t>VÄSTERNORRLANDS LÄN</t>
        </is>
      </c>
      <c r="E8477" t="inlineStr">
        <is>
          <t>ÅNGE</t>
        </is>
      </c>
      <c r="F8477" t="inlineStr">
        <is>
          <t>SCA</t>
        </is>
      </c>
      <c r="G8477" t="n">
        <v>13.5</v>
      </c>
      <c r="H8477" t="n">
        <v>0</v>
      </c>
      <c r="I8477" t="n">
        <v>0</v>
      </c>
      <c r="J8477" t="n">
        <v>0</v>
      </c>
      <c r="K8477" t="n">
        <v>0</v>
      </c>
      <c r="L8477" t="n">
        <v>0</v>
      </c>
      <c r="M8477" t="n">
        <v>0</v>
      </c>
      <c r="N8477" t="n">
        <v>0</v>
      </c>
      <c r="O8477" t="n">
        <v>0</v>
      </c>
      <c r="P8477" t="n">
        <v>0</v>
      </c>
      <c r="Q8477" t="n">
        <v>0</v>
      </c>
      <c r="R8477" s="2" t="inlineStr"/>
    </row>
    <row r="8478" ht="15" customHeight="1">
      <c r="A8478" t="inlineStr">
        <is>
          <t>A 18169-2023</t>
        </is>
      </c>
      <c r="B8478" s="1" t="n">
        <v>45040</v>
      </c>
      <c r="C8478" s="1" t="n">
        <v>45657</v>
      </c>
      <c r="D8478" t="inlineStr">
        <is>
          <t>VÄSTERNORRLANDS LÄN</t>
        </is>
      </c>
      <c r="E8478" t="inlineStr">
        <is>
          <t>ÅNGE</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18147-2023</t>
        </is>
      </c>
      <c r="B8479" s="1" t="n">
        <v>45041</v>
      </c>
      <c r="C8479" s="1" t="n">
        <v>45657</v>
      </c>
      <c r="D8479" t="inlineStr">
        <is>
          <t>VÄSTERNORRLANDS LÄN</t>
        </is>
      </c>
      <c r="E8479" t="inlineStr">
        <is>
          <t>ÖRNSKÖLDSVIK</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18167-2023</t>
        </is>
      </c>
      <c r="B8480" s="1" t="n">
        <v>45040</v>
      </c>
      <c r="C8480" s="1" t="n">
        <v>45657</v>
      </c>
      <c r="D8480" t="inlineStr">
        <is>
          <t>VÄSTERNORRLANDS LÄN</t>
        </is>
      </c>
      <c r="E8480" t="inlineStr">
        <is>
          <t>SOLLEFTEÅ</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18171-2023</t>
        </is>
      </c>
      <c r="B8481" s="1" t="n">
        <v>45041</v>
      </c>
      <c r="C8481" s="1" t="n">
        <v>45657</v>
      </c>
      <c r="D8481" t="inlineStr">
        <is>
          <t>VÄSTERNORRLANDS LÄN</t>
        </is>
      </c>
      <c r="E8481" t="inlineStr">
        <is>
          <t>SUNDSVALL</t>
        </is>
      </c>
      <c r="F8481" t="inlineStr">
        <is>
          <t>SCA</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18289-2023</t>
        </is>
      </c>
      <c r="B8482" s="1" t="n">
        <v>45040</v>
      </c>
      <c r="C8482" s="1" t="n">
        <v>45657</v>
      </c>
      <c r="D8482" t="inlineStr">
        <is>
          <t>VÄSTERNORRLANDS LÄN</t>
        </is>
      </c>
      <c r="E8482" t="inlineStr">
        <is>
          <t>TIMRÅ</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18347-2023</t>
        </is>
      </c>
      <c r="B8483" s="1" t="n">
        <v>45040</v>
      </c>
      <c r="C8483" s="1" t="n">
        <v>45657</v>
      </c>
      <c r="D8483" t="inlineStr">
        <is>
          <t>VÄSTERNORRLANDS LÄN</t>
        </is>
      </c>
      <c r="E8483" t="inlineStr">
        <is>
          <t>SUNDSVALL</t>
        </is>
      </c>
      <c r="G8483" t="n">
        <v>16.7</v>
      </c>
      <c r="H8483" t="n">
        <v>0</v>
      </c>
      <c r="I8483" t="n">
        <v>0</v>
      </c>
      <c r="J8483" t="n">
        <v>0</v>
      </c>
      <c r="K8483" t="n">
        <v>0</v>
      </c>
      <c r="L8483" t="n">
        <v>0</v>
      </c>
      <c r="M8483" t="n">
        <v>0</v>
      </c>
      <c r="N8483" t="n">
        <v>0</v>
      </c>
      <c r="O8483" t="n">
        <v>0</v>
      </c>
      <c r="P8483" t="n">
        <v>0</v>
      </c>
      <c r="Q8483" t="n">
        <v>0</v>
      </c>
      <c r="R8483" s="2" t="inlineStr"/>
    </row>
    <row r="8484" ht="15" customHeight="1">
      <c r="A8484" t="inlineStr">
        <is>
          <t>A 18352-2023</t>
        </is>
      </c>
      <c r="B8484" s="1" t="n">
        <v>45040</v>
      </c>
      <c r="C8484" s="1" t="n">
        <v>45657</v>
      </c>
      <c r="D8484" t="inlineStr">
        <is>
          <t>VÄSTERNORRLANDS LÄN</t>
        </is>
      </c>
      <c r="E8484" t="inlineStr">
        <is>
          <t>SUNDSVALL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18286-2023</t>
        </is>
      </c>
      <c r="B8485" s="1" t="n">
        <v>45040</v>
      </c>
      <c r="C8485" s="1" t="n">
        <v>45657</v>
      </c>
      <c r="D8485" t="inlineStr">
        <is>
          <t>VÄSTERNORRLANDS LÄN</t>
        </is>
      </c>
      <c r="E8485" t="inlineStr">
        <is>
          <t>SUNDSVALL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18170-2023</t>
        </is>
      </c>
      <c r="B8486" s="1" t="n">
        <v>45040</v>
      </c>
      <c r="C8486" s="1" t="n">
        <v>45657</v>
      </c>
      <c r="D8486" t="inlineStr">
        <is>
          <t>VÄSTERNORRLANDS LÄN</t>
        </is>
      </c>
      <c r="E8486" t="inlineStr">
        <is>
          <t>ÅNGE</t>
        </is>
      </c>
      <c r="F8486" t="inlineStr">
        <is>
          <t>SCA</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18199-2023</t>
        </is>
      </c>
      <c r="B8487" s="1" t="n">
        <v>45041</v>
      </c>
      <c r="C8487" s="1" t="n">
        <v>45657</v>
      </c>
      <c r="D8487" t="inlineStr">
        <is>
          <t>VÄSTERNORRLANDS LÄN</t>
        </is>
      </c>
      <c r="E8487" t="inlineStr">
        <is>
          <t>ÖRNSKÖLDSVIK</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18203-2023</t>
        </is>
      </c>
      <c r="B8488" s="1" t="n">
        <v>45041</v>
      </c>
      <c r="C8488" s="1" t="n">
        <v>45657</v>
      </c>
      <c r="D8488" t="inlineStr">
        <is>
          <t>VÄSTERNORRLANDS LÄN</t>
        </is>
      </c>
      <c r="E8488" t="inlineStr">
        <is>
          <t>ÖRNSKÖLDSVIK</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18198-2023</t>
        </is>
      </c>
      <c r="B8489" s="1" t="n">
        <v>45041</v>
      </c>
      <c r="C8489" s="1" t="n">
        <v>45657</v>
      </c>
      <c r="D8489" t="inlineStr">
        <is>
          <t>VÄSTERNORRLANDS LÄN</t>
        </is>
      </c>
      <c r="E8489" t="inlineStr">
        <is>
          <t>ÖRNSKÖLDSVIK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18202-2023</t>
        </is>
      </c>
      <c r="B8490" s="1" t="n">
        <v>45041</v>
      </c>
      <c r="C8490" s="1" t="n">
        <v>45657</v>
      </c>
      <c r="D8490" t="inlineStr">
        <is>
          <t>VÄSTERNORRLANDS LÄN</t>
        </is>
      </c>
      <c r="E8490" t="inlineStr">
        <is>
          <t>ÖRNSKÖLDSVIK</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18305-2023</t>
        </is>
      </c>
      <c r="B8491" s="1" t="n">
        <v>45041</v>
      </c>
      <c r="C8491" s="1" t="n">
        <v>45657</v>
      </c>
      <c r="D8491" t="inlineStr">
        <is>
          <t>VÄSTERNORRLANDS LÄN</t>
        </is>
      </c>
      <c r="E8491" t="inlineStr">
        <is>
          <t>ÅNGE</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18371-2023</t>
        </is>
      </c>
      <c r="B8492" s="1" t="n">
        <v>45041</v>
      </c>
      <c r="C8492" s="1" t="n">
        <v>45657</v>
      </c>
      <c r="D8492" t="inlineStr">
        <is>
          <t>VÄSTERNORRLANDS LÄN</t>
        </is>
      </c>
      <c r="E8492" t="inlineStr">
        <is>
          <t>SUNDSVALL</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18370-2023</t>
        </is>
      </c>
      <c r="B8493" s="1" t="n">
        <v>45041</v>
      </c>
      <c r="C8493" s="1" t="n">
        <v>45657</v>
      </c>
      <c r="D8493" t="inlineStr">
        <is>
          <t>VÄSTERNORRLANDS LÄN</t>
        </is>
      </c>
      <c r="E8493" t="inlineStr">
        <is>
          <t>ÅNGE</t>
        </is>
      </c>
      <c r="F8493" t="inlineStr">
        <is>
          <t>SCA</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18459-2023</t>
        </is>
      </c>
      <c r="B8494" s="1" t="n">
        <v>45041</v>
      </c>
      <c r="C8494" s="1" t="n">
        <v>45657</v>
      </c>
      <c r="D8494" t="inlineStr">
        <is>
          <t>VÄSTERNORRLANDS LÄN</t>
        </is>
      </c>
      <c r="E8494" t="inlineStr">
        <is>
          <t>SOLLEFTEÅ</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18367-2023</t>
        </is>
      </c>
      <c r="B8495" s="1" t="n">
        <v>45041</v>
      </c>
      <c r="C8495" s="1" t="n">
        <v>45657</v>
      </c>
      <c r="D8495" t="inlineStr">
        <is>
          <t>VÄSTERNORRLANDS LÄN</t>
        </is>
      </c>
      <c r="E8495" t="inlineStr">
        <is>
          <t>SUNDSVALL</t>
        </is>
      </c>
      <c r="F8495" t="inlineStr">
        <is>
          <t>SCA</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18372-2023</t>
        </is>
      </c>
      <c r="B8496" s="1" t="n">
        <v>45041</v>
      </c>
      <c r="C8496" s="1" t="n">
        <v>45657</v>
      </c>
      <c r="D8496" t="inlineStr">
        <is>
          <t>VÄSTERNORRLANDS LÄN</t>
        </is>
      </c>
      <c r="E8496" t="inlineStr">
        <is>
          <t>SUNDSVALL</t>
        </is>
      </c>
      <c r="F8496" t="inlineStr">
        <is>
          <t>SCA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18376-2023</t>
        </is>
      </c>
      <c r="B8497" s="1" t="n">
        <v>45042</v>
      </c>
      <c r="C8497" s="1" t="n">
        <v>45657</v>
      </c>
      <c r="D8497" t="inlineStr">
        <is>
          <t>VÄSTERNORRLANDS LÄN</t>
        </is>
      </c>
      <c r="E8497" t="inlineStr">
        <is>
          <t>SUNDSVALL</t>
        </is>
      </c>
      <c r="F8497" t="inlineStr">
        <is>
          <t>SCA</t>
        </is>
      </c>
      <c r="G8497" t="n">
        <v>7.4</v>
      </c>
      <c r="H8497" t="n">
        <v>0</v>
      </c>
      <c r="I8497" t="n">
        <v>0</v>
      </c>
      <c r="J8497" t="n">
        <v>0</v>
      </c>
      <c r="K8497" t="n">
        <v>0</v>
      </c>
      <c r="L8497" t="n">
        <v>0</v>
      </c>
      <c r="M8497" t="n">
        <v>0</v>
      </c>
      <c r="N8497" t="n">
        <v>0</v>
      </c>
      <c r="O8497" t="n">
        <v>0</v>
      </c>
      <c r="P8497" t="n">
        <v>0</v>
      </c>
      <c r="Q8497" t="n">
        <v>0</v>
      </c>
      <c r="R8497" s="2" t="inlineStr"/>
    </row>
    <row r="8498" ht="15" customHeight="1">
      <c r="A8498" t="inlineStr">
        <is>
          <t>A 18373-2023</t>
        </is>
      </c>
      <c r="B8498" s="1" t="n">
        <v>45041</v>
      </c>
      <c r="C8498" s="1" t="n">
        <v>45657</v>
      </c>
      <c r="D8498" t="inlineStr">
        <is>
          <t>VÄSTERNORRLANDS LÄN</t>
        </is>
      </c>
      <c r="E8498" t="inlineStr">
        <is>
          <t>HÄRNÖSAND</t>
        </is>
      </c>
      <c r="F8498" t="inlineStr">
        <is>
          <t>SCA</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18378-2023</t>
        </is>
      </c>
      <c r="B8499" s="1" t="n">
        <v>45041</v>
      </c>
      <c r="C8499" s="1" t="n">
        <v>45657</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18456-2023</t>
        </is>
      </c>
      <c r="B8500" s="1" t="n">
        <v>45041</v>
      </c>
      <c r="C8500" s="1" t="n">
        <v>45657</v>
      </c>
      <c r="D8500" t="inlineStr">
        <is>
          <t>VÄSTERNORRLANDS LÄN</t>
        </is>
      </c>
      <c r="E8500" t="inlineStr">
        <is>
          <t>SOLLEFTEÅ</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18417-2023</t>
        </is>
      </c>
      <c r="B8501" s="1" t="n">
        <v>45042</v>
      </c>
      <c r="C8501" s="1" t="n">
        <v>45657</v>
      </c>
      <c r="D8501" t="inlineStr">
        <is>
          <t>VÄSTERNORRLANDS LÄN</t>
        </is>
      </c>
      <c r="E8501" t="inlineStr">
        <is>
          <t>ÖRNSKÖLDSVIK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18562-2023</t>
        </is>
      </c>
      <c r="B8502" s="1" t="n">
        <v>45042</v>
      </c>
      <c r="C8502" s="1" t="n">
        <v>45657</v>
      </c>
      <c r="D8502" t="inlineStr">
        <is>
          <t>VÄSTERNORRLANDS LÄN</t>
        </is>
      </c>
      <c r="E8502" t="inlineStr">
        <is>
          <t>SUNDSVALL</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18684-2023</t>
        </is>
      </c>
      <c r="B8503" s="1" t="n">
        <v>45042</v>
      </c>
      <c r="C8503" s="1" t="n">
        <v>45657</v>
      </c>
      <c r="D8503" t="inlineStr">
        <is>
          <t>VÄSTERNORRLANDS LÄN</t>
        </is>
      </c>
      <c r="E8503" t="inlineStr">
        <is>
          <t>TIMRÅ</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18700-2023</t>
        </is>
      </c>
      <c r="B8504" s="1" t="n">
        <v>45042</v>
      </c>
      <c r="C8504" s="1" t="n">
        <v>45657</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18487-2023</t>
        </is>
      </c>
      <c r="B8505" s="1" t="n">
        <v>45042</v>
      </c>
      <c r="C8505" s="1" t="n">
        <v>45657</v>
      </c>
      <c r="D8505" t="inlineStr">
        <is>
          <t>VÄSTERNORRLANDS LÄN</t>
        </is>
      </c>
      <c r="E8505" t="inlineStr">
        <is>
          <t>ÅNGE</t>
        </is>
      </c>
      <c r="G8505" t="n">
        <v>15.2</v>
      </c>
      <c r="H8505" t="n">
        <v>0</v>
      </c>
      <c r="I8505" t="n">
        <v>0</v>
      </c>
      <c r="J8505" t="n">
        <v>0</v>
      </c>
      <c r="K8505" t="n">
        <v>0</v>
      </c>
      <c r="L8505" t="n">
        <v>0</v>
      </c>
      <c r="M8505" t="n">
        <v>0</v>
      </c>
      <c r="N8505" t="n">
        <v>0</v>
      </c>
      <c r="O8505" t="n">
        <v>0</v>
      </c>
      <c r="P8505" t="n">
        <v>0</v>
      </c>
      <c r="Q8505" t="n">
        <v>0</v>
      </c>
      <c r="R8505" s="2" t="inlineStr"/>
    </row>
    <row r="8506" ht="15" customHeight="1">
      <c r="A8506" t="inlineStr">
        <is>
          <t>A 18561-2023</t>
        </is>
      </c>
      <c r="B8506" s="1" t="n">
        <v>45042</v>
      </c>
      <c r="C8506" s="1" t="n">
        <v>45657</v>
      </c>
      <c r="D8506" t="inlineStr">
        <is>
          <t>VÄSTERNORRLANDS LÄN</t>
        </is>
      </c>
      <c r="E8506" t="inlineStr">
        <is>
          <t>SUNDSVALL</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18560-2023</t>
        </is>
      </c>
      <c r="B8507" s="1" t="n">
        <v>45042</v>
      </c>
      <c r="C8507" s="1" t="n">
        <v>45657</v>
      </c>
      <c r="D8507" t="inlineStr">
        <is>
          <t>VÄSTERNORRLANDS LÄN</t>
        </is>
      </c>
      <c r="E8507" t="inlineStr">
        <is>
          <t>ÅNGE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18695-2023</t>
        </is>
      </c>
      <c r="B8508" s="1" t="n">
        <v>45042</v>
      </c>
      <c r="C8508" s="1" t="n">
        <v>45657</v>
      </c>
      <c r="D8508" t="inlineStr">
        <is>
          <t>VÄSTERNORRLANDS LÄN</t>
        </is>
      </c>
      <c r="E8508" t="inlineStr">
        <is>
          <t>SUNDSVALL</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18829-2023</t>
        </is>
      </c>
      <c r="B8509" s="1" t="n">
        <v>45042</v>
      </c>
      <c r="C8509" s="1" t="n">
        <v>45657</v>
      </c>
      <c r="D8509" t="inlineStr">
        <is>
          <t>VÄSTERNORRLANDS LÄN</t>
        </is>
      </c>
      <c r="E8509" t="inlineStr">
        <is>
          <t>SUNDSVALL</t>
        </is>
      </c>
      <c r="G8509" t="n">
        <v>9.9</v>
      </c>
      <c r="H8509" t="n">
        <v>0</v>
      </c>
      <c r="I8509" t="n">
        <v>0</v>
      </c>
      <c r="J8509" t="n">
        <v>0</v>
      </c>
      <c r="K8509" t="n">
        <v>0</v>
      </c>
      <c r="L8509" t="n">
        <v>0</v>
      </c>
      <c r="M8509" t="n">
        <v>0</v>
      </c>
      <c r="N8509" t="n">
        <v>0</v>
      </c>
      <c r="O8509" t="n">
        <v>0</v>
      </c>
      <c r="P8509" t="n">
        <v>0</v>
      </c>
      <c r="Q8509" t="n">
        <v>0</v>
      </c>
      <c r="R8509" s="2" t="inlineStr"/>
    </row>
    <row r="8510" ht="15" customHeight="1">
      <c r="A8510" t="inlineStr">
        <is>
          <t>A 18861-2023</t>
        </is>
      </c>
      <c r="B8510" s="1" t="n">
        <v>45042</v>
      </c>
      <c r="C8510" s="1" t="n">
        <v>45657</v>
      </c>
      <c r="D8510" t="inlineStr">
        <is>
          <t>VÄSTERNORRLANDS LÄN</t>
        </is>
      </c>
      <c r="E8510" t="inlineStr">
        <is>
          <t>SOLLEFTEÅ</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18563-2023</t>
        </is>
      </c>
      <c r="B8511" s="1" t="n">
        <v>45042</v>
      </c>
      <c r="C8511" s="1" t="n">
        <v>45657</v>
      </c>
      <c r="D8511" t="inlineStr">
        <is>
          <t>VÄSTERNORRLANDS LÄN</t>
        </is>
      </c>
      <c r="E8511" t="inlineStr">
        <is>
          <t>SUNDSVALL</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18615-2023</t>
        </is>
      </c>
      <c r="B8512" s="1" t="n">
        <v>45043</v>
      </c>
      <c r="C8512" s="1" t="n">
        <v>45657</v>
      </c>
      <c r="D8512" t="inlineStr">
        <is>
          <t>VÄSTERNORRLANDS LÄN</t>
        </is>
      </c>
      <c r="E8512" t="inlineStr">
        <is>
          <t>KRAMFORS</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18668-2023</t>
        </is>
      </c>
      <c r="B8513" s="1" t="n">
        <v>45043</v>
      </c>
      <c r="C8513" s="1" t="n">
        <v>45657</v>
      </c>
      <c r="D8513" t="inlineStr">
        <is>
          <t>VÄSTERNORRLANDS LÄN</t>
        </is>
      </c>
      <c r="E8513" t="inlineStr">
        <is>
          <t>ÅNGE</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18704-2023</t>
        </is>
      </c>
      <c r="B8514" s="1" t="n">
        <v>45043</v>
      </c>
      <c r="C8514" s="1" t="n">
        <v>45657</v>
      </c>
      <c r="D8514" t="inlineStr">
        <is>
          <t>VÄSTERNORRLANDS LÄN</t>
        </is>
      </c>
      <c r="E8514" t="inlineStr">
        <is>
          <t>ÖRNSKÖLDSVIK</t>
        </is>
      </c>
      <c r="F8514" t="inlineStr">
        <is>
          <t>Holmen skog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18762-2023</t>
        </is>
      </c>
      <c r="B8515" s="1" t="n">
        <v>45043</v>
      </c>
      <c r="C8515" s="1" t="n">
        <v>45657</v>
      </c>
      <c r="D8515" t="inlineStr">
        <is>
          <t>VÄSTERNORRLANDS LÄN</t>
        </is>
      </c>
      <c r="E8515" t="inlineStr">
        <is>
          <t>SOLLEFTEÅ</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18611-2023</t>
        </is>
      </c>
      <c r="B8516" s="1" t="n">
        <v>45043</v>
      </c>
      <c r="C8516" s="1" t="n">
        <v>45657</v>
      </c>
      <c r="D8516" t="inlineStr">
        <is>
          <t>VÄSTERNORRLANDS LÄN</t>
        </is>
      </c>
      <c r="E8516" t="inlineStr">
        <is>
          <t>KRAMFORS</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18586-2023</t>
        </is>
      </c>
      <c r="B8517" s="1" t="n">
        <v>45043</v>
      </c>
      <c r="C8517" s="1" t="n">
        <v>45657</v>
      </c>
      <c r="D8517" t="inlineStr">
        <is>
          <t>VÄSTERNORRLANDS LÄN</t>
        </is>
      </c>
      <c r="E8517" t="inlineStr">
        <is>
          <t>ÖRNSKÖLDSVIK</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18781-2023</t>
        </is>
      </c>
      <c r="B8518" s="1" t="n">
        <v>45043</v>
      </c>
      <c r="C8518" s="1" t="n">
        <v>45657</v>
      </c>
      <c r="D8518" t="inlineStr">
        <is>
          <t>VÄSTERNORRLANDS LÄN</t>
        </is>
      </c>
      <c r="E8518" t="inlineStr">
        <is>
          <t>SOLLEFTEÅ</t>
        </is>
      </c>
      <c r="F8518" t="inlineStr">
        <is>
          <t>SCA</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18785-2023</t>
        </is>
      </c>
      <c r="B8519" s="1" t="n">
        <v>45043</v>
      </c>
      <c r="C8519" s="1" t="n">
        <v>45657</v>
      </c>
      <c r="D8519" t="inlineStr">
        <is>
          <t>VÄSTERNORRLANDS LÄN</t>
        </is>
      </c>
      <c r="E8519" t="inlineStr">
        <is>
          <t>SOLLEFTEÅ</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18778-2023</t>
        </is>
      </c>
      <c r="B8520" s="1" t="n">
        <v>45043</v>
      </c>
      <c r="C8520" s="1" t="n">
        <v>45657</v>
      </c>
      <c r="D8520" t="inlineStr">
        <is>
          <t>VÄSTERNORRLANDS LÄN</t>
        </is>
      </c>
      <c r="E8520" t="inlineStr">
        <is>
          <t>TIMRÅ</t>
        </is>
      </c>
      <c r="F8520" t="inlineStr">
        <is>
          <t>SCA</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18787-2023</t>
        </is>
      </c>
      <c r="B8521" s="1" t="n">
        <v>45043</v>
      </c>
      <c r="C8521" s="1" t="n">
        <v>45657</v>
      </c>
      <c r="D8521" t="inlineStr">
        <is>
          <t>VÄSTERNORRLANDS LÄN</t>
        </is>
      </c>
      <c r="E8521" t="inlineStr">
        <is>
          <t>SUNDSVALL</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18753-2023</t>
        </is>
      </c>
      <c r="B8522" s="1" t="n">
        <v>45044</v>
      </c>
      <c r="C8522" s="1" t="n">
        <v>45657</v>
      </c>
      <c r="D8522" t="inlineStr">
        <is>
          <t>VÄSTERNORRLANDS LÄN</t>
        </is>
      </c>
      <c r="E8522" t="inlineStr">
        <is>
          <t>SOLLEFTEÅ</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18761-2023</t>
        </is>
      </c>
      <c r="B8523" s="1" t="n">
        <v>45043</v>
      </c>
      <c r="C8523" s="1" t="n">
        <v>45657</v>
      </c>
      <c r="D8523" t="inlineStr">
        <is>
          <t>VÄSTERNORRLANDS LÄN</t>
        </is>
      </c>
      <c r="E8523" t="inlineStr">
        <is>
          <t>SOLLEFTEÅ</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18782-2023</t>
        </is>
      </c>
      <c r="B8524" s="1" t="n">
        <v>45044</v>
      </c>
      <c r="C8524" s="1" t="n">
        <v>45657</v>
      </c>
      <c r="D8524" t="inlineStr">
        <is>
          <t>VÄSTERNORRLANDS LÄN</t>
        </is>
      </c>
      <c r="E8524" t="inlineStr">
        <is>
          <t>SOLLEFTEÅ</t>
        </is>
      </c>
      <c r="F8524" t="inlineStr">
        <is>
          <t>SCA</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18786-2023</t>
        </is>
      </c>
      <c r="B8525" s="1" t="n">
        <v>45043</v>
      </c>
      <c r="C8525" s="1" t="n">
        <v>45657</v>
      </c>
      <c r="D8525" t="inlineStr">
        <is>
          <t>VÄSTERNORRLANDS LÄN</t>
        </is>
      </c>
      <c r="E8525" t="inlineStr">
        <is>
          <t>SOLLEFTEÅ</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18755-2023</t>
        </is>
      </c>
      <c r="B8526" s="1" t="n">
        <v>45043</v>
      </c>
      <c r="C8526" s="1" t="n">
        <v>45657</v>
      </c>
      <c r="D8526" t="inlineStr">
        <is>
          <t>VÄSTERNORRLANDS LÄN</t>
        </is>
      </c>
      <c r="E8526" t="inlineStr">
        <is>
          <t>SOLLEFTEÅ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18766-2023</t>
        </is>
      </c>
      <c r="B8527" s="1" t="n">
        <v>45043</v>
      </c>
      <c r="C8527" s="1" t="n">
        <v>45657</v>
      </c>
      <c r="D8527" t="inlineStr">
        <is>
          <t>VÄSTERNORRLANDS LÄN</t>
        </is>
      </c>
      <c r="E8527" t="inlineStr">
        <is>
          <t>HÄRNÖSAND</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18780-2023</t>
        </is>
      </c>
      <c r="B8528" s="1" t="n">
        <v>45044</v>
      </c>
      <c r="C8528" s="1" t="n">
        <v>45657</v>
      </c>
      <c r="D8528" t="inlineStr">
        <is>
          <t>VÄSTERNORRLANDS LÄN</t>
        </is>
      </c>
      <c r="E8528" t="inlineStr">
        <is>
          <t>SOLLEFTEÅ</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18784-2023</t>
        </is>
      </c>
      <c r="B8529" s="1" t="n">
        <v>45044</v>
      </c>
      <c r="C8529" s="1" t="n">
        <v>45657</v>
      </c>
      <c r="D8529" t="inlineStr">
        <is>
          <t>VÄSTERNORRLANDS LÄN</t>
        </is>
      </c>
      <c r="E8529" t="inlineStr">
        <is>
          <t>SOLLEFTEÅ</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18919-2023</t>
        </is>
      </c>
      <c r="B8530" s="1" t="n">
        <v>45043</v>
      </c>
      <c r="C8530" s="1" t="n">
        <v>45657</v>
      </c>
      <c r="D8530" t="inlineStr">
        <is>
          <t>VÄSTERNORRLANDS LÄN</t>
        </is>
      </c>
      <c r="E8530" t="inlineStr">
        <is>
          <t>SUNDSVALL</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18967-2023</t>
        </is>
      </c>
      <c r="B8531" s="1" t="n">
        <v>45044</v>
      </c>
      <c r="C8531" s="1" t="n">
        <v>45657</v>
      </c>
      <c r="D8531" t="inlineStr">
        <is>
          <t>VÄSTERNORRLANDS LÄN</t>
        </is>
      </c>
      <c r="E8531" t="inlineStr">
        <is>
          <t>HÄRNÖSAND</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18979-2023</t>
        </is>
      </c>
      <c r="B8532" s="1" t="n">
        <v>45044</v>
      </c>
      <c r="C8532" s="1" t="n">
        <v>45657</v>
      </c>
      <c r="D8532" t="inlineStr">
        <is>
          <t>VÄSTERNORRLANDS LÄN</t>
        </is>
      </c>
      <c r="E8532" t="inlineStr">
        <is>
          <t>HÄRNÖSAND</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18988-2023</t>
        </is>
      </c>
      <c r="B8533" s="1" t="n">
        <v>45044</v>
      </c>
      <c r="C8533" s="1" t="n">
        <v>45657</v>
      </c>
      <c r="D8533" t="inlineStr">
        <is>
          <t>VÄSTERNORRLANDS LÄN</t>
        </is>
      </c>
      <c r="E8533" t="inlineStr">
        <is>
          <t>HÄRNÖSAND</t>
        </is>
      </c>
      <c r="F8533" t="inlineStr">
        <is>
          <t>SCA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18885-2023</t>
        </is>
      </c>
      <c r="B8534" s="1" t="n">
        <v>45044</v>
      </c>
      <c r="C8534" s="1" t="n">
        <v>45657</v>
      </c>
      <c r="D8534" t="inlineStr">
        <is>
          <t>VÄSTERNORRLANDS LÄN</t>
        </is>
      </c>
      <c r="E8534" t="inlineStr">
        <is>
          <t>HÄRNÖSAND</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18917-2023</t>
        </is>
      </c>
      <c r="B8535" s="1" t="n">
        <v>45044</v>
      </c>
      <c r="C8535" s="1" t="n">
        <v>45657</v>
      </c>
      <c r="D8535" t="inlineStr">
        <is>
          <t>VÄSTERNORRLANDS LÄN</t>
        </is>
      </c>
      <c r="E8535" t="inlineStr">
        <is>
          <t>KRAMFORS</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18980-2023</t>
        </is>
      </c>
      <c r="B8536" s="1" t="n">
        <v>45044</v>
      </c>
      <c r="C8536" s="1" t="n">
        <v>45657</v>
      </c>
      <c r="D8536" t="inlineStr">
        <is>
          <t>VÄSTERNORRLANDS LÄN</t>
        </is>
      </c>
      <c r="E8536" t="inlineStr">
        <is>
          <t>SOLLEFTEÅ</t>
        </is>
      </c>
      <c r="F8536" t="inlineStr">
        <is>
          <t>Övriga statliga verk och myndigheter</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18989-2023</t>
        </is>
      </c>
      <c r="B8537" s="1" t="n">
        <v>45044</v>
      </c>
      <c r="C8537" s="1" t="n">
        <v>45657</v>
      </c>
      <c r="D8537" t="inlineStr">
        <is>
          <t>VÄSTERNORRLANDS LÄN</t>
        </is>
      </c>
      <c r="E8537" t="inlineStr">
        <is>
          <t>SOLLEFTEÅ</t>
        </is>
      </c>
      <c r="F8537" t="inlineStr">
        <is>
          <t>SCA</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18981-2023</t>
        </is>
      </c>
      <c r="B8538" s="1" t="n">
        <v>45044</v>
      </c>
      <c r="C8538" s="1" t="n">
        <v>45657</v>
      </c>
      <c r="D8538" t="inlineStr">
        <is>
          <t>VÄSTERNORRLANDS LÄN</t>
        </is>
      </c>
      <c r="E8538" t="inlineStr">
        <is>
          <t>KRAMFORS</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19079-2023</t>
        </is>
      </c>
      <c r="B8539" s="1" t="n">
        <v>45044</v>
      </c>
      <c r="C8539" s="1" t="n">
        <v>45657</v>
      </c>
      <c r="D8539" t="inlineStr">
        <is>
          <t>VÄSTERNORRLANDS LÄN</t>
        </is>
      </c>
      <c r="E8539" t="inlineStr">
        <is>
          <t>HÄRNÖSAND</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19137-2023</t>
        </is>
      </c>
      <c r="B8540" s="1" t="n">
        <v>45044</v>
      </c>
      <c r="C8540" s="1" t="n">
        <v>45657</v>
      </c>
      <c r="D8540" t="inlineStr">
        <is>
          <t>VÄSTERNORRLANDS LÄN</t>
        </is>
      </c>
      <c r="E8540" t="inlineStr">
        <is>
          <t>ÖRNSKÖLDSVIK</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19084-2023</t>
        </is>
      </c>
      <c r="B8541" s="1" t="n">
        <v>45044</v>
      </c>
      <c r="C8541" s="1" t="n">
        <v>45657</v>
      </c>
      <c r="D8541" t="inlineStr">
        <is>
          <t>VÄSTERNORRLANDS LÄN</t>
        </is>
      </c>
      <c r="E8541" t="inlineStr">
        <is>
          <t>HÄRNÖSAND</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18978-2023</t>
        </is>
      </c>
      <c r="B8542" s="1" t="n">
        <v>45044</v>
      </c>
      <c r="C8542" s="1" t="n">
        <v>45657</v>
      </c>
      <c r="D8542" t="inlineStr">
        <is>
          <t>VÄSTERNORRLANDS LÄN</t>
        </is>
      </c>
      <c r="E8542" t="inlineStr">
        <is>
          <t>HÄRNÖSAND</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19154-2023</t>
        </is>
      </c>
      <c r="B8543" s="1" t="n">
        <v>45044</v>
      </c>
      <c r="C8543" s="1" t="n">
        <v>45657</v>
      </c>
      <c r="D8543" t="inlineStr">
        <is>
          <t>VÄSTERNORRLANDS LÄN</t>
        </is>
      </c>
      <c r="E8543" t="inlineStr">
        <is>
          <t>SOLLEFTEÅ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19243-2023</t>
        </is>
      </c>
      <c r="B8544" s="1" t="n">
        <v>45048</v>
      </c>
      <c r="C8544" s="1" t="n">
        <v>45657</v>
      </c>
      <c r="D8544" t="inlineStr">
        <is>
          <t>VÄSTERNORRLANDS LÄN</t>
        </is>
      </c>
      <c r="E8544" t="inlineStr">
        <is>
          <t>HÄRNÖSAND</t>
        </is>
      </c>
      <c r="F8544" t="inlineStr">
        <is>
          <t>SCA</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19234-2023</t>
        </is>
      </c>
      <c r="B8545" s="1" t="n">
        <v>45048</v>
      </c>
      <c r="C8545" s="1" t="n">
        <v>45657</v>
      </c>
      <c r="D8545" t="inlineStr">
        <is>
          <t>VÄSTERNORRLANDS LÄN</t>
        </is>
      </c>
      <c r="E8545" t="inlineStr">
        <is>
          <t>SUNDSVALL</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19244-2023</t>
        </is>
      </c>
      <c r="B8546" s="1" t="n">
        <v>45048</v>
      </c>
      <c r="C8546" s="1" t="n">
        <v>45657</v>
      </c>
      <c r="D8546" t="inlineStr">
        <is>
          <t>VÄSTERNORRLANDS LÄN</t>
        </is>
      </c>
      <c r="E8546" t="inlineStr">
        <is>
          <t>TIMRÅ</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19231-2023</t>
        </is>
      </c>
      <c r="B8547" s="1" t="n">
        <v>45048</v>
      </c>
      <c r="C8547" s="1" t="n">
        <v>45657</v>
      </c>
      <c r="D8547" t="inlineStr">
        <is>
          <t>VÄSTERNORRLANDS LÄN</t>
        </is>
      </c>
      <c r="E8547" t="inlineStr">
        <is>
          <t>ÅNGE</t>
        </is>
      </c>
      <c r="G8547" t="n">
        <v>10.4</v>
      </c>
      <c r="H8547" t="n">
        <v>0</v>
      </c>
      <c r="I8547" t="n">
        <v>0</v>
      </c>
      <c r="J8547" t="n">
        <v>0</v>
      </c>
      <c r="K8547" t="n">
        <v>0</v>
      </c>
      <c r="L8547" t="n">
        <v>0</v>
      </c>
      <c r="M8547" t="n">
        <v>0</v>
      </c>
      <c r="N8547" t="n">
        <v>0</v>
      </c>
      <c r="O8547" t="n">
        <v>0</v>
      </c>
      <c r="P8547" t="n">
        <v>0</v>
      </c>
      <c r="Q8547" t="n">
        <v>0</v>
      </c>
      <c r="R8547" s="2" t="inlineStr"/>
    </row>
    <row r="8548" ht="15" customHeight="1">
      <c r="A8548" t="inlineStr">
        <is>
          <t>A 19235-2023</t>
        </is>
      </c>
      <c r="B8548" s="1" t="n">
        <v>45049</v>
      </c>
      <c r="C8548" s="1" t="n">
        <v>45657</v>
      </c>
      <c r="D8548" t="inlineStr">
        <is>
          <t>VÄSTERNORRLANDS LÄN</t>
        </is>
      </c>
      <c r="E8548" t="inlineStr">
        <is>
          <t>SUNDSVALL</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19228-2023</t>
        </is>
      </c>
      <c r="B8549" s="1" t="n">
        <v>45048</v>
      </c>
      <c r="C8549" s="1" t="n">
        <v>45657</v>
      </c>
      <c r="D8549" t="inlineStr">
        <is>
          <t>VÄSTERNORRLANDS LÄN</t>
        </is>
      </c>
      <c r="E8549" t="inlineStr">
        <is>
          <t>SUNDSVALL</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19236-2023</t>
        </is>
      </c>
      <c r="B8550" s="1" t="n">
        <v>45048</v>
      </c>
      <c r="C8550" s="1" t="n">
        <v>45657</v>
      </c>
      <c r="D8550" t="inlineStr">
        <is>
          <t>VÄSTERNORRLANDS LÄN</t>
        </is>
      </c>
      <c r="E8550" t="inlineStr">
        <is>
          <t>SUNDSVALL</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19277-2023</t>
        </is>
      </c>
      <c r="B8551" s="1" t="n">
        <v>45049</v>
      </c>
      <c r="C8551" s="1" t="n">
        <v>45657</v>
      </c>
      <c r="D8551" t="inlineStr">
        <is>
          <t>VÄSTERNORRLANDS LÄN</t>
        </is>
      </c>
      <c r="E8551" t="inlineStr">
        <is>
          <t>SUNDSVALL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19274-2023</t>
        </is>
      </c>
      <c r="B8552" s="1" t="n">
        <v>45049</v>
      </c>
      <c r="C8552" s="1" t="n">
        <v>45657</v>
      </c>
      <c r="D8552" t="inlineStr">
        <is>
          <t>VÄSTERNORRLANDS LÄN</t>
        </is>
      </c>
      <c r="E8552" t="inlineStr">
        <is>
          <t>SUNDSVALL</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19308-2023</t>
        </is>
      </c>
      <c r="B8553" s="1" t="n">
        <v>45049</v>
      </c>
      <c r="C8553" s="1" t="n">
        <v>45657</v>
      </c>
      <c r="D8553" t="inlineStr">
        <is>
          <t>VÄSTERNORRLANDS LÄN</t>
        </is>
      </c>
      <c r="E8553" t="inlineStr">
        <is>
          <t>ÖRNSKÖLDSVIK</t>
        </is>
      </c>
      <c r="F8553" t="inlineStr">
        <is>
          <t>Holmen skog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19420-2023</t>
        </is>
      </c>
      <c r="B8554" s="1" t="n">
        <v>45049</v>
      </c>
      <c r="C8554" s="1" t="n">
        <v>45657</v>
      </c>
      <c r="D8554" t="inlineStr">
        <is>
          <t>VÄSTERNORRLANDS LÄN</t>
        </is>
      </c>
      <c r="E8554" t="inlineStr">
        <is>
          <t>KRAMFORS</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19431-2023</t>
        </is>
      </c>
      <c r="B8555" s="1" t="n">
        <v>45049</v>
      </c>
      <c r="C8555" s="1" t="n">
        <v>45657</v>
      </c>
      <c r="D8555" t="inlineStr">
        <is>
          <t>VÄSTERNORRLANDS LÄN</t>
        </is>
      </c>
      <c r="E8555" t="inlineStr">
        <is>
          <t>HÄRNÖSAND</t>
        </is>
      </c>
      <c r="F8555" t="inlineStr">
        <is>
          <t>SCA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19427-2023</t>
        </is>
      </c>
      <c r="B8556" s="1" t="n">
        <v>45049</v>
      </c>
      <c r="C8556" s="1" t="n">
        <v>45657</v>
      </c>
      <c r="D8556" t="inlineStr">
        <is>
          <t>VÄSTERNORRLANDS LÄN</t>
        </is>
      </c>
      <c r="E8556" t="inlineStr">
        <is>
          <t>KRAMFORS</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19440-2023</t>
        </is>
      </c>
      <c r="B8557" s="1" t="n">
        <v>45049</v>
      </c>
      <c r="C8557" s="1" t="n">
        <v>45657</v>
      </c>
      <c r="D8557" t="inlineStr">
        <is>
          <t>VÄSTERNORRLANDS LÄN</t>
        </is>
      </c>
      <c r="E8557" t="inlineStr">
        <is>
          <t>TIMRÅ</t>
        </is>
      </c>
      <c r="F8557" t="inlineStr">
        <is>
          <t>SCA</t>
        </is>
      </c>
      <c r="G8557" t="n">
        <v>9.199999999999999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19280-2023</t>
        </is>
      </c>
      <c r="B8558" s="1" t="n">
        <v>45049</v>
      </c>
      <c r="C8558" s="1" t="n">
        <v>45657</v>
      </c>
      <c r="D8558" t="inlineStr">
        <is>
          <t>VÄSTERNORRLANDS LÄN</t>
        </is>
      </c>
      <c r="E8558" t="inlineStr">
        <is>
          <t>SUNDSVALL</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19433-2023</t>
        </is>
      </c>
      <c r="B8559" s="1" t="n">
        <v>45049</v>
      </c>
      <c r="C8559" s="1" t="n">
        <v>45657</v>
      </c>
      <c r="D8559" t="inlineStr">
        <is>
          <t>VÄSTERNORRLANDS LÄN</t>
        </is>
      </c>
      <c r="E8559" t="inlineStr">
        <is>
          <t>SOLLEFTEÅ</t>
        </is>
      </c>
      <c r="F8559" t="inlineStr">
        <is>
          <t>SCA</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19472-2023</t>
        </is>
      </c>
      <c r="B8560" s="1" t="n">
        <v>45049</v>
      </c>
      <c r="C8560" s="1" t="n">
        <v>45657</v>
      </c>
      <c r="D8560" t="inlineStr">
        <is>
          <t>VÄSTERNORRLANDS LÄN</t>
        </is>
      </c>
      <c r="E8560" t="inlineStr">
        <is>
          <t>KRAMFORS</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19419-2023</t>
        </is>
      </c>
      <c r="B8561" s="1" t="n">
        <v>45049</v>
      </c>
      <c r="C8561" s="1" t="n">
        <v>45657</v>
      </c>
      <c r="D8561" t="inlineStr">
        <is>
          <t>VÄSTERNORRLANDS LÄN</t>
        </is>
      </c>
      <c r="E8561" t="inlineStr">
        <is>
          <t>KRAMFORS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19434-2023</t>
        </is>
      </c>
      <c r="B8562" s="1" t="n">
        <v>45049</v>
      </c>
      <c r="C8562" s="1" t="n">
        <v>45657</v>
      </c>
      <c r="D8562" t="inlineStr">
        <is>
          <t>VÄSTERNORRLANDS LÄN</t>
        </is>
      </c>
      <c r="E8562" t="inlineStr">
        <is>
          <t>SOLLEFTEÅ</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19519-2023</t>
        </is>
      </c>
      <c r="B8563" s="1" t="n">
        <v>45050</v>
      </c>
      <c r="C8563" s="1" t="n">
        <v>45657</v>
      </c>
      <c r="D8563" t="inlineStr">
        <is>
          <t>VÄSTERNORRLANDS LÄN</t>
        </is>
      </c>
      <c r="E8563" t="inlineStr">
        <is>
          <t>ÖRNSKÖLDSVIK</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19582-2023</t>
        </is>
      </c>
      <c r="B8564" s="1" t="n">
        <v>45050</v>
      </c>
      <c r="C8564" s="1" t="n">
        <v>45657</v>
      </c>
      <c r="D8564" t="inlineStr">
        <is>
          <t>VÄSTERNORRLANDS LÄN</t>
        </is>
      </c>
      <c r="E8564" t="inlineStr">
        <is>
          <t>ÖRNSKÖLDSVIK</t>
        </is>
      </c>
      <c r="F8564" t="inlineStr">
        <is>
          <t>Holmen skog AB</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19609-2023</t>
        </is>
      </c>
      <c r="B8565" s="1" t="n">
        <v>45050</v>
      </c>
      <c r="C8565" s="1" t="n">
        <v>45657</v>
      </c>
      <c r="D8565" t="inlineStr">
        <is>
          <t>VÄSTERNORRLANDS LÄN</t>
        </is>
      </c>
      <c r="E8565" t="inlineStr">
        <is>
          <t>SOLLEFTEÅ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19617-2023</t>
        </is>
      </c>
      <c r="B8566" s="1" t="n">
        <v>45051</v>
      </c>
      <c r="C8566" s="1" t="n">
        <v>45657</v>
      </c>
      <c r="D8566" t="inlineStr">
        <is>
          <t>VÄSTERNORRLANDS LÄN</t>
        </is>
      </c>
      <c r="E8566" t="inlineStr">
        <is>
          <t>SUNDSVALL</t>
        </is>
      </c>
      <c r="F8566" t="inlineStr">
        <is>
          <t>SCA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19509-2023</t>
        </is>
      </c>
      <c r="B8567" s="1" t="n">
        <v>45050</v>
      </c>
      <c r="C8567" s="1" t="n">
        <v>45657</v>
      </c>
      <c r="D8567" t="inlineStr">
        <is>
          <t>VÄSTERNORRLANDS LÄN</t>
        </is>
      </c>
      <c r="E8567" t="inlineStr">
        <is>
          <t>ÖRNSKÖLDSVIK</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19514-2023</t>
        </is>
      </c>
      <c r="B8568" s="1" t="n">
        <v>45050</v>
      </c>
      <c r="C8568" s="1" t="n">
        <v>45657</v>
      </c>
      <c r="D8568" t="inlineStr">
        <is>
          <t>VÄSTERNORRLANDS LÄN</t>
        </is>
      </c>
      <c r="E8568" t="inlineStr">
        <is>
          <t>ÖRNSKÖLDSVIK</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19610-2023</t>
        </is>
      </c>
      <c r="B8569" s="1" t="n">
        <v>45050</v>
      </c>
      <c r="C8569" s="1" t="n">
        <v>45657</v>
      </c>
      <c r="D8569" t="inlineStr">
        <is>
          <t>VÄSTERNORRLANDS LÄN</t>
        </is>
      </c>
      <c r="E8569" t="inlineStr">
        <is>
          <t>SOLLEFTEÅ</t>
        </is>
      </c>
      <c r="G8569" t="n">
        <v>10.4</v>
      </c>
      <c r="H8569" t="n">
        <v>0</v>
      </c>
      <c r="I8569" t="n">
        <v>0</v>
      </c>
      <c r="J8569" t="n">
        <v>0</v>
      </c>
      <c r="K8569" t="n">
        <v>0</v>
      </c>
      <c r="L8569" t="n">
        <v>0</v>
      </c>
      <c r="M8569" t="n">
        <v>0</v>
      </c>
      <c r="N8569" t="n">
        <v>0</v>
      </c>
      <c r="O8569" t="n">
        <v>0</v>
      </c>
      <c r="P8569" t="n">
        <v>0</v>
      </c>
      <c r="Q8569" t="n">
        <v>0</v>
      </c>
      <c r="R8569" s="2" t="inlineStr"/>
    </row>
    <row r="8570" ht="15" customHeight="1">
      <c r="A8570" t="inlineStr">
        <is>
          <t>A 19615-2023</t>
        </is>
      </c>
      <c r="B8570" s="1" t="n">
        <v>45051</v>
      </c>
      <c r="C8570" s="1" t="n">
        <v>45657</v>
      </c>
      <c r="D8570" t="inlineStr">
        <is>
          <t>VÄSTERNORRLANDS LÄN</t>
        </is>
      </c>
      <c r="E8570" t="inlineStr">
        <is>
          <t>SOLLEFTEÅ</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19624-2023</t>
        </is>
      </c>
      <c r="B8571" s="1" t="n">
        <v>45051</v>
      </c>
      <c r="C8571" s="1" t="n">
        <v>45657</v>
      </c>
      <c r="D8571" t="inlineStr">
        <is>
          <t>VÄSTERNORRLANDS LÄN</t>
        </is>
      </c>
      <c r="E8571" t="inlineStr">
        <is>
          <t>ÅNGE</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19616-2023</t>
        </is>
      </c>
      <c r="B8572" s="1" t="n">
        <v>45051</v>
      </c>
      <c r="C8572" s="1" t="n">
        <v>45657</v>
      </c>
      <c r="D8572" t="inlineStr">
        <is>
          <t>VÄSTERNORRLANDS LÄN</t>
        </is>
      </c>
      <c r="E8572" t="inlineStr">
        <is>
          <t>SUNDSVALL</t>
        </is>
      </c>
      <c r="F8572" t="inlineStr">
        <is>
          <t>SCA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19625-2023</t>
        </is>
      </c>
      <c r="B8573" s="1" t="n">
        <v>45050</v>
      </c>
      <c r="C8573" s="1" t="n">
        <v>45657</v>
      </c>
      <c r="D8573" t="inlineStr">
        <is>
          <t>VÄSTERNORRLANDS LÄN</t>
        </is>
      </c>
      <c r="E8573" t="inlineStr">
        <is>
          <t>SOLLEFTEÅ</t>
        </is>
      </c>
      <c r="F8573" t="inlineStr">
        <is>
          <t>SCA</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19654-2023</t>
        </is>
      </c>
      <c r="B8574" s="1" t="n">
        <v>45050</v>
      </c>
      <c r="C8574" s="1" t="n">
        <v>45657</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19614-2023</t>
        </is>
      </c>
      <c r="B8575" s="1" t="n">
        <v>45050</v>
      </c>
      <c r="C8575" s="1" t="n">
        <v>45657</v>
      </c>
      <c r="D8575" t="inlineStr">
        <is>
          <t>VÄSTERNORRLANDS LÄN</t>
        </is>
      </c>
      <c r="E8575" t="inlineStr">
        <is>
          <t>SOLLEFTEÅ</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19618-2023</t>
        </is>
      </c>
      <c r="B8576" s="1" t="n">
        <v>45051</v>
      </c>
      <c r="C8576" s="1" t="n">
        <v>45657</v>
      </c>
      <c r="D8576" t="inlineStr">
        <is>
          <t>VÄSTERNORRLANDS LÄN</t>
        </is>
      </c>
      <c r="E8576" t="inlineStr">
        <is>
          <t>SUNDSVALL</t>
        </is>
      </c>
      <c r="F8576" t="inlineStr">
        <is>
          <t>SCA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19622-2023</t>
        </is>
      </c>
      <c r="B8577" s="1" t="n">
        <v>45051</v>
      </c>
      <c r="C8577" s="1" t="n">
        <v>45657</v>
      </c>
      <c r="D8577" t="inlineStr">
        <is>
          <t>VÄSTERNORRLANDS LÄN</t>
        </is>
      </c>
      <c r="E8577" t="inlineStr">
        <is>
          <t>ÅNGE</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19670-2023</t>
        </is>
      </c>
      <c r="B8578" s="1" t="n">
        <v>45051</v>
      </c>
      <c r="C8578" s="1" t="n">
        <v>45657</v>
      </c>
      <c r="D8578" t="inlineStr">
        <is>
          <t>VÄSTERNORRLANDS LÄN</t>
        </is>
      </c>
      <c r="E8578" t="inlineStr">
        <is>
          <t>ÖRNSKÖLDSVIK</t>
        </is>
      </c>
      <c r="F8578" t="inlineStr">
        <is>
          <t>Holmen skog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19766-2023</t>
        </is>
      </c>
      <c r="B8579" s="1" t="n">
        <v>45051</v>
      </c>
      <c r="C8579" s="1" t="n">
        <v>45657</v>
      </c>
      <c r="D8579" t="inlineStr">
        <is>
          <t>VÄSTERNORRLANDS LÄN</t>
        </is>
      </c>
      <c r="E8579" t="inlineStr">
        <is>
          <t>KRAMFORS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19648-2023</t>
        </is>
      </c>
      <c r="B8580" s="1" t="n">
        <v>45051</v>
      </c>
      <c r="C8580" s="1" t="n">
        <v>45657</v>
      </c>
      <c r="D8580" t="inlineStr">
        <is>
          <t>VÄSTERNORRLANDS LÄN</t>
        </is>
      </c>
      <c r="E8580" t="inlineStr">
        <is>
          <t>ÖRNSKÖLDSVIK</t>
        </is>
      </c>
      <c r="F8580" t="inlineStr">
        <is>
          <t>Holmen skog AB</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19681-2023</t>
        </is>
      </c>
      <c r="B8581" s="1" t="n">
        <v>45051</v>
      </c>
      <c r="C8581" s="1" t="n">
        <v>45657</v>
      </c>
      <c r="D8581" t="inlineStr">
        <is>
          <t>VÄSTERNORRLANDS LÄN</t>
        </is>
      </c>
      <c r="E8581" t="inlineStr">
        <is>
          <t>ÖRNSKÖLDSVIK</t>
        </is>
      </c>
      <c r="F8581" t="inlineStr">
        <is>
          <t>Holmen skog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19811-2023</t>
        </is>
      </c>
      <c r="B8582" s="1" t="n">
        <v>45052</v>
      </c>
      <c r="C8582" s="1" t="n">
        <v>45657</v>
      </c>
      <c r="D8582" t="inlineStr">
        <is>
          <t>VÄSTERNORRLANDS LÄN</t>
        </is>
      </c>
      <c r="E8582" t="inlineStr">
        <is>
          <t>ÅNGE</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19815-2023</t>
        </is>
      </c>
      <c r="B8583" s="1" t="n">
        <v>45051</v>
      </c>
      <c r="C8583" s="1" t="n">
        <v>45657</v>
      </c>
      <c r="D8583" t="inlineStr">
        <is>
          <t>VÄSTERNORRLANDS LÄN</t>
        </is>
      </c>
      <c r="E8583" t="inlineStr">
        <is>
          <t>SUNDSVALL</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19812-2023</t>
        </is>
      </c>
      <c r="B8584" s="1" t="n">
        <v>45052</v>
      </c>
      <c r="C8584" s="1" t="n">
        <v>45657</v>
      </c>
      <c r="D8584" t="inlineStr">
        <is>
          <t>VÄSTERNORRLANDS LÄN</t>
        </is>
      </c>
      <c r="E8584" t="inlineStr">
        <is>
          <t>SUNDSVALL</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19816-2023</t>
        </is>
      </c>
      <c r="B8585" s="1" t="n">
        <v>45052</v>
      </c>
      <c r="C8585" s="1" t="n">
        <v>45657</v>
      </c>
      <c r="D8585" t="inlineStr">
        <is>
          <t>VÄSTERNORRLANDS LÄN</t>
        </is>
      </c>
      <c r="E8585" t="inlineStr">
        <is>
          <t>SOLLEFTEÅ</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19710-2023</t>
        </is>
      </c>
      <c r="B8586" s="1" t="n">
        <v>45051</v>
      </c>
      <c r="C8586" s="1" t="n">
        <v>45657</v>
      </c>
      <c r="D8586" t="inlineStr">
        <is>
          <t>VÄSTERNORRLANDS LÄN</t>
        </is>
      </c>
      <c r="E8586" t="inlineStr">
        <is>
          <t>ÖRNSKÖLDSVIK</t>
        </is>
      </c>
      <c r="F8586" t="inlineStr">
        <is>
          <t>Holmen skog AB</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19810-2023</t>
        </is>
      </c>
      <c r="B8587" s="1" t="n">
        <v>45052</v>
      </c>
      <c r="C8587" s="1" t="n">
        <v>45657</v>
      </c>
      <c r="D8587" t="inlineStr">
        <is>
          <t>VÄSTERNORRLANDS LÄN</t>
        </is>
      </c>
      <c r="E8587" t="inlineStr">
        <is>
          <t>ÅNGE</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20057-2023</t>
        </is>
      </c>
      <c r="B8588" s="1" t="n">
        <v>45051</v>
      </c>
      <c r="C8588" s="1" t="n">
        <v>45657</v>
      </c>
      <c r="D8588" t="inlineStr">
        <is>
          <t>VÄSTERNORRLANDS LÄN</t>
        </is>
      </c>
      <c r="E8588" t="inlineStr">
        <is>
          <t>SUNDSVALL</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19827-2023</t>
        </is>
      </c>
      <c r="B8589" s="1" t="n">
        <v>45052</v>
      </c>
      <c r="C8589" s="1" t="n">
        <v>45657</v>
      </c>
      <c r="D8589" t="inlineStr">
        <is>
          <t>VÄSTERNORRLANDS LÄN</t>
        </is>
      </c>
      <c r="E8589" t="inlineStr">
        <is>
          <t>ÅNGE</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20009-2023</t>
        </is>
      </c>
      <c r="B8590" s="1" t="n">
        <v>45051</v>
      </c>
      <c r="C8590" s="1" t="n">
        <v>45657</v>
      </c>
      <c r="D8590" t="inlineStr">
        <is>
          <t>VÄSTERNORRLANDS LÄN</t>
        </is>
      </c>
      <c r="E8590" t="inlineStr">
        <is>
          <t>ÅNGE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20110-2023</t>
        </is>
      </c>
      <c r="B8591" s="1" t="n">
        <v>45051</v>
      </c>
      <c r="C8591" s="1" t="n">
        <v>45657</v>
      </c>
      <c r="D8591" t="inlineStr">
        <is>
          <t>VÄSTERNORRLANDS LÄN</t>
        </is>
      </c>
      <c r="E8591" t="inlineStr">
        <is>
          <t>ÅNGE</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19829-2023</t>
        </is>
      </c>
      <c r="B8592" s="1" t="n">
        <v>45052</v>
      </c>
      <c r="C8592" s="1" t="n">
        <v>45657</v>
      </c>
      <c r="D8592" t="inlineStr">
        <is>
          <t>VÄSTERNORRLANDS LÄN</t>
        </is>
      </c>
      <c r="E8592" t="inlineStr">
        <is>
          <t>SOLLEFTEÅ</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20024-2023</t>
        </is>
      </c>
      <c r="B8593" s="1" t="n">
        <v>45051</v>
      </c>
      <c r="C8593" s="1" t="n">
        <v>45657</v>
      </c>
      <c r="D8593" t="inlineStr">
        <is>
          <t>VÄSTERNORRLANDS LÄN</t>
        </is>
      </c>
      <c r="E8593" t="inlineStr">
        <is>
          <t>ÅNGE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19772-2023</t>
        </is>
      </c>
      <c r="B8594" s="1" t="n">
        <v>45051</v>
      </c>
      <c r="C8594" s="1" t="n">
        <v>45657</v>
      </c>
      <c r="D8594" t="inlineStr">
        <is>
          <t>VÄSTERNORRLANDS LÄN</t>
        </is>
      </c>
      <c r="E8594" t="inlineStr">
        <is>
          <t>KRAMFORS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19813-2023</t>
        </is>
      </c>
      <c r="B8595" s="1" t="n">
        <v>45051</v>
      </c>
      <c r="C8595" s="1" t="n">
        <v>45657</v>
      </c>
      <c r="D8595" t="inlineStr">
        <is>
          <t>VÄSTERNORRLANDS LÄN</t>
        </is>
      </c>
      <c r="E8595" t="inlineStr">
        <is>
          <t>ÖRNSKÖLDSVIK</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19830-2023</t>
        </is>
      </c>
      <c r="B8596" s="1" t="n">
        <v>45052</v>
      </c>
      <c r="C8596" s="1" t="n">
        <v>45657</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19902-2023</t>
        </is>
      </c>
      <c r="B8597" s="1" t="n">
        <v>45054</v>
      </c>
      <c r="C8597" s="1" t="n">
        <v>45657</v>
      </c>
      <c r="D8597" t="inlineStr">
        <is>
          <t>VÄSTERNORRLANDS LÄN</t>
        </is>
      </c>
      <c r="E8597" t="inlineStr">
        <is>
          <t>SUNDSVALL</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19983-2023</t>
        </is>
      </c>
      <c r="B8598" s="1" t="n">
        <v>45054</v>
      </c>
      <c r="C8598" s="1" t="n">
        <v>45657</v>
      </c>
      <c r="D8598" t="inlineStr">
        <is>
          <t>VÄSTERNORRLANDS LÄN</t>
        </is>
      </c>
      <c r="E8598" t="inlineStr">
        <is>
          <t>ÖRNSKÖLDSVIK</t>
        </is>
      </c>
      <c r="F8598" t="inlineStr">
        <is>
          <t>Holmen skog AB</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19896-2023</t>
        </is>
      </c>
      <c r="B8599" s="1" t="n">
        <v>45054</v>
      </c>
      <c r="C8599" s="1" t="n">
        <v>45657</v>
      </c>
      <c r="D8599" t="inlineStr">
        <is>
          <t>VÄSTERNORRLANDS LÄN</t>
        </is>
      </c>
      <c r="E8599" t="inlineStr">
        <is>
          <t>SUNDSVALL</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19900-2023</t>
        </is>
      </c>
      <c r="B8600" s="1" t="n">
        <v>45054</v>
      </c>
      <c r="C8600" s="1" t="n">
        <v>45657</v>
      </c>
      <c r="D8600" t="inlineStr">
        <is>
          <t>VÄSTERNORRLANDS LÄN</t>
        </is>
      </c>
      <c r="E8600" t="inlineStr">
        <is>
          <t>SUNDSVALL</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19977-2023</t>
        </is>
      </c>
      <c r="B8601" s="1" t="n">
        <v>45054</v>
      </c>
      <c r="C8601" s="1" t="n">
        <v>45657</v>
      </c>
      <c r="D8601" t="inlineStr">
        <is>
          <t>VÄSTERNORRLANDS LÄN</t>
        </is>
      </c>
      <c r="E8601" t="inlineStr">
        <is>
          <t>ÖRNSKÖLDSVIK</t>
        </is>
      </c>
      <c r="F8601" t="inlineStr">
        <is>
          <t>Holmen skog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19997-2023</t>
        </is>
      </c>
      <c r="B8602" s="1" t="n">
        <v>45054</v>
      </c>
      <c r="C8602" s="1" t="n">
        <v>45657</v>
      </c>
      <c r="D8602" t="inlineStr">
        <is>
          <t>VÄSTERNORRLANDS LÄN</t>
        </is>
      </c>
      <c r="E8602" t="inlineStr">
        <is>
          <t>ÅNGE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20089-2023</t>
        </is>
      </c>
      <c r="B8603" s="1" t="n">
        <v>45055</v>
      </c>
      <c r="C8603" s="1" t="n">
        <v>45657</v>
      </c>
      <c r="D8603" t="inlineStr">
        <is>
          <t>VÄSTERNORRLANDS LÄN</t>
        </is>
      </c>
      <c r="E8603" t="inlineStr">
        <is>
          <t>SOLLEFTEÅ</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20097-2023</t>
        </is>
      </c>
      <c r="B8604" s="1" t="n">
        <v>45055</v>
      </c>
      <c r="C8604" s="1" t="n">
        <v>45657</v>
      </c>
      <c r="D8604" t="inlineStr">
        <is>
          <t>VÄSTERNORRLANDS LÄN</t>
        </is>
      </c>
      <c r="E8604" t="inlineStr">
        <is>
          <t>TIMRÅ</t>
        </is>
      </c>
      <c r="F8604" t="inlineStr">
        <is>
          <t>SCA</t>
        </is>
      </c>
      <c r="G8604" t="n">
        <v>4.6</v>
      </c>
      <c r="H8604" t="n">
        <v>0</v>
      </c>
      <c r="I8604" t="n">
        <v>0</v>
      </c>
      <c r="J8604" t="n">
        <v>0</v>
      </c>
      <c r="K8604" t="n">
        <v>0</v>
      </c>
      <c r="L8604" t="n">
        <v>0</v>
      </c>
      <c r="M8604" t="n">
        <v>0</v>
      </c>
      <c r="N8604" t="n">
        <v>0</v>
      </c>
      <c r="O8604" t="n">
        <v>0</v>
      </c>
      <c r="P8604" t="n">
        <v>0</v>
      </c>
      <c r="Q8604" t="n">
        <v>0</v>
      </c>
      <c r="R8604" s="2" t="inlineStr"/>
    </row>
    <row r="8605" ht="15" customHeight="1">
      <c r="A8605" t="inlineStr">
        <is>
          <t>A 20217-2023</t>
        </is>
      </c>
      <c r="B8605" s="1" t="n">
        <v>45054</v>
      </c>
      <c r="C8605" s="1" t="n">
        <v>45657</v>
      </c>
      <c r="D8605" t="inlineStr">
        <is>
          <t>VÄSTERNORRLANDS LÄN</t>
        </is>
      </c>
      <c r="E8605" t="inlineStr">
        <is>
          <t>ÖRNSKÖLDSVIK</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20288-2023</t>
        </is>
      </c>
      <c r="B8606" s="1" t="n">
        <v>45054</v>
      </c>
      <c r="C8606" s="1" t="n">
        <v>45657</v>
      </c>
      <c r="D8606" t="inlineStr">
        <is>
          <t>VÄSTERNORRLANDS LÄN</t>
        </is>
      </c>
      <c r="E8606" t="inlineStr">
        <is>
          <t>SUNDSVALL</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20098-2023</t>
        </is>
      </c>
      <c r="B8607" s="1" t="n">
        <v>45054</v>
      </c>
      <c r="C8607" s="1" t="n">
        <v>45657</v>
      </c>
      <c r="D8607" t="inlineStr">
        <is>
          <t>VÄSTERNORRLANDS LÄN</t>
        </is>
      </c>
      <c r="E8607" t="inlineStr">
        <is>
          <t>SUNDSVALL</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19904-2023</t>
        </is>
      </c>
      <c r="B8608" s="1" t="n">
        <v>45054</v>
      </c>
      <c r="C8608" s="1" t="n">
        <v>45657</v>
      </c>
      <c r="D8608" t="inlineStr">
        <is>
          <t>VÄSTERNORRLANDS LÄN</t>
        </is>
      </c>
      <c r="E8608" t="inlineStr">
        <is>
          <t>SUNDSVALL</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19908-2023</t>
        </is>
      </c>
      <c r="B8609" s="1" t="n">
        <v>45054</v>
      </c>
      <c r="C8609" s="1" t="n">
        <v>45657</v>
      </c>
      <c r="D8609" t="inlineStr">
        <is>
          <t>VÄSTERNORRLANDS LÄN</t>
        </is>
      </c>
      <c r="E8609" t="inlineStr">
        <is>
          <t>ÖRNSKÖLDSVIK</t>
        </is>
      </c>
      <c r="F8609" t="inlineStr">
        <is>
          <t>Holmen skog AB</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20369-2023</t>
        </is>
      </c>
      <c r="B8610" s="1" t="n">
        <v>45054</v>
      </c>
      <c r="C8610" s="1" t="n">
        <v>45657</v>
      </c>
      <c r="D8610" t="inlineStr">
        <is>
          <t>VÄSTERNORRLANDS LÄN</t>
        </is>
      </c>
      <c r="E8610" t="inlineStr">
        <is>
          <t>SUNDSVALL</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20099-2023</t>
        </is>
      </c>
      <c r="B8611" s="1" t="n">
        <v>45055</v>
      </c>
      <c r="C8611" s="1" t="n">
        <v>45657</v>
      </c>
      <c r="D8611" t="inlineStr">
        <is>
          <t>VÄSTERNORRLANDS LÄN</t>
        </is>
      </c>
      <c r="E8611" t="inlineStr">
        <is>
          <t>ÅNGE</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20364-2023</t>
        </is>
      </c>
      <c r="B8612" s="1" t="n">
        <v>45054</v>
      </c>
      <c r="C8612" s="1" t="n">
        <v>45657</v>
      </c>
      <c r="D8612" t="inlineStr">
        <is>
          <t>VÄSTERNORRLANDS LÄN</t>
        </is>
      </c>
      <c r="E8612" t="inlineStr">
        <is>
          <t>SUNDSVALL</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20255-2023</t>
        </is>
      </c>
      <c r="B8613" s="1" t="n">
        <v>45055</v>
      </c>
      <c r="C8613" s="1" t="n">
        <v>45657</v>
      </c>
      <c r="D8613" t="inlineStr">
        <is>
          <t>VÄSTERNORRLANDS LÄN</t>
        </is>
      </c>
      <c r="E8613" t="inlineStr">
        <is>
          <t>ÅNGE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20264-2023</t>
        </is>
      </c>
      <c r="B8614" s="1" t="n">
        <v>45055</v>
      </c>
      <c r="C8614" s="1" t="n">
        <v>45657</v>
      </c>
      <c r="D8614" t="inlineStr">
        <is>
          <t>VÄSTERNORRLANDS LÄN</t>
        </is>
      </c>
      <c r="E8614" t="inlineStr">
        <is>
          <t>SUNDSVALL</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20269-2023</t>
        </is>
      </c>
      <c r="B8615" s="1" t="n">
        <v>45055</v>
      </c>
      <c r="C8615" s="1" t="n">
        <v>45657</v>
      </c>
      <c r="D8615" t="inlineStr">
        <is>
          <t>VÄSTERNORRLANDS LÄN</t>
        </is>
      </c>
      <c r="E8615" t="inlineStr">
        <is>
          <t>SOLLEFTEÅ</t>
        </is>
      </c>
      <c r="F8615" t="inlineStr">
        <is>
          <t>SCA</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20274-2023</t>
        </is>
      </c>
      <c r="B8616" s="1" t="n">
        <v>45056</v>
      </c>
      <c r="C8616" s="1" t="n">
        <v>45657</v>
      </c>
      <c r="D8616" t="inlineStr">
        <is>
          <t>VÄSTERNORRLANDS LÄN</t>
        </is>
      </c>
      <c r="E8616" t="inlineStr">
        <is>
          <t>SUNDSVALL</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20256-2023</t>
        </is>
      </c>
      <c r="B8617" s="1" t="n">
        <v>45055</v>
      </c>
      <c r="C8617" s="1" t="n">
        <v>45657</v>
      </c>
      <c r="D8617" t="inlineStr">
        <is>
          <t>VÄSTERNORRLANDS LÄN</t>
        </is>
      </c>
      <c r="E8617" t="inlineStr">
        <is>
          <t>ÅNGE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20268-2023</t>
        </is>
      </c>
      <c r="B8618" s="1" t="n">
        <v>45055</v>
      </c>
      <c r="C8618" s="1" t="n">
        <v>45657</v>
      </c>
      <c r="D8618" t="inlineStr">
        <is>
          <t>VÄSTERNORRLANDS LÄN</t>
        </is>
      </c>
      <c r="E8618" t="inlineStr">
        <is>
          <t>SOLLEFTEÅ</t>
        </is>
      </c>
      <c r="F8618" t="inlineStr">
        <is>
          <t>SCA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20266-2023</t>
        </is>
      </c>
      <c r="B8619" s="1" t="n">
        <v>45055</v>
      </c>
      <c r="C8619" s="1" t="n">
        <v>45657</v>
      </c>
      <c r="D8619" t="inlineStr">
        <is>
          <t>VÄSTERNORRLANDS LÄN</t>
        </is>
      </c>
      <c r="E8619" t="inlineStr">
        <is>
          <t>SOLLEFTEÅ</t>
        </is>
      </c>
      <c r="F8619" t="inlineStr">
        <is>
          <t>SCA</t>
        </is>
      </c>
      <c r="G8619" t="n">
        <v>21.3</v>
      </c>
      <c r="H8619" t="n">
        <v>0</v>
      </c>
      <c r="I8619" t="n">
        <v>0</v>
      </c>
      <c r="J8619" t="n">
        <v>0</v>
      </c>
      <c r="K8619" t="n">
        <v>0</v>
      </c>
      <c r="L8619" t="n">
        <v>0</v>
      </c>
      <c r="M8619" t="n">
        <v>0</v>
      </c>
      <c r="N8619" t="n">
        <v>0</v>
      </c>
      <c r="O8619" t="n">
        <v>0</v>
      </c>
      <c r="P8619" t="n">
        <v>0</v>
      </c>
      <c r="Q8619" t="n">
        <v>0</v>
      </c>
      <c r="R8619" s="2" t="inlineStr"/>
    </row>
    <row r="8620" ht="15" customHeight="1">
      <c r="A8620" t="inlineStr">
        <is>
          <t>A 20782-2023</t>
        </is>
      </c>
      <c r="B8620" s="1" t="n">
        <v>45055</v>
      </c>
      <c r="C8620" s="1" t="n">
        <v>45657</v>
      </c>
      <c r="D8620" t="inlineStr">
        <is>
          <t>VÄSTERNORRLANDS LÄN</t>
        </is>
      </c>
      <c r="E8620" t="inlineStr">
        <is>
          <t>KRAMFORS</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20275-2023</t>
        </is>
      </c>
      <c r="B8621" s="1" t="n">
        <v>45056</v>
      </c>
      <c r="C8621" s="1" t="n">
        <v>45657</v>
      </c>
      <c r="D8621" t="inlineStr">
        <is>
          <t>VÄSTERNORRLANDS LÄN</t>
        </is>
      </c>
      <c r="E8621" t="inlineStr">
        <is>
          <t>SUNDSVALL</t>
        </is>
      </c>
      <c r="F8621" t="inlineStr">
        <is>
          <t>SCA</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20271-2023</t>
        </is>
      </c>
      <c r="B8622" s="1" t="n">
        <v>45056</v>
      </c>
      <c r="C8622" s="1" t="n">
        <v>45657</v>
      </c>
      <c r="D8622" t="inlineStr">
        <is>
          <t>VÄSTERNORRLANDS LÄN</t>
        </is>
      </c>
      <c r="E8622" t="inlineStr">
        <is>
          <t>SOLLEFTEÅ</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20452-2023</t>
        </is>
      </c>
      <c r="B8623" s="1" t="n">
        <v>45056</v>
      </c>
      <c r="C8623" s="1" t="n">
        <v>45657</v>
      </c>
      <c r="D8623" t="inlineStr">
        <is>
          <t>VÄSTERNORRLANDS LÄN</t>
        </is>
      </c>
      <c r="E8623" t="inlineStr">
        <is>
          <t>SUNDSVALL</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20453-2023</t>
        </is>
      </c>
      <c r="B8624" s="1" t="n">
        <v>45057</v>
      </c>
      <c r="C8624" s="1" t="n">
        <v>45657</v>
      </c>
      <c r="D8624" t="inlineStr">
        <is>
          <t>VÄSTERNORRLANDS LÄN</t>
        </is>
      </c>
      <c r="E8624" t="inlineStr">
        <is>
          <t>ÅNGE</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20458-2023</t>
        </is>
      </c>
      <c r="B8625" s="1" t="n">
        <v>45056</v>
      </c>
      <c r="C8625" s="1" t="n">
        <v>45657</v>
      </c>
      <c r="D8625" t="inlineStr">
        <is>
          <t>VÄSTERNORRLANDS LÄN</t>
        </is>
      </c>
      <c r="E8625" t="inlineStr">
        <is>
          <t>HÄRNÖSAND</t>
        </is>
      </c>
      <c r="F8625" t="inlineStr">
        <is>
          <t>SCA</t>
        </is>
      </c>
      <c r="G8625" t="n">
        <v>8.5</v>
      </c>
      <c r="H8625" t="n">
        <v>0</v>
      </c>
      <c r="I8625" t="n">
        <v>0</v>
      </c>
      <c r="J8625" t="n">
        <v>0</v>
      </c>
      <c r="K8625" t="n">
        <v>0</v>
      </c>
      <c r="L8625" t="n">
        <v>0</v>
      </c>
      <c r="M8625" t="n">
        <v>0</v>
      </c>
      <c r="N8625" t="n">
        <v>0</v>
      </c>
      <c r="O8625" t="n">
        <v>0</v>
      </c>
      <c r="P8625" t="n">
        <v>0</v>
      </c>
      <c r="Q8625" t="n">
        <v>0</v>
      </c>
      <c r="R8625" s="2" t="inlineStr"/>
    </row>
    <row r="8626" ht="15" customHeight="1">
      <c r="A8626" t="inlineStr">
        <is>
          <t>A 20319-2023</t>
        </is>
      </c>
      <c r="B8626" s="1" t="n">
        <v>45056</v>
      </c>
      <c r="C8626" s="1" t="n">
        <v>45657</v>
      </c>
      <c r="D8626" t="inlineStr">
        <is>
          <t>VÄSTERNORRLANDS LÄN</t>
        </is>
      </c>
      <c r="E8626" t="inlineStr">
        <is>
          <t>ÖRNSKÖLDSVIK</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20450-2023</t>
        </is>
      </c>
      <c r="B8627" s="1" t="n">
        <v>45056</v>
      </c>
      <c r="C8627" s="1" t="n">
        <v>45657</v>
      </c>
      <c r="D8627" t="inlineStr">
        <is>
          <t>VÄSTERNORRLANDS LÄN</t>
        </is>
      </c>
      <c r="E8627" t="inlineStr">
        <is>
          <t>KRAMFORS</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20459-2023</t>
        </is>
      </c>
      <c r="B8628" s="1" t="n">
        <v>45057</v>
      </c>
      <c r="C8628" s="1" t="n">
        <v>45657</v>
      </c>
      <c r="D8628" t="inlineStr">
        <is>
          <t>VÄSTERNORRLANDS LÄN</t>
        </is>
      </c>
      <c r="E8628" t="inlineStr">
        <is>
          <t>HÄRNÖSAND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20461-2023</t>
        </is>
      </c>
      <c r="B8629" s="1" t="n">
        <v>45057</v>
      </c>
      <c r="C8629" s="1" t="n">
        <v>45657</v>
      </c>
      <c r="D8629" t="inlineStr">
        <is>
          <t>VÄSTERNORRLANDS LÄN</t>
        </is>
      </c>
      <c r="E8629" t="inlineStr">
        <is>
          <t>SOLLEFTEÅ</t>
        </is>
      </c>
      <c r="F8629" t="inlineStr">
        <is>
          <t>SCA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20460-2023</t>
        </is>
      </c>
      <c r="B8630" s="1" t="n">
        <v>45057</v>
      </c>
      <c r="C8630" s="1" t="n">
        <v>45657</v>
      </c>
      <c r="D8630" t="inlineStr">
        <is>
          <t>VÄSTERNORRLANDS LÄN</t>
        </is>
      </c>
      <c r="E8630" t="inlineStr">
        <is>
          <t>SOLLEFTEÅ</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21002-2023</t>
        </is>
      </c>
      <c r="B8631" s="1" t="n">
        <v>45056</v>
      </c>
      <c r="C8631" s="1" t="n">
        <v>45657</v>
      </c>
      <c r="D8631" t="inlineStr">
        <is>
          <t>VÄSTERNORRLANDS LÄN</t>
        </is>
      </c>
      <c r="E8631" t="inlineStr">
        <is>
          <t>ÖRNSKÖLDSVIK</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20483-2023</t>
        </is>
      </c>
      <c r="B8632" s="1" t="n">
        <v>45057</v>
      </c>
      <c r="C8632" s="1" t="n">
        <v>45657</v>
      </c>
      <c r="D8632" t="inlineStr">
        <is>
          <t>VÄSTERNORRLANDS LÄN</t>
        </is>
      </c>
      <c r="E8632" t="inlineStr">
        <is>
          <t>ÖRNSKÖLDSVIK</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20488-2023</t>
        </is>
      </c>
      <c r="B8633" s="1" t="n">
        <v>45057</v>
      </c>
      <c r="C8633" s="1" t="n">
        <v>45657</v>
      </c>
      <c r="D8633" t="inlineStr">
        <is>
          <t>VÄSTERNORRLANDS LÄN</t>
        </is>
      </c>
      <c r="E8633" t="inlineStr">
        <is>
          <t>ÖRNSKÖLDSVIK</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20497-2023</t>
        </is>
      </c>
      <c r="B8634" s="1" t="n">
        <v>45057</v>
      </c>
      <c r="C8634" s="1" t="n">
        <v>45657</v>
      </c>
      <c r="D8634" t="inlineStr">
        <is>
          <t>VÄSTERNORRLANDS LÄN</t>
        </is>
      </c>
      <c r="E8634" t="inlineStr">
        <is>
          <t>ÖRNSKÖLDSVIK</t>
        </is>
      </c>
      <c r="F8634" t="inlineStr">
        <is>
          <t>Holmen skog AB</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20544-2023</t>
        </is>
      </c>
      <c r="B8635" s="1" t="n">
        <v>45057</v>
      </c>
      <c r="C8635" s="1" t="n">
        <v>45657</v>
      </c>
      <c r="D8635" t="inlineStr">
        <is>
          <t>VÄSTERNORRLANDS LÄN</t>
        </is>
      </c>
      <c r="E8635" t="inlineStr">
        <is>
          <t>ÖRNSKÖLDSVIK</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20523-2023</t>
        </is>
      </c>
      <c r="B8636" s="1" t="n">
        <v>45057</v>
      </c>
      <c r="C8636" s="1" t="n">
        <v>45657</v>
      </c>
      <c r="D8636" t="inlineStr">
        <is>
          <t>VÄSTERNORRLANDS LÄN</t>
        </is>
      </c>
      <c r="E8636" t="inlineStr">
        <is>
          <t>ÖRNSKÖLDSVIK</t>
        </is>
      </c>
      <c r="F8636" t="inlineStr">
        <is>
          <t>Holmen skog AB</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20547-2023</t>
        </is>
      </c>
      <c r="B8637" s="1" t="n">
        <v>45057</v>
      </c>
      <c r="C8637" s="1" t="n">
        <v>45657</v>
      </c>
      <c r="D8637" t="inlineStr">
        <is>
          <t>VÄSTERNORRLANDS LÄN</t>
        </is>
      </c>
      <c r="E8637" t="inlineStr">
        <is>
          <t>ÖRNSKÖLDSVIK</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20599-2023</t>
        </is>
      </c>
      <c r="B8638" s="1" t="n">
        <v>45058</v>
      </c>
      <c r="C8638" s="1" t="n">
        <v>45657</v>
      </c>
      <c r="D8638" t="inlineStr">
        <is>
          <t>VÄSTERNORRLANDS LÄN</t>
        </is>
      </c>
      <c r="E8638" t="inlineStr">
        <is>
          <t>SOLLEFTEÅ</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20627-2023</t>
        </is>
      </c>
      <c r="B8639" s="1" t="n">
        <v>45057</v>
      </c>
      <c r="C8639" s="1" t="n">
        <v>45657</v>
      </c>
      <c r="D8639" t="inlineStr">
        <is>
          <t>VÄSTERNORRLANDS LÄN</t>
        </is>
      </c>
      <c r="E8639" t="inlineStr">
        <is>
          <t>ÅNGE</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20598-2023</t>
        </is>
      </c>
      <c r="B8640" s="1" t="n">
        <v>45058</v>
      </c>
      <c r="C8640" s="1" t="n">
        <v>45657</v>
      </c>
      <c r="D8640" t="inlineStr">
        <is>
          <t>VÄSTERNORRLANDS LÄN</t>
        </is>
      </c>
      <c r="E8640" t="inlineStr">
        <is>
          <t>SOLLEFTEÅ</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20611-2023</t>
        </is>
      </c>
      <c r="B8641" s="1" t="n">
        <v>45058</v>
      </c>
      <c r="C8641" s="1" t="n">
        <v>45657</v>
      </c>
      <c r="D8641" t="inlineStr">
        <is>
          <t>VÄSTERNORRLANDS LÄN</t>
        </is>
      </c>
      <c r="E8641" t="inlineStr">
        <is>
          <t>SUNDSVALL</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20610-2023</t>
        </is>
      </c>
      <c r="B8642" s="1" t="n">
        <v>45058</v>
      </c>
      <c r="C8642" s="1" t="n">
        <v>45657</v>
      </c>
      <c r="D8642" t="inlineStr">
        <is>
          <t>VÄSTERNORRLANDS LÄN</t>
        </is>
      </c>
      <c r="E8642" t="inlineStr">
        <is>
          <t>SUNDSVALL</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21082-2023</t>
        </is>
      </c>
      <c r="B8643" s="1" t="n">
        <v>45057</v>
      </c>
      <c r="C8643" s="1" t="n">
        <v>45657</v>
      </c>
      <c r="D8643" t="inlineStr">
        <is>
          <t>VÄSTERNORRLANDS LÄN</t>
        </is>
      </c>
      <c r="E8643" t="inlineStr">
        <is>
          <t>KRAMFORS</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21195-2023</t>
        </is>
      </c>
      <c r="B8644" s="1" t="n">
        <v>45057</v>
      </c>
      <c r="C8644" s="1" t="n">
        <v>45657</v>
      </c>
      <c r="D8644" t="inlineStr">
        <is>
          <t>VÄSTERNORRLANDS LÄN</t>
        </is>
      </c>
      <c r="E8644" t="inlineStr">
        <is>
          <t>SOLLEFTEÅ</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20629-2023</t>
        </is>
      </c>
      <c r="B8645" s="1" t="n">
        <v>45058</v>
      </c>
      <c r="C8645" s="1" t="n">
        <v>45657</v>
      </c>
      <c r="D8645" t="inlineStr">
        <is>
          <t>VÄSTERNORRLANDS LÄN</t>
        </is>
      </c>
      <c r="E8645" t="inlineStr">
        <is>
          <t>SOLLEFTEÅ</t>
        </is>
      </c>
      <c r="F8645" t="inlineStr">
        <is>
          <t>SCA</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21144-2023</t>
        </is>
      </c>
      <c r="B8646" s="1" t="n">
        <v>45057</v>
      </c>
      <c r="C8646" s="1" t="n">
        <v>45657</v>
      </c>
      <c r="D8646" t="inlineStr">
        <is>
          <t>VÄSTERNORRLANDS LÄN</t>
        </is>
      </c>
      <c r="E8646" t="inlineStr">
        <is>
          <t>SUNDSVALL</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20548-2023</t>
        </is>
      </c>
      <c r="B8647" s="1" t="n">
        <v>45057</v>
      </c>
      <c r="C8647" s="1" t="n">
        <v>45657</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20552-2023</t>
        </is>
      </c>
      <c r="B8648" s="1" t="n">
        <v>45057</v>
      </c>
      <c r="C8648" s="1" t="n">
        <v>45657</v>
      </c>
      <c r="D8648" t="inlineStr">
        <is>
          <t>VÄSTERNORRLANDS LÄN</t>
        </is>
      </c>
      <c r="E8648" t="inlineStr">
        <is>
          <t>ÖRNSKÖLDSVIK</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20596-2023</t>
        </is>
      </c>
      <c r="B8649" s="1" t="n">
        <v>45058</v>
      </c>
      <c r="C8649" s="1" t="n">
        <v>45657</v>
      </c>
      <c r="D8649" t="inlineStr">
        <is>
          <t>VÄSTERNORRLANDS LÄN</t>
        </is>
      </c>
      <c r="E8649" t="inlineStr">
        <is>
          <t>SUNDSVALL</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20628-2023</t>
        </is>
      </c>
      <c r="B8650" s="1" t="n">
        <v>45058</v>
      </c>
      <c r="C8650" s="1" t="n">
        <v>45657</v>
      </c>
      <c r="D8650" t="inlineStr">
        <is>
          <t>VÄSTERNORRLANDS LÄN</t>
        </is>
      </c>
      <c r="E8650" t="inlineStr">
        <is>
          <t>SOLLEFTEÅ</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21230-2023</t>
        </is>
      </c>
      <c r="B8651" s="1" t="n">
        <v>45057</v>
      </c>
      <c r="C8651" s="1" t="n">
        <v>45657</v>
      </c>
      <c r="D8651" t="inlineStr">
        <is>
          <t>VÄSTERNORRLANDS LÄN</t>
        </is>
      </c>
      <c r="E8651" t="inlineStr">
        <is>
          <t>SOLLEFTEÅ</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20642-2023</t>
        </is>
      </c>
      <c r="B8652" s="1" t="n">
        <v>45058</v>
      </c>
      <c r="C8652" s="1" t="n">
        <v>45657</v>
      </c>
      <c r="D8652" t="inlineStr">
        <is>
          <t>VÄSTERNORRLANDS LÄN</t>
        </is>
      </c>
      <c r="E8652" t="inlineStr">
        <is>
          <t>KRAMFORS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20678-2023</t>
        </is>
      </c>
      <c r="B8653" s="1" t="n">
        <v>45058</v>
      </c>
      <c r="C8653" s="1" t="n">
        <v>45657</v>
      </c>
      <c r="D8653" t="inlineStr">
        <is>
          <t>VÄSTERNORRLANDS LÄN</t>
        </is>
      </c>
      <c r="E8653" t="inlineStr">
        <is>
          <t>ÖRNSKÖLDSVIK</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20835-2023</t>
        </is>
      </c>
      <c r="B8654" s="1" t="n">
        <v>45058</v>
      </c>
      <c r="C8654" s="1" t="n">
        <v>45657</v>
      </c>
      <c r="D8654" t="inlineStr">
        <is>
          <t>VÄSTERNORRLANDS LÄN</t>
        </is>
      </c>
      <c r="E8654" t="inlineStr">
        <is>
          <t>TIMRÅ</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20839-2023</t>
        </is>
      </c>
      <c r="B8655" s="1" t="n">
        <v>45058</v>
      </c>
      <c r="C8655" s="1" t="n">
        <v>45657</v>
      </c>
      <c r="D8655" t="inlineStr">
        <is>
          <t>VÄSTERNORRLANDS LÄN</t>
        </is>
      </c>
      <c r="E8655" t="inlineStr">
        <is>
          <t>TIMRÅ</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20649-2023</t>
        </is>
      </c>
      <c r="B8656" s="1" t="n">
        <v>45058</v>
      </c>
      <c r="C8656" s="1" t="n">
        <v>45657</v>
      </c>
      <c r="D8656" t="inlineStr">
        <is>
          <t>VÄSTERNORRLANDS LÄN</t>
        </is>
      </c>
      <c r="E8656" t="inlineStr">
        <is>
          <t>ÖRNSKÖLDSVIK</t>
        </is>
      </c>
      <c r="F8656" t="inlineStr">
        <is>
          <t>Holmen skog AB</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20754-2023</t>
        </is>
      </c>
      <c r="B8657" s="1" t="n">
        <v>45058</v>
      </c>
      <c r="C8657" s="1" t="n">
        <v>45657</v>
      </c>
      <c r="D8657" t="inlineStr">
        <is>
          <t>VÄSTERNORRLANDS LÄN</t>
        </is>
      </c>
      <c r="E8657" t="inlineStr">
        <is>
          <t>SOLLEFTEÅ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20712-2023</t>
        </is>
      </c>
      <c r="B8658" s="1" t="n">
        <v>45058</v>
      </c>
      <c r="C8658" s="1" t="n">
        <v>45657</v>
      </c>
      <c r="D8658" t="inlineStr">
        <is>
          <t>VÄSTERNORRLANDS LÄN</t>
        </is>
      </c>
      <c r="E8658" t="inlineStr">
        <is>
          <t>ÖRNSKÖLDSVIK</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20837-2023</t>
        </is>
      </c>
      <c r="B8659" s="1" t="n">
        <v>45058</v>
      </c>
      <c r="C8659" s="1" t="n">
        <v>45657</v>
      </c>
      <c r="D8659" t="inlineStr">
        <is>
          <t>VÄSTERNORRLANDS LÄN</t>
        </is>
      </c>
      <c r="E8659" t="inlineStr">
        <is>
          <t>TIMRÅ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20841-2023</t>
        </is>
      </c>
      <c r="B8660" s="1" t="n">
        <v>45058</v>
      </c>
      <c r="C8660" s="1" t="n">
        <v>45657</v>
      </c>
      <c r="D8660" t="inlineStr">
        <is>
          <t>VÄSTERNORRLANDS LÄN</t>
        </is>
      </c>
      <c r="E8660" t="inlineStr">
        <is>
          <t>TIMRÅ</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20859-2023</t>
        </is>
      </c>
      <c r="B8661" s="1" t="n">
        <v>45059</v>
      </c>
      <c r="C8661" s="1" t="n">
        <v>45657</v>
      </c>
      <c r="D8661" t="inlineStr">
        <is>
          <t>VÄSTERNORRLANDS LÄN</t>
        </is>
      </c>
      <c r="E8661" t="inlineStr">
        <is>
          <t>SOLLEFTEÅ</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20834-2023</t>
        </is>
      </c>
      <c r="B8662" s="1" t="n">
        <v>45058</v>
      </c>
      <c r="C8662" s="1" t="n">
        <v>45657</v>
      </c>
      <c r="D8662" t="inlineStr">
        <is>
          <t>VÄSTERNORRLANDS LÄN</t>
        </is>
      </c>
      <c r="E8662" t="inlineStr">
        <is>
          <t>TIMRÅ</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20843-2023</t>
        </is>
      </c>
      <c r="B8663" s="1" t="n">
        <v>45058</v>
      </c>
      <c r="C8663" s="1" t="n">
        <v>45657</v>
      </c>
      <c r="D8663" t="inlineStr">
        <is>
          <t>VÄSTERNORRLANDS LÄN</t>
        </is>
      </c>
      <c r="E8663" t="inlineStr">
        <is>
          <t>TIMRÅ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20853-2023</t>
        </is>
      </c>
      <c r="B8664" s="1" t="n">
        <v>45058</v>
      </c>
      <c r="C8664" s="1" t="n">
        <v>45657</v>
      </c>
      <c r="D8664" t="inlineStr">
        <is>
          <t>VÄSTERNORRLANDS LÄN</t>
        </is>
      </c>
      <c r="E8664" t="inlineStr">
        <is>
          <t>ÅNGE</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20862-2023</t>
        </is>
      </c>
      <c r="B8665" s="1" t="n">
        <v>45059</v>
      </c>
      <c r="C8665" s="1" t="n">
        <v>45657</v>
      </c>
      <c r="D8665" t="inlineStr">
        <is>
          <t>VÄSTERNORRLANDS LÄN</t>
        </is>
      </c>
      <c r="E8665" t="inlineStr">
        <is>
          <t>SOLLEFTEÅ</t>
        </is>
      </c>
      <c r="F8665" t="inlineStr">
        <is>
          <t>SCA</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20807-2023</t>
        </is>
      </c>
      <c r="B8666" s="1" t="n">
        <v>45058</v>
      </c>
      <c r="C8666" s="1" t="n">
        <v>45657</v>
      </c>
      <c r="D8666" t="inlineStr">
        <is>
          <t>VÄSTERNORRLANDS LÄN</t>
        </is>
      </c>
      <c r="E8666" t="inlineStr">
        <is>
          <t>ÖRNSKÖLDSVIK</t>
        </is>
      </c>
      <c r="F8666" t="inlineStr">
        <is>
          <t>Holmen skog AB</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20817-2023</t>
        </is>
      </c>
      <c r="B8667" s="1" t="n">
        <v>45058</v>
      </c>
      <c r="C8667" s="1" t="n">
        <v>45657</v>
      </c>
      <c r="D8667" t="inlineStr">
        <is>
          <t>VÄSTERNORRLANDS LÄN</t>
        </is>
      </c>
      <c r="E8667" t="inlineStr">
        <is>
          <t>SOLLEFTEÅ</t>
        </is>
      </c>
      <c r="G8667" t="n">
        <v>12.5</v>
      </c>
      <c r="H8667" t="n">
        <v>0</v>
      </c>
      <c r="I8667" t="n">
        <v>0</v>
      </c>
      <c r="J8667" t="n">
        <v>0</v>
      </c>
      <c r="K8667" t="n">
        <v>0</v>
      </c>
      <c r="L8667" t="n">
        <v>0</v>
      </c>
      <c r="M8667" t="n">
        <v>0</v>
      </c>
      <c r="N8667" t="n">
        <v>0</v>
      </c>
      <c r="O8667" t="n">
        <v>0</v>
      </c>
      <c r="P8667" t="n">
        <v>0</v>
      </c>
      <c r="Q8667" t="n">
        <v>0</v>
      </c>
      <c r="R8667" s="2" t="inlineStr"/>
    </row>
    <row r="8668" ht="15" customHeight="1">
      <c r="A8668" t="inlineStr">
        <is>
          <t>A 20840-2023</t>
        </is>
      </c>
      <c r="B8668" s="1" t="n">
        <v>45058</v>
      </c>
      <c r="C8668" s="1" t="n">
        <v>45657</v>
      </c>
      <c r="D8668" t="inlineStr">
        <is>
          <t>VÄSTERNORRLANDS LÄN</t>
        </is>
      </c>
      <c r="E8668" t="inlineStr">
        <is>
          <t>TIMRÅ</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20844-2023</t>
        </is>
      </c>
      <c r="B8669" s="1" t="n">
        <v>45058</v>
      </c>
      <c r="C8669" s="1" t="n">
        <v>45657</v>
      </c>
      <c r="D8669" t="inlineStr">
        <is>
          <t>VÄSTERNORRLANDS LÄN</t>
        </is>
      </c>
      <c r="E8669" t="inlineStr">
        <is>
          <t>TIMRÅ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20873-2023</t>
        </is>
      </c>
      <c r="B8670" s="1" t="n">
        <v>45059</v>
      </c>
      <c r="C8670" s="1" t="n">
        <v>45657</v>
      </c>
      <c r="D8670" t="inlineStr">
        <is>
          <t>VÄSTERNORRLANDS LÄN</t>
        </is>
      </c>
      <c r="E8670" t="inlineStr">
        <is>
          <t>SOLLEFTEÅ</t>
        </is>
      </c>
      <c r="F8670" t="inlineStr">
        <is>
          <t>SCA</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20878-2023</t>
        </is>
      </c>
      <c r="B8671" s="1" t="n">
        <v>45059</v>
      </c>
      <c r="C8671" s="1" t="n">
        <v>45657</v>
      </c>
      <c r="D8671" t="inlineStr">
        <is>
          <t>VÄSTERNORRLANDS LÄN</t>
        </is>
      </c>
      <c r="E8671" t="inlineStr">
        <is>
          <t>SOLLEFTEÅ</t>
        </is>
      </c>
      <c r="F8671" t="inlineStr">
        <is>
          <t>SCA</t>
        </is>
      </c>
      <c r="G8671" t="n">
        <v>6.6</v>
      </c>
      <c r="H8671" t="n">
        <v>0</v>
      </c>
      <c r="I8671" t="n">
        <v>0</v>
      </c>
      <c r="J8671" t="n">
        <v>0</v>
      </c>
      <c r="K8671" t="n">
        <v>0</v>
      </c>
      <c r="L8671" t="n">
        <v>0</v>
      </c>
      <c r="M8671" t="n">
        <v>0</v>
      </c>
      <c r="N8671" t="n">
        <v>0</v>
      </c>
      <c r="O8671" t="n">
        <v>0</v>
      </c>
      <c r="P8671" t="n">
        <v>0</v>
      </c>
      <c r="Q8671" t="n">
        <v>0</v>
      </c>
      <c r="R8671" s="2" t="inlineStr"/>
    </row>
    <row r="8672" ht="15" customHeight="1">
      <c r="A8672" t="inlineStr">
        <is>
          <t>A 20872-2023</t>
        </is>
      </c>
      <c r="B8672" s="1" t="n">
        <v>45058</v>
      </c>
      <c r="C8672" s="1" t="n">
        <v>45657</v>
      </c>
      <c r="D8672" t="inlineStr">
        <is>
          <t>VÄSTERNORRLANDS LÄN</t>
        </is>
      </c>
      <c r="E8672" t="inlineStr">
        <is>
          <t>SOLLEFTEÅ</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20876-2023</t>
        </is>
      </c>
      <c r="B8673" s="1" t="n">
        <v>45059</v>
      </c>
      <c r="C8673" s="1" t="n">
        <v>45657</v>
      </c>
      <c r="D8673" t="inlineStr">
        <is>
          <t>VÄSTERNORRLANDS LÄN</t>
        </is>
      </c>
      <c r="E8673" t="inlineStr">
        <is>
          <t>SUNDSVALL</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20881-2023</t>
        </is>
      </c>
      <c r="B8674" s="1" t="n">
        <v>45059</v>
      </c>
      <c r="C8674" s="1" t="n">
        <v>45657</v>
      </c>
      <c r="D8674" t="inlineStr">
        <is>
          <t>VÄSTERNORRLANDS LÄN</t>
        </is>
      </c>
      <c r="E8674" t="inlineStr">
        <is>
          <t>ÅNGE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20885-2023</t>
        </is>
      </c>
      <c r="B8675" s="1" t="n">
        <v>45058</v>
      </c>
      <c r="C8675" s="1" t="n">
        <v>45657</v>
      </c>
      <c r="D8675" t="inlineStr">
        <is>
          <t>VÄSTERNORRLANDS LÄN</t>
        </is>
      </c>
      <c r="E8675" t="inlineStr">
        <is>
          <t>ÅNGE</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20889-2023</t>
        </is>
      </c>
      <c r="B8676" s="1" t="n">
        <v>45058</v>
      </c>
      <c r="C8676" s="1" t="n">
        <v>45657</v>
      </c>
      <c r="D8676" t="inlineStr">
        <is>
          <t>VÄSTERNORRLANDS LÄN</t>
        </is>
      </c>
      <c r="E8676" t="inlineStr">
        <is>
          <t>SUNDSVALL</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20875-2023</t>
        </is>
      </c>
      <c r="B8677" s="1" t="n">
        <v>45059</v>
      </c>
      <c r="C8677" s="1" t="n">
        <v>45657</v>
      </c>
      <c r="D8677" t="inlineStr">
        <is>
          <t>VÄSTERNORRLANDS LÄN</t>
        </is>
      </c>
      <c r="E8677" t="inlineStr">
        <is>
          <t>SUNDSVALL</t>
        </is>
      </c>
      <c r="F8677" t="inlineStr">
        <is>
          <t>SCA</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20883-2023</t>
        </is>
      </c>
      <c r="B8678" s="1" t="n">
        <v>45059</v>
      </c>
      <c r="C8678" s="1" t="n">
        <v>45657</v>
      </c>
      <c r="D8678" t="inlineStr">
        <is>
          <t>VÄSTERNORRLANDS LÄN</t>
        </is>
      </c>
      <c r="E8678" t="inlineStr">
        <is>
          <t>ÅNGE</t>
        </is>
      </c>
      <c r="G8678" t="n">
        <v>7.4</v>
      </c>
      <c r="H8678" t="n">
        <v>0</v>
      </c>
      <c r="I8678" t="n">
        <v>0</v>
      </c>
      <c r="J8678" t="n">
        <v>0</v>
      </c>
      <c r="K8678" t="n">
        <v>0</v>
      </c>
      <c r="L8678" t="n">
        <v>0</v>
      </c>
      <c r="M8678" t="n">
        <v>0</v>
      </c>
      <c r="N8678" t="n">
        <v>0</v>
      </c>
      <c r="O8678" t="n">
        <v>0</v>
      </c>
      <c r="P8678" t="n">
        <v>0</v>
      </c>
      <c r="Q8678" t="n">
        <v>0</v>
      </c>
      <c r="R8678" s="2" t="inlineStr"/>
    </row>
    <row r="8679" ht="15" customHeight="1">
      <c r="A8679" t="inlineStr">
        <is>
          <t>A 20890-2023</t>
        </is>
      </c>
      <c r="B8679" s="1" t="n">
        <v>45058</v>
      </c>
      <c r="C8679" s="1" t="n">
        <v>45657</v>
      </c>
      <c r="D8679" t="inlineStr">
        <is>
          <t>VÄSTERNORRLANDS LÄN</t>
        </is>
      </c>
      <c r="E8679" t="inlineStr">
        <is>
          <t>ÅNGE</t>
        </is>
      </c>
      <c r="F8679" t="inlineStr">
        <is>
          <t>SCA</t>
        </is>
      </c>
      <c r="G8679" t="n">
        <v>17.3</v>
      </c>
      <c r="H8679" t="n">
        <v>0</v>
      </c>
      <c r="I8679" t="n">
        <v>0</v>
      </c>
      <c r="J8679" t="n">
        <v>0</v>
      </c>
      <c r="K8679" t="n">
        <v>0</v>
      </c>
      <c r="L8679" t="n">
        <v>0</v>
      </c>
      <c r="M8679" t="n">
        <v>0</v>
      </c>
      <c r="N8679" t="n">
        <v>0</v>
      </c>
      <c r="O8679" t="n">
        <v>0</v>
      </c>
      <c r="P8679" t="n">
        <v>0</v>
      </c>
      <c r="Q8679" t="n">
        <v>0</v>
      </c>
      <c r="R8679" s="2" t="inlineStr"/>
    </row>
    <row r="8680" ht="15" customHeight="1">
      <c r="A8680" t="inlineStr">
        <is>
          <t>A 20884-2023</t>
        </is>
      </c>
      <c r="B8680" s="1" t="n">
        <v>45059</v>
      </c>
      <c r="C8680" s="1" t="n">
        <v>45657</v>
      </c>
      <c r="D8680" t="inlineStr">
        <is>
          <t>VÄSTERNORRLANDS LÄN</t>
        </is>
      </c>
      <c r="E8680" t="inlineStr">
        <is>
          <t>ÅNGE</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21234-2023</t>
        </is>
      </c>
      <c r="B8681" s="1" t="n">
        <v>45058</v>
      </c>
      <c r="C8681" s="1" t="n">
        <v>45657</v>
      </c>
      <c r="D8681" t="inlineStr">
        <is>
          <t>VÄSTERNORRLANDS LÄN</t>
        </is>
      </c>
      <c r="E8681" t="inlineStr">
        <is>
          <t>ÖRNSKÖLDSVIK</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21264-2023</t>
        </is>
      </c>
      <c r="B8682" s="1" t="n">
        <v>45058</v>
      </c>
      <c r="C8682" s="1" t="n">
        <v>45657</v>
      </c>
      <c r="D8682" t="inlineStr">
        <is>
          <t>VÄSTERNORRLANDS LÄN</t>
        </is>
      </c>
      <c r="E8682" t="inlineStr">
        <is>
          <t>ÖRNSKÖLDSVIK</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21269-2023</t>
        </is>
      </c>
      <c r="B8683" s="1" t="n">
        <v>45058</v>
      </c>
      <c r="C8683" s="1" t="n">
        <v>45657</v>
      </c>
      <c r="D8683" t="inlineStr">
        <is>
          <t>VÄSTERNORRLANDS LÄN</t>
        </is>
      </c>
      <c r="E8683" t="inlineStr">
        <is>
          <t>HÄRNÖSAND</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20943-2023</t>
        </is>
      </c>
      <c r="B8684" s="1" t="n">
        <v>45061</v>
      </c>
      <c r="C8684" s="1" t="n">
        <v>45657</v>
      </c>
      <c r="D8684" t="inlineStr">
        <is>
          <t>VÄSTERNORRLANDS LÄN</t>
        </is>
      </c>
      <c r="E8684" t="inlineStr">
        <is>
          <t>ÖRNSKÖLDSVIK</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20959-2023</t>
        </is>
      </c>
      <c r="B8685" s="1" t="n">
        <v>45061</v>
      </c>
      <c r="C8685" s="1" t="n">
        <v>45657</v>
      </c>
      <c r="D8685" t="inlineStr">
        <is>
          <t>VÄSTERNORRLANDS LÄN</t>
        </is>
      </c>
      <c r="E8685" t="inlineStr">
        <is>
          <t>SUNDSVALL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21022-2023</t>
        </is>
      </c>
      <c r="B8686" s="1" t="n">
        <v>45061</v>
      </c>
      <c r="C8686" s="1" t="n">
        <v>45657</v>
      </c>
      <c r="D8686" t="inlineStr">
        <is>
          <t>VÄSTERNORRLANDS LÄN</t>
        </is>
      </c>
      <c r="E8686" t="inlineStr">
        <is>
          <t>SUNDSVALL</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21111-2023</t>
        </is>
      </c>
      <c r="B8687" s="1" t="n">
        <v>45062</v>
      </c>
      <c r="C8687" s="1" t="n">
        <v>45657</v>
      </c>
      <c r="D8687" t="inlineStr">
        <is>
          <t>VÄSTERNORRLANDS LÄN</t>
        </is>
      </c>
      <c r="E8687" t="inlineStr">
        <is>
          <t>SUNDSVALL</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21010-2023</t>
        </is>
      </c>
      <c r="B8688" s="1" t="n">
        <v>45061</v>
      </c>
      <c r="C8688" s="1" t="n">
        <v>45657</v>
      </c>
      <c r="D8688" t="inlineStr">
        <is>
          <t>VÄSTERNORRLANDS LÄN</t>
        </is>
      </c>
      <c r="E8688" t="inlineStr">
        <is>
          <t>SUNDSVALL</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21513-2023</t>
        </is>
      </c>
      <c r="B8689" s="1" t="n">
        <v>45061</v>
      </c>
      <c r="C8689" s="1" t="n">
        <v>45657</v>
      </c>
      <c r="D8689" t="inlineStr">
        <is>
          <t>VÄSTERNORRLANDS LÄN</t>
        </is>
      </c>
      <c r="E8689" t="inlineStr">
        <is>
          <t>SOLLEFTEÅ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21181-2023</t>
        </is>
      </c>
      <c r="B8690" s="1" t="n">
        <v>45062</v>
      </c>
      <c r="C8690" s="1" t="n">
        <v>45657</v>
      </c>
      <c r="D8690" t="inlineStr">
        <is>
          <t>VÄSTERNORRLANDS LÄN</t>
        </is>
      </c>
      <c r="E8690" t="inlineStr">
        <is>
          <t>SUNDSVALL</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21182-2023</t>
        </is>
      </c>
      <c r="B8691" s="1" t="n">
        <v>45062</v>
      </c>
      <c r="C8691" s="1" t="n">
        <v>45657</v>
      </c>
      <c r="D8691" t="inlineStr">
        <is>
          <t>VÄSTERNORRLANDS LÄN</t>
        </is>
      </c>
      <c r="E8691" t="inlineStr">
        <is>
          <t>KRAMFORS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21196-2023</t>
        </is>
      </c>
      <c r="B8692" s="1" t="n">
        <v>45062</v>
      </c>
      <c r="C8692" s="1" t="n">
        <v>45657</v>
      </c>
      <c r="D8692" t="inlineStr">
        <is>
          <t>VÄSTERNORRLANDS LÄN</t>
        </is>
      </c>
      <c r="E8692" t="inlineStr">
        <is>
          <t>SUNDSVALL</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21327-2023</t>
        </is>
      </c>
      <c r="B8693" s="1" t="n">
        <v>45062</v>
      </c>
      <c r="C8693" s="1" t="n">
        <v>45657</v>
      </c>
      <c r="D8693" t="inlineStr">
        <is>
          <t>VÄSTERNORRLANDS LÄN</t>
        </is>
      </c>
      <c r="E8693" t="inlineStr">
        <is>
          <t>SUNDSVALL</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21323-2023</t>
        </is>
      </c>
      <c r="B8694" s="1" t="n">
        <v>45062</v>
      </c>
      <c r="C8694" s="1" t="n">
        <v>45657</v>
      </c>
      <c r="D8694" t="inlineStr">
        <is>
          <t>VÄSTERNORRLANDS LÄN</t>
        </is>
      </c>
      <c r="E8694" t="inlineStr">
        <is>
          <t>ÖRNSKÖLDSVIK</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21349-2023</t>
        </is>
      </c>
      <c r="B8695" s="1" t="n">
        <v>45063</v>
      </c>
      <c r="C8695" s="1" t="n">
        <v>45657</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21354-2023</t>
        </is>
      </c>
      <c r="B8696" s="1" t="n">
        <v>45063</v>
      </c>
      <c r="C8696" s="1" t="n">
        <v>45657</v>
      </c>
      <c r="D8696" t="inlineStr">
        <is>
          <t>VÄSTERNORRLANDS LÄN</t>
        </is>
      </c>
      <c r="E8696" t="inlineStr">
        <is>
          <t>ÅNGE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21346-2023</t>
        </is>
      </c>
      <c r="B8697" s="1" t="n">
        <v>45063</v>
      </c>
      <c r="C8697" s="1" t="n">
        <v>45657</v>
      </c>
      <c r="D8697" t="inlineStr">
        <is>
          <t>VÄSTERNORRLANDS LÄN</t>
        </is>
      </c>
      <c r="E8697" t="inlineStr">
        <is>
          <t>SOLLEFTEÅ</t>
        </is>
      </c>
      <c r="F8697" t="inlineStr">
        <is>
          <t>SCA</t>
        </is>
      </c>
      <c r="G8697" t="n">
        <v>15.5</v>
      </c>
      <c r="H8697" t="n">
        <v>0</v>
      </c>
      <c r="I8697" t="n">
        <v>0</v>
      </c>
      <c r="J8697" t="n">
        <v>0</v>
      </c>
      <c r="K8697" t="n">
        <v>0</v>
      </c>
      <c r="L8697" t="n">
        <v>0</v>
      </c>
      <c r="M8697" t="n">
        <v>0</v>
      </c>
      <c r="N8697" t="n">
        <v>0</v>
      </c>
      <c r="O8697" t="n">
        <v>0</v>
      </c>
      <c r="P8697" t="n">
        <v>0</v>
      </c>
      <c r="Q8697" t="n">
        <v>0</v>
      </c>
      <c r="R8697" s="2" t="inlineStr"/>
    </row>
    <row r="8698" ht="15" customHeight="1">
      <c r="A8698" t="inlineStr">
        <is>
          <t>A 21340-2023</t>
        </is>
      </c>
      <c r="B8698" s="1" t="n">
        <v>45062</v>
      </c>
      <c r="C8698" s="1" t="n">
        <v>45657</v>
      </c>
      <c r="D8698" t="inlineStr">
        <is>
          <t>VÄSTERNORRLANDS LÄN</t>
        </is>
      </c>
      <c r="E8698" t="inlineStr">
        <is>
          <t>SOLLEFTEÅ</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21344-2023</t>
        </is>
      </c>
      <c r="B8699" s="1" t="n">
        <v>45062</v>
      </c>
      <c r="C8699" s="1" t="n">
        <v>45657</v>
      </c>
      <c r="D8699" t="inlineStr">
        <is>
          <t>VÄSTERNORRLANDS LÄN</t>
        </is>
      </c>
      <c r="E8699" t="inlineStr">
        <is>
          <t>SOLLEFTEÅ</t>
        </is>
      </c>
      <c r="F8699" t="inlineStr">
        <is>
          <t>SCA</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21352-2023</t>
        </is>
      </c>
      <c r="B8700" s="1" t="n">
        <v>45062</v>
      </c>
      <c r="C8700" s="1" t="n">
        <v>45657</v>
      </c>
      <c r="D8700" t="inlineStr">
        <is>
          <t>VÄSTERNORRLANDS LÄN</t>
        </is>
      </c>
      <c r="E8700" t="inlineStr">
        <is>
          <t>ÅNGE</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21361-2023</t>
        </is>
      </c>
      <c r="B8701" s="1" t="n">
        <v>45063</v>
      </c>
      <c r="C8701" s="1" t="n">
        <v>45657</v>
      </c>
      <c r="D8701" t="inlineStr">
        <is>
          <t>VÄSTERNORRLANDS LÄN</t>
        </is>
      </c>
      <c r="E8701" t="inlineStr">
        <is>
          <t>SOLLEFTEÅ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21600-2023</t>
        </is>
      </c>
      <c r="B8702" s="1" t="n">
        <v>45062</v>
      </c>
      <c r="C8702" s="1" t="n">
        <v>45657</v>
      </c>
      <c r="D8702" t="inlineStr">
        <is>
          <t>VÄSTERNORRLANDS LÄN</t>
        </is>
      </c>
      <c r="E8702" t="inlineStr">
        <is>
          <t>SUNDSVALL</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21355-2023</t>
        </is>
      </c>
      <c r="B8703" s="1" t="n">
        <v>45063</v>
      </c>
      <c r="C8703" s="1" t="n">
        <v>45657</v>
      </c>
      <c r="D8703" t="inlineStr">
        <is>
          <t>VÄSTERNORRLANDS LÄN</t>
        </is>
      </c>
      <c r="E8703" t="inlineStr">
        <is>
          <t>ÅNGE</t>
        </is>
      </c>
      <c r="F8703" t="inlineStr">
        <is>
          <t>SCA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21582-2023</t>
        </is>
      </c>
      <c r="B8704" s="1" t="n">
        <v>45062</v>
      </c>
      <c r="C8704" s="1" t="n">
        <v>45657</v>
      </c>
      <c r="D8704" t="inlineStr">
        <is>
          <t>VÄSTERNORRLANDS LÄN</t>
        </is>
      </c>
      <c r="E8704" t="inlineStr">
        <is>
          <t>SUNDSVALL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21356-2023</t>
        </is>
      </c>
      <c r="B8705" s="1" t="n">
        <v>45063</v>
      </c>
      <c r="C8705" s="1" t="n">
        <v>45657</v>
      </c>
      <c r="D8705" t="inlineStr">
        <is>
          <t>VÄSTERNORRLANDS LÄN</t>
        </is>
      </c>
      <c r="E8705" t="inlineStr">
        <is>
          <t>TIMRÅ</t>
        </is>
      </c>
      <c r="F8705" t="inlineStr">
        <is>
          <t>SCA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21609-2023</t>
        </is>
      </c>
      <c r="B8706" s="1" t="n">
        <v>45062</v>
      </c>
      <c r="C8706" s="1" t="n">
        <v>45657</v>
      </c>
      <c r="D8706" t="inlineStr">
        <is>
          <t>VÄSTERNORRLANDS LÄN</t>
        </is>
      </c>
      <c r="E8706" t="inlineStr">
        <is>
          <t>KRAMFORS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21377-2023</t>
        </is>
      </c>
      <c r="B8707" s="1" t="n">
        <v>45063</v>
      </c>
      <c r="C8707" s="1" t="n">
        <v>45657</v>
      </c>
      <c r="D8707" t="inlineStr">
        <is>
          <t>VÄSTERNORRLANDS LÄN</t>
        </is>
      </c>
      <c r="E8707" t="inlineStr">
        <is>
          <t>SUNDSVALL</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21382-2023</t>
        </is>
      </c>
      <c r="B8708" s="1" t="n">
        <v>45063</v>
      </c>
      <c r="C8708" s="1" t="n">
        <v>45657</v>
      </c>
      <c r="D8708" t="inlineStr">
        <is>
          <t>VÄSTERNORRLANDS LÄN</t>
        </is>
      </c>
      <c r="E8708" t="inlineStr">
        <is>
          <t>SUNDSVALL</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21479-2023</t>
        </is>
      </c>
      <c r="B8709" s="1" t="n">
        <v>45063</v>
      </c>
      <c r="C8709" s="1" t="n">
        <v>45657</v>
      </c>
      <c r="D8709" t="inlineStr">
        <is>
          <t>VÄSTERNORRLANDS LÄN</t>
        </is>
      </c>
      <c r="E8709" t="inlineStr">
        <is>
          <t>ÖRNSKÖLDSVIK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21489-2023</t>
        </is>
      </c>
      <c r="B8710" s="1" t="n">
        <v>45063</v>
      </c>
      <c r="C8710" s="1" t="n">
        <v>45657</v>
      </c>
      <c r="D8710" t="inlineStr">
        <is>
          <t>VÄSTERNORRLANDS LÄN</t>
        </is>
      </c>
      <c r="E8710" t="inlineStr">
        <is>
          <t>ÖRNSKÖLDSVIK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21535-2023</t>
        </is>
      </c>
      <c r="B8711" s="1" t="n">
        <v>45063</v>
      </c>
      <c r="C8711" s="1" t="n">
        <v>45657</v>
      </c>
      <c r="D8711" t="inlineStr">
        <is>
          <t>VÄSTERNORRLANDS LÄN</t>
        </is>
      </c>
      <c r="E8711" t="inlineStr">
        <is>
          <t>ÖRNSKÖLDSVIK</t>
        </is>
      </c>
      <c r="F8711" t="inlineStr">
        <is>
          <t>Holmen skog AB</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21415-2023</t>
        </is>
      </c>
      <c r="B8712" s="1" t="n">
        <v>45063</v>
      </c>
      <c r="C8712" s="1" t="n">
        <v>45657</v>
      </c>
      <c r="D8712" t="inlineStr">
        <is>
          <t>VÄSTERNORRLANDS LÄN</t>
        </is>
      </c>
      <c r="E8712" t="inlineStr">
        <is>
          <t>ÖRNSKÖLDSVIK</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21461-2023</t>
        </is>
      </c>
      <c r="B8713" s="1" t="n">
        <v>45063</v>
      </c>
      <c r="C8713" s="1" t="n">
        <v>45657</v>
      </c>
      <c r="D8713" t="inlineStr">
        <is>
          <t>VÄSTERNORRLANDS LÄN</t>
        </is>
      </c>
      <c r="E8713" t="inlineStr">
        <is>
          <t>ÖRNSKÖLDSVIK</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21482-2023</t>
        </is>
      </c>
      <c r="B8714" s="1" t="n">
        <v>45063</v>
      </c>
      <c r="C8714" s="1" t="n">
        <v>45657</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21499-2023</t>
        </is>
      </c>
      <c r="B8715" s="1" t="n">
        <v>45063</v>
      </c>
      <c r="C8715" s="1" t="n">
        <v>45657</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21490-2023</t>
        </is>
      </c>
      <c r="B8716" s="1" t="n">
        <v>45063</v>
      </c>
      <c r="C8716" s="1" t="n">
        <v>45657</v>
      </c>
      <c r="D8716" t="inlineStr">
        <is>
          <t>VÄSTERNORRLANDS LÄN</t>
        </is>
      </c>
      <c r="E8716" t="inlineStr">
        <is>
          <t>ÖRNSKÖLDSVIK</t>
        </is>
      </c>
      <c r="F8716" t="inlineStr">
        <is>
          <t>Holmen skog AB</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21545-2023</t>
        </is>
      </c>
      <c r="B8717" s="1" t="n">
        <v>45063</v>
      </c>
      <c r="C8717" s="1" t="n">
        <v>45657</v>
      </c>
      <c r="D8717" t="inlineStr">
        <is>
          <t>VÄSTERNORRLANDS LÄN</t>
        </is>
      </c>
      <c r="E8717" t="inlineStr">
        <is>
          <t>ÖRNSKÖLDSVIK</t>
        </is>
      </c>
      <c r="F8717" t="inlineStr">
        <is>
          <t>Holmen skog AB</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21623-2023</t>
        </is>
      </c>
      <c r="B8718" s="1" t="n">
        <v>45063</v>
      </c>
      <c r="C8718" s="1" t="n">
        <v>45657</v>
      </c>
      <c r="D8718" t="inlineStr">
        <is>
          <t>VÄSTERNORRLANDS LÄN</t>
        </is>
      </c>
      <c r="E8718" t="inlineStr">
        <is>
          <t>ÖRNSKÖLDSVIK</t>
        </is>
      </c>
      <c r="F8718" t="inlineStr">
        <is>
          <t>Holmen skog AB</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21538-2023</t>
        </is>
      </c>
      <c r="B8719" s="1" t="n">
        <v>45063</v>
      </c>
      <c r="C8719" s="1" t="n">
        <v>45657</v>
      </c>
      <c r="D8719" t="inlineStr">
        <is>
          <t>VÄSTERNORRLANDS LÄN</t>
        </is>
      </c>
      <c r="E8719" t="inlineStr">
        <is>
          <t>ÖRNSKÖLDSVIK</t>
        </is>
      </c>
      <c r="F8719" t="inlineStr">
        <is>
          <t>Holmen skog AB</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21637-2023</t>
        </is>
      </c>
      <c r="B8720" s="1" t="n">
        <v>45063</v>
      </c>
      <c r="C8720" s="1" t="n">
        <v>45657</v>
      </c>
      <c r="D8720" t="inlineStr">
        <is>
          <t>VÄSTERNORRLANDS LÄN</t>
        </is>
      </c>
      <c r="E8720" t="inlineStr">
        <is>
          <t>SUNDSVALL</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21641-2023</t>
        </is>
      </c>
      <c r="B8721" s="1" t="n">
        <v>45063</v>
      </c>
      <c r="C8721" s="1" t="n">
        <v>45657</v>
      </c>
      <c r="D8721" t="inlineStr">
        <is>
          <t>VÄSTERNORRLANDS LÄN</t>
        </is>
      </c>
      <c r="E8721" t="inlineStr">
        <is>
          <t>SUNDSVALL</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21640-2023</t>
        </is>
      </c>
      <c r="B8722" s="1" t="n">
        <v>45063</v>
      </c>
      <c r="C8722" s="1" t="n">
        <v>45657</v>
      </c>
      <c r="D8722" t="inlineStr">
        <is>
          <t>VÄSTERNORRLANDS LÄN</t>
        </is>
      </c>
      <c r="E8722" t="inlineStr">
        <is>
          <t>ÖRNSKÖLDSVIK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21694-2023</t>
        </is>
      </c>
      <c r="B8723" s="1" t="n">
        <v>45063</v>
      </c>
      <c r="C8723" s="1" t="n">
        <v>45657</v>
      </c>
      <c r="D8723" t="inlineStr">
        <is>
          <t>VÄSTERNORRLANDS LÄN</t>
        </is>
      </c>
      <c r="E8723" t="inlineStr">
        <is>
          <t>ÅNGE</t>
        </is>
      </c>
      <c r="F8723" t="inlineStr">
        <is>
          <t>SCA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21630-2023</t>
        </is>
      </c>
      <c r="B8724" s="1" t="n">
        <v>45063</v>
      </c>
      <c r="C8724" s="1" t="n">
        <v>45657</v>
      </c>
      <c r="D8724" t="inlineStr">
        <is>
          <t>VÄSTERNORRLANDS LÄN</t>
        </is>
      </c>
      <c r="E8724" t="inlineStr">
        <is>
          <t>SUNDSVALL</t>
        </is>
      </c>
      <c r="G8724" t="n">
        <v>9</v>
      </c>
      <c r="H8724" t="n">
        <v>0</v>
      </c>
      <c r="I8724" t="n">
        <v>0</v>
      </c>
      <c r="J8724" t="n">
        <v>0</v>
      </c>
      <c r="K8724" t="n">
        <v>0</v>
      </c>
      <c r="L8724" t="n">
        <v>0</v>
      </c>
      <c r="M8724" t="n">
        <v>0</v>
      </c>
      <c r="N8724" t="n">
        <v>0</v>
      </c>
      <c r="O8724" t="n">
        <v>0</v>
      </c>
      <c r="P8724" t="n">
        <v>0</v>
      </c>
      <c r="Q8724" t="n">
        <v>0</v>
      </c>
      <c r="R8724" s="2" t="inlineStr"/>
    </row>
    <row r="8725" ht="15" customHeight="1">
      <c r="A8725" t="inlineStr">
        <is>
          <t>A 21663-2023</t>
        </is>
      </c>
      <c r="B8725" s="1" t="n">
        <v>45064</v>
      </c>
      <c r="C8725" s="1" t="n">
        <v>45657</v>
      </c>
      <c r="D8725" t="inlineStr">
        <is>
          <t>VÄSTERNORRLANDS LÄN</t>
        </is>
      </c>
      <c r="E8725" t="inlineStr">
        <is>
          <t>SUNDSVALL</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21681-2023</t>
        </is>
      </c>
      <c r="B8726" s="1" t="n">
        <v>45064</v>
      </c>
      <c r="C8726" s="1" t="n">
        <v>45657</v>
      </c>
      <c r="D8726" t="inlineStr">
        <is>
          <t>VÄSTERNORRLANDS LÄN</t>
        </is>
      </c>
      <c r="E8726" t="inlineStr">
        <is>
          <t>ÅNGE</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21690-2023</t>
        </is>
      </c>
      <c r="B8727" s="1" t="n">
        <v>45064</v>
      </c>
      <c r="C8727" s="1" t="n">
        <v>45657</v>
      </c>
      <c r="D8727" t="inlineStr">
        <is>
          <t>VÄSTERNORRLANDS LÄN</t>
        </is>
      </c>
      <c r="E8727" t="inlineStr">
        <is>
          <t>SOLLEFTEÅ</t>
        </is>
      </c>
      <c r="F8727" t="inlineStr">
        <is>
          <t>SCA</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21691-2023</t>
        </is>
      </c>
      <c r="B8728" s="1" t="n">
        <v>45063</v>
      </c>
      <c r="C8728" s="1" t="n">
        <v>45657</v>
      </c>
      <c r="D8728" t="inlineStr">
        <is>
          <t>VÄSTERNORRLANDS LÄN</t>
        </is>
      </c>
      <c r="E8728" t="inlineStr">
        <is>
          <t>ÅNGE</t>
        </is>
      </c>
      <c r="F8728" t="inlineStr">
        <is>
          <t>SCA</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21695-2023</t>
        </is>
      </c>
      <c r="B8729" s="1" t="n">
        <v>45063</v>
      </c>
      <c r="C8729" s="1" t="n">
        <v>45657</v>
      </c>
      <c r="D8729" t="inlineStr">
        <is>
          <t>VÄSTERNORRLANDS LÄN</t>
        </is>
      </c>
      <c r="E8729" t="inlineStr">
        <is>
          <t>ÅNGE</t>
        </is>
      </c>
      <c r="F8729" t="inlineStr">
        <is>
          <t>SCA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21674-2023</t>
        </is>
      </c>
      <c r="B8730" s="1" t="n">
        <v>45064</v>
      </c>
      <c r="C8730" s="1" t="n">
        <v>45657</v>
      </c>
      <c r="D8730" t="inlineStr">
        <is>
          <t>VÄSTERNORRLANDS LÄN</t>
        </is>
      </c>
      <c r="E8730" t="inlineStr">
        <is>
          <t>SOLLEFTEÅ</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21668-2023</t>
        </is>
      </c>
      <c r="B8731" s="1" t="n">
        <v>45064</v>
      </c>
      <c r="C8731" s="1" t="n">
        <v>45657</v>
      </c>
      <c r="D8731" t="inlineStr">
        <is>
          <t>VÄSTERNORRLANDS LÄN</t>
        </is>
      </c>
      <c r="E8731" t="inlineStr">
        <is>
          <t>ÅNGE</t>
        </is>
      </c>
      <c r="G8731" t="n">
        <v>12.3</v>
      </c>
      <c r="H8731" t="n">
        <v>0</v>
      </c>
      <c r="I8731" t="n">
        <v>0</v>
      </c>
      <c r="J8731" t="n">
        <v>0</v>
      </c>
      <c r="K8731" t="n">
        <v>0</v>
      </c>
      <c r="L8731" t="n">
        <v>0</v>
      </c>
      <c r="M8731" t="n">
        <v>0</v>
      </c>
      <c r="N8731" t="n">
        <v>0</v>
      </c>
      <c r="O8731" t="n">
        <v>0</v>
      </c>
      <c r="P8731" t="n">
        <v>0</v>
      </c>
      <c r="Q8731" t="n">
        <v>0</v>
      </c>
      <c r="R8731" s="2" t="inlineStr"/>
    </row>
    <row r="8732" ht="15" customHeight="1">
      <c r="A8732" t="inlineStr">
        <is>
          <t>A 21692-2023</t>
        </is>
      </c>
      <c r="B8732" s="1" t="n">
        <v>45063</v>
      </c>
      <c r="C8732" s="1" t="n">
        <v>45657</v>
      </c>
      <c r="D8732" t="inlineStr">
        <is>
          <t>VÄSTERNORRLANDS LÄN</t>
        </is>
      </c>
      <c r="E8732" t="inlineStr">
        <is>
          <t>ÅNGE</t>
        </is>
      </c>
      <c r="F8732" t="inlineStr">
        <is>
          <t>SCA</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21639-2023</t>
        </is>
      </c>
      <c r="B8733" s="1" t="n">
        <v>45063</v>
      </c>
      <c r="C8733" s="1" t="n">
        <v>45657</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21689-2023</t>
        </is>
      </c>
      <c r="B8734" s="1" t="n">
        <v>45063</v>
      </c>
      <c r="C8734" s="1" t="n">
        <v>45657</v>
      </c>
      <c r="D8734" t="inlineStr">
        <is>
          <t>VÄSTERNORRLANDS LÄN</t>
        </is>
      </c>
      <c r="E8734" t="inlineStr">
        <is>
          <t>SUNDSVALL</t>
        </is>
      </c>
      <c r="F8734" t="inlineStr">
        <is>
          <t>Naturvårdsverket</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21680-2023</t>
        </is>
      </c>
      <c r="B8735" s="1" t="n">
        <v>45064</v>
      </c>
      <c r="C8735" s="1" t="n">
        <v>45657</v>
      </c>
      <c r="D8735" t="inlineStr">
        <is>
          <t>VÄSTERNORRLANDS LÄN</t>
        </is>
      </c>
      <c r="E8735" t="inlineStr">
        <is>
          <t>ÅNGE</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21693-2023</t>
        </is>
      </c>
      <c r="B8736" s="1" t="n">
        <v>45063</v>
      </c>
      <c r="C8736" s="1" t="n">
        <v>45657</v>
      </c>
      <c r="D8736" t="inlineStr">
        <is>
          <t>VÄSTERNORRLANDS LÄN</t>
        </is>
      </c>
      <c r="E8736" t="inlineStr">
        <is>
          <t>ÅNGE</t>
        </is>
      </c>
      <c r="F8736" t="inlineStr">
        <is>
          <t>SCA</t>
        </is>
      </c>
      <c r="G8736" t="n">
        <v>9.699999999999999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21759-2023</t>
        </is>
      </c>
      <c r="B8737" s="1" t="n">
        <v>45063</v>
      </c>
      <c r="C8737" s="1" t="n">
        <v>45657</v>
      </c>
      <c r="D8737" t="inlineStr">
        <is>
          <t>VÄSTERNORRLANDS LÄN</t>
        </is>
      </c>
      <c r="E8737" t="inlineStr">
        <is>
          <t>ÖRNSKÖLDSVIK</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21776-2023</t>
        </is>
      </c>
      <c r="B8738" s="1" t="n">
        <v>45066</v>
      </c>
      <c r="C8738" s="1" t="n">
        <v>45657</v>
      </c>
      <c r="D8738" t="inlineStr">
        <is>
          <t>VÄSTERNORRLANDS LÄN</t>
        </is>
      </c>
      <c r="E8738" t="inlineStr">
        <is>
          <t>SUNDSVALL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21730-2023</t>
        </is>
      </c>
      <c r="B8739" s="1" t="n">
        <v>45065</v>
      </c>
      <c r="C8739" s="1" t="n">
        <v>45657</v>
      </c>
      <c r="D8739" t="inlineStr">
        <is>
          <t>VÄSTERNORRLANDS LÄN</t>
        </is>
      </c>
      <c r="E8739" t="inlineStr">
        <is>
          <t>KRAMFORS</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21737-2023</t>
        </is>
      </c>
      <c r="B8740" s="1" t="n">
        <v>45065</v>
      </c>
      <c r="C8740" s="1" t="n">
        <v>45657</v>
      </c>
      <c r="D8740" t="inlineStr">
        <is>
          <t>VÄSTERNORRLANDS LÄN</t>
        </is>
      </c>
      <c r="E8740" t="inlineStr">
        <is>
          <t>ÖRNSKÖLDSVIK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21909-2023</t>
        </is>
      </c>
      <c r="B8741" s="1" t="n">
        <v>45065</v>
      </c>
      <c r="C8741" s="1" t="n">
        <v>45657</v>
      </c>
      <c r="D8741" t="inlineStr">
        <is>
          <t>VÄSTERNORRLANDS LÄN</t>
        </is>
      </c>
      <c r="E8741" t="inlineStr">
        <is>
          <t>KRAMFORS</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21777-2023</t>
        </is>
      </c>
      <c r="B8742" s="1" t="n">
        <v>45066</v>
      </c>
      <c r="C8742" s="1" t="n">
        <v>45657</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21881-2023</t>
        </is>
      </c>
      <c r="B8743" s="1" t="n">
        <v>45065</v>
      </c>
      <c r="C8743" s="1" t="n">
        <v>45657</v>
      </c>
      <c r="D8743" t="inlineStr">
        <is>
          <t>VÄSTERNORRLANDS LÄN</t>
        </is>
      </c>
      <c r="E8743" t="inlineStr">
        <is>
          <t>ÖRNSKÖLDSVIK</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21952-2023</t>
        </is>
      </c>
      <c r="B8744" s="1" t="n">
        <v>45068</v>
      </c>
      <c r="C8744" s="1" t="n">
        <v>45657</v>
      </c>
      <c r="D8744" t="inlineStr">
        <is>
          <t>VÄSTERNORRLANDS LÄN</t>
        </is>
      </c>
      <c r="E8744" t="inlineStr">
        <is>
          <t>KRAMFORS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21998-2023</t>
        </is>
      </c>
      <c r="B8745" s="1" t="n">
        <v>45068</v>
      </c>
      <c r="C8745" s="1" t="n">
        <v>45657</v>
      </c>
      <c r="D8745" t="inlineStr">
        <is>
          <t>VÄSTERNORRLANDS LÄN</t>
        </is>
      </c>
      <c r="E8745" t="inlineStr">
        <is>
          <t>SUNDSVALL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21997-2023</t>
        </is>
      </c>
      <c r="B8746" s="1" t="n">
        <v>45068</v>
      </c>
      <c r="C8746" s="1" t="n">
        <v>45657</v>
      </c>
      <c r="D8746" t="inlineStr">
        <is>
          <t>VÄSTERNORRLANDS LÄN</t>
        </is>
      </c>
      <c r="E8746" t="inlineStr">
        <is>
          <t>SUNDSVALL</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22005-2023</t>
        </is>
      </c>
      <c r="B8747" s="1" t="n">
        <v>45069</v>
      </c>
      <c r="C8747" s="1" t="n">
        <v>45657</v>
      </c>
      <c r="D8747" t="inlineStr">
        <is>
          <t>VÄSTERNORRLANDS LÄN</t>
        </is>
      </c>
      <c r="E8747" t="inlineStr">
        <is>
          <t>ÅNGE</t>
        </is>
      </c>
      <c r="F8747" t="inlineStr">
        <is>
          <t>SCA</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22013-2023</t>
        </is>
      </c>
      <c r="B8748" s="1" t="n">
        <v>45069</v>
      </c>
      <c r="C8748" s="1" t="n">
        <v>45657</v>
      </c>
      <c r="D8748" t="inlineStr">
        <is>
          <t>VÄSTERNORRLANDS LÄN</t>
        </is>
      </c>
      <c r="E8748" t="inlineStr">
        <is>
          <t>ÅNGE</t>
        </is>
      </c>
      <c r="F8748" t="inlineStr">
        <is>
          <t>SCA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21946-2023</t>
        </is>
      </c>
      <c r="B8749" s="1" t="n">
        <v>45068</v>
      </c>
      <c r="C8749" s="1" t="n">
        <v>45657</v>
      </c>
      <c r="D8749" t="inlineStr">
        <is>
          <t>VÄSTERNORRLANDS LÄN</t>
        </is>
      </c>
      <c r="E8749" t="inlineStr">
        <is>
          <t>KRAMFORS</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22008-2023</t>
        </is>
      </c>
      <c r="B8750" s="1" t="n">
        <v>45068</v>
      </c>
      <c r="C8750" s="1" t="n">
        <v>45657</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22139-2023</t>
        </is>
      </c>
      <c r="B8751" s="1" t="n">
        <v>45068</v>
      </c>
      <c r="C8751" s="1" t="n">
        <v>45657</v>
      </c>
      <c r="D8751" t="inlineStr">
        <is>
          <t>VÄSTERNORRLANDS LÄN</t>
        </is>
      </c>
      <c r="E8751" t="inlineStr">
        <is>
          <t>SUNDSVALL</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22261-2023</t>
        </is>
      </c>
      <c r="B8752" s="1" t="n">
        <v>45068</v>
      </c>
      <c r="C8752" s="1" t="n">
        <v>45657</v>
      </c>
      <c r="D8752" t="inlineStr">
        <is>
          <t>VÄSTERNORRLANDS LÄN</t>
        </is>
      </c>
      <c r="E8752" t="inlineStr">
        <is>
          <t>ÖRNSKÖLDSVIK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22256-2023</t>
        </is>
      </c>
      <c r="B8753" s="1" t="n">
        <v>45068</v>
      </c>
      <c r="C8753" s="1" t="n">
        <v>45657</v>
      </c>
      <c r="D8753" t="inlineStr">
        <is>
          <t>VÄSTERNORRLANDS LÄN</t>
        </is>
      </c>
      <c r="E8753" t="inlineStr">
        <is>
          <t>ÖRNSKÖLDSVIK</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21890-2023</t>
        </is>
      </c>
      <c r="B8754" s="1" t="n">
        <v>45068</v>
      </c>
      <c r="C8754" s="1" t="n">
        <v>45657</v>
      </c>
      <c r="D8754" t="inlineStr">
        <is>
          <t>VÄSTERNORRLANDS LÄN</t>
        </is>
      </c>
      <c r="E8754" t="inlineStr">
        <is>
          <t>ÖRNSKÖLDSVIK</t>
        </is>
      </c>
      <c r="F8754" t="inlineStr">
        <is>
          <t>Kyrkan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22263-2023</t>
        </is>
      </c>
      <c r="B8755" s="1" t="n">
        <v>45068</v>
      </c>
      <c r="C8755" s="1" t="n">
        <v>45657</v>
      </c>
      <c r="D8755" t="inlineStr">
        <is>
          <t>VÄSTERNORRLANDS LÄN</t>
        </is>
      </c>
      <c r="E8755" t="inlineStr">
        <is>
          <t>ÖRNSKÖLDSVIK</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22067-2023</t>
        </is>
      </c>
      <c r="B8756" s="1" t="n">
        <v>45069</v>
      </c>
      <c r="C8756" s="1" t="n">
        <v>45657</v>
      </c>
      <c r="D8756" t="inlineStr">
        <is>
          <t>VÄSTERNORRLANDS LÄN</t>
        </is>
      </c>
      <c r="E8756" t="inlineStr">
        <is>
          <t>SUNDSVALL</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22220-2023</t>
        </is>
      </c>
      <c r="B8757" s="1" t="n">
        <v>45070</v>
      </c>
      <c r="C8757" s="1" t="n">
        <v>45657</v>
      </c>
      <c r="D8757" t="inlineStr">
        <is>
          <t>VÄSTERNORRLANDS LÄN</t>
        </is>
      </c>
      <c r="E8757" t="inlineStr">
        <is>
          <t>SOLLEFTEÅ</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22512-2023</t>
        </is>
      </c>
      <c r="B8758" s="1" t="n">
        <v>45069</v>
      </c>
      <c r="C8758" s="1" t="n">
        <v>45657</v>
      </c>
      <c r="D8758" t="inlineStr">
        <is>
          <t>VÄSTERNORRLANDS LÄN</t>
        </is>
      </c>
      <c r="E8758" t="inlineStr">
        <is>
          <t>ÖRNSKÖLDSVIK</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22229-2023</t>
        </is>
      </c>
      <c r="B8759" s="1" t="n">
        <v>45070</v>
      </c>
      <c r="C8759" s="1" t="n">
        <v>45657</v>
      </c>
      <c r="D8759" t="inlineStr">
        <is>
          <t>VÄSTERNORRLANDS LÄN</t>
        </is>
      </c>
      <c r="E8759" t="inlineStr">
        <is>
          <t>SOLLEFTEÅ</t>
        </is>
      </c>
      <c r="F8759" t="inlineStr">
        <is>
          <t>SCA</t>
        </is>
      </c>
      <c r="G8759" t="n">
        <v>20.8</v>
      </c>
      <c r="H8759" t="n">
        <v>0</v>
      </c>
      <c r="I8759" t="n">
        <v>0</v>
      </c>
      <c r="J8759" t="n">
        <v>0</v>
      </c>
      <c r="K8759" t="n">
        <v>0</v>
      </c>
      <c r="L8759" t="n">
        <v>0</v>
      </c>
      <c r="M8759" t="n">
        <v>0</v>
      </c>
      <c r="N8759" t="n">
        <v>0</v>
      </c>
      <c r="O8759" t="n">
        <v>0</v>
      </c>
      <c r="P8759" t="n">
        <v>0</v>
      </c>
      <c r="Q8759" t="n">
        <v>0</v>
      </c>
      <c r="R8759" s="2" t="inlineStr"/>
    </row>
    <row r="8760" ht="15" customHeight="1">
      <c r="A8760" t="inlineStr">
        <is>
          <t>A 22515-2023</t>
        </is>
      </c>
      <c r="B8760" s="1" t="n">
        <v>45069</v>
      </c>
      <c r="C8760" s="1" t="n">
        <v>45657</v>
      </c>
      <c r="D8760" t="inlineStr">
        <is>
          <t>VÄSTERNORRLANDS LÄN</t>
        </is>
      </c>
      <c r="E8760" t="inlineStr">
        <is>
          <t>ÖRNSKÖLDSVIK</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22547-2023</t>
        </is>
      </c>
      <c r="B8761" s="1" t="n">
        <v>45069</v>
      </c>
      <c r="C8761" s="1" t="n">
        <v>45657</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22532-2023</t>
        </is>
      </c>
      <c r="B8762" s="1" t="n">
        <v>45069</v>
      </c>
      <c r="C8762" s="1" t="n">
        <v>45657</v>
      </c>
      <c r="D8762" t="inlineStr">
        <is>
          <t>VÄSTERNORRLANDS LÄN</t>
        </is>
      </c>
      <c r="E8762" t="inlineStr">
        <is>
          <t>ÖRNSKÖLDSVIK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22357-2023</t>
        </is>
      </c>
      <c r="B8763" s="1" t="n">
        <v>45070</v>
      </c>
      <c r="C8763" s="1" t="n">
        <v>45657</v>
      </c>
      <c r="D8763" t="inlineStr">
        <is>
          <t>VÄSTERNORRLANDS LÄN</t>
        </is>
      </c>
      <c r="E8763" t="inlineStr">
        <is>
          <t>ÖRNSKÖLDSVIK</t>
        </is>
      </c>
      <c r="F8763" t="inlineStr">
        <is>
          <t>Holmen skog AB</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22248-2023</t>
        </is>
      </c>
      <c r="B8764" s="1" t="n">
        <v>45070</v>
      </c>
      <c r="C8764" s="1" t="n">
        <v>45657</v>
      </c>
      <c r="D8764" t="inlineStr">
        <is>
          <t>VÄSTERNORRLANDS LÄN</t>
        </is>
      </c>
      <c r="E8764" t="inlineStr">
        <is>
          <t>ÅNGE</t>
        </is>
      </c>
      <c r="F8764" t="inlineStr">
        <is>
          <t>Sveaskog</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22258-2023</t>
        </is>
      </c>
      <c r="B8765" s="1" t="n">
        <v>45070</v>
      </c>
      <c r="C8765" s="1" t="n">
        <v>45657</v>
      </c>
      <c r="D8765" t="inlineStr">
        <is>
          <t>VÄSTERNORRLANDS LÄN</t>
        </is>
      </c>
      <c r="E8765" t="inlineStr">
        <is>
          <t>SUNDSVALL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22371-2023</t>
        </is>
      </c>
      <c r="B8766" s="1" t="n">
        <v>45070</v>
      </c>
      <c r="C8766" s="1" t="n">
        <v>45657</v>
      </c>
      <c r="D8766" t="inlineStr">
        <is>
          <t>VÄSTERNORRLANDS LÄN</t>
        </is>
      </c>
      <c r="E8766" t="inlineStr">
        <is>
          <t>SUNDSVALL</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22388-2023</t>
        </is>
      </c>
      <c r="B8767" s="1" t="n">
        <v>45070</v>
      </c>
      <c r="C8767" s="1" t="n">
        <v>45657</v>
      </c>
      <c r="D8767" t="inlineStr">
        <is>
          <t>VÄSTERNORRLANDS LÄN</t>
        </is>
      </c>
      <c r="E8767" t="inlineStr">
        <is>
          <t>ÖRNSKÖLDSVIK</t>
        </is>
      </c>
      <c r="F8767" t="inlineStr">
        <is>
          <t>Holmen skog AB</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22411-2023</t>
        </is>
      </c>
      <c r="B8768" s="1" t="n">
        <v>45070</v>
      </c>
      <c r="C8768" s="1" t="n">
        <v>45657</v>
      </c>
      <c r="D8768" t="inlineStr">
        <is>
          <t>VÄSTERNORRLANDS LÄN</t>
        </is>
      </c>
      <c r="E8768" t="inlineStr">
        <is>
          <t>ÅNGE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22474-2023</t>
        </is>
      </c>
      <c r="B8769" s="1" t="n">
        <v>45070</v>
      </c>
      <c r="C8769" s="1" t="n">
        <v>45657</v>
      </c>
      <c r="D8769" t="inlineStr">
        <is>
          <t>VÄSTERNORRLANDS LÄN</t>
        </is>
      </c>
      <c r="E8769" t="inlineStr">
        <is>
          <t>SUNDSVALL</t>
        </is>
      </c>
      <c r="F8769" t="inlineStr">
        <is>
          <t>SCA</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22473-2023</t>
        </is>
      </c>
      <c r="B8770" s="1" t="n">
        <v>45070</v>
      </c>
      <c r="C8770" s="1" t="n">
        <v>45657</v>
      </c>
      <c r="D8770" t="inlineStr">
        <is>
          <t>VÄSTERNORRLANDS LÄN</t>
        </is>
      </c>
      <c r="E8770" t="inlineStr">
        <is>
          <t>SUNDSVALL</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22946-2023</t>
        </is>
      </c>
      <c r="B8771" s="1" t="n">
        <v>45070</v>
      </c>
      <c r="C8771" s="1" t="n">
        <v>45657</v>
      </c>
      <c r="D8771" t="inlineStr">
        <is>
          <t>VÄSTERNORRLANDS LÄN</t>
        </is>
      </c>
      <c r="E8771" t="inlineStr">
        <is>
          <t>ÖRNSKÖLDSVIK</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22861-2023</t>
        </is>
      </c>
      <c r="B8772" s="1" t="n">
        <v>45070</v>
      </c>
      <c r="C8772" s="1" t="n">
        <v>45657</v>
      </c>
      <c r="D8772" t="inlineStr">
        <is>
          <t>VÄSTERNORRLANDS LÄN</t>
        </is>
      </c>
      <c r="E8772" t="inlineStr">
        <is>
          <t>ÖRNSKÖLDSVIK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22572-2023</t>
        </is>
      </c>
      <c r="B8773" s="1" t="n">
        <v>45071</v>
      </c>
      <c r="C8773" s="1" t="n">
        <v>45657</v>
      </c>
      <c r="D8773" t="inlineStr">
        <is>
          <t>VÄSTERNORRLANDS LÄN</t>
        </is>
      </c>
      <c r="E8773" t="inlineStr">
        <is>
          <t>ÖRNSKÖLDSVIK</t>
        </is>
      </c>
      <c r="F8773" t="inlineStr">
        <is>
          <t>Holmen skog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22552-2023</t>
        </is>
      </c>
      <c r="B8774" s="1" t="n">
        <v>45071</v>
      </c>
      <c r="C8774" s="1" t="n">
        <v>45657</v>
      </c>
      <c r="D8774" t="inlineStr">
        <is>
          <t>VÄSTERNORRLANDS LÄN</t>
        </is>
      </c>
      <c r="E8774" t="inlineStr">
        <is>
          <t>ÖRNSKÖLDSVIK</t>
        </is>
      </c>
      <c r="F8774" t="inlineStr">
        <is>
          <t>Holmen skog AB</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22520-2023</t>
        </is>
      </c>
      <c r="B8775" s="1" t="n">
        <v>45071</v>
      </c>
      <c r="C8775" s="1" t="n">
        <v>45657</v>
      </c>
      <c r="D8775" t="inlineStr">
        <is>
          <t>VÄSTERNORRLANDS LÄN</t>
        </is>
      </c>
      <c r="E8775" t="inlineStr">
        <is>
          <t>ÖRNSKÖLDSVIK</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22565-2023</t>
        </is>
      </c>
      <c r="B8776" s="1" t="n">
        <v>45071</v>
      </c>
      <c r="C8776" s="1" t="n">
        <v>45657</v>
      </c>
      <c r="D8776" t="inlineStr">
        <is>
          <t>VÄSTERNORRLANDS LÄN</t>
        </is>
      </c>
      <c r="E8776" t="inlineStr">
        <is>
          <t>ÖRNSKÖLDSVIK</t>
        </is>
      </c>
      <c r="F8776" t="inlineStr">
        <is>
          <t>Holmen skog AB</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22642-2023</t>
        </is>
      </c>
      <c r="B8777" s="1" t="n">
        <v>45071</v>
      </c>
      <c r="C8777" s="1" t="n">
        <v>45657</v>
      </c>
      <c r="D8777" t="inlineStr">
        <is>
          <t>VÄSTERNORRLANDS LÄN</t>
        </is>
      </c>
      <c r="E8777" t="inlineStr">
        <is>
          <t>SUNDSVALL</t>
        </is>
      </c>
      <c r="F8777" t="inlineStr">
        <is>
          <t>Holmen skog AB</t>
        </is>
      </c>
      <c r="G8777" t="n">
        <v>8.300000000000001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22740-2023</t>
        </is>
      </c>
      <c r="B8778" s="1" t="n">
        <v>45072</v>
      </c>
      <c r="C8778" s="1" t="n">
        <v>45657</v>
      </c>
      <c r="D8778" t="inlineStr">
        <is>
          <t>VÄSTERNORRLANDS LÄN</t>
        </is>
      </c>
      <c r="E8778" t="inlineStr">
        <is>
          <t>ÅNGE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22749-2023</t>
        </is>
      </c>
      <c r="B8779" s="1" t="n">
        <v>45071</v>
      </c>
      <c r="C8779" s="1" t="n">
        <v>45657</v>
      </c>
      <c r="D8779" t="inlineStr">
        <is>
          <t>VÄSTERNORRLANDS LÄN</t>
        </is>
      </c>
      <c r="E8779" t="inlineStr">
        <is>
          <t>SUNDSVALL</t>
        </is>
      </c>
      <c r="F8779" t="inlineStr">
        <is>
          <t>SCA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22755-2023</t>
        </is>
      </c>
      <c r="B8780" s="1" t="n">
        <v>45072</v>
      </c>
      <c r="C8780" s="1" t="n">
        <v>45657</v>
      </c>
      <c r="D8780" t="inlineStr">
        <is>
          <t>VÄSTERNORRLANDS LÄN</t>
        </is>
      </c>
      <c r="E8780" t="inlineStr">
        <is>
          <t>ÅNGE</t>
        </is>
      </c>
      <c r="F8780" t="inlineStr">
        <is>
          <t>SCA</t>
        </is>
      </c>
      <c r="G8780" t="n">
        <v>12.6</v>
      </c>
      <c r="H8780" t="n">
        <v>0</v>
      </c>
      <c r="I8780" t="n">
        <v>0</v>
      </c>
      <c r="J8780" t="n">
        <v>0</v>
      </c>
      <c r="K8780" t="n">
        <v>0</v>
      </c>
      <c r="L8780" t="n">
        <v>0</v>
      </c>
      <c r="M8780" t="n">
        <v>0</v>
      </c>
      <c r="N8780" t="n">
        <v>0</v>
      </c>
      <c r="O8780" t="n">
        <v>0</v>
      </c>
      <c r="P8780" t="n">
        <v>0</v>
      </c>
      <c r="Q8780" t="n">
        <v>0</v>
      </c>
      <c r="R8780" s="2" t="inlineStr"/>
    </row>
    <row r="8781" ht="15" customHeight="1">
      <c r="A8781" t="inlineStr">
        <is>
          <t>A 22752-2023</t>
        </is>
      </c>
      <c r="B8781" s="1" t="n">
        <v>45072</v>
      </c>
      <c r="C8781" s="1" t="n">
        <v>45657</v>
      </c>
      <c r="D8781" t="inlineStr">
        <is>
          <t>VÄSTERNORRLANDS LÄN</t>
        </is>
      </c>
      <c r="E8781" t="inlineStr">
        <is>
          <t>ÅNGE</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22750-2023</t>
        </is>
      </c>
      <c r="B8782" s="1" t="n">
        <v>45072</v>
      </c>
      <c r="C8782" s="1" t="n">
        <v>45657</v>
      </c>
      <c r="D8782" t="inlineStr">
        <is>
          <t>VÄSTERNORRLANDS LÄN</t>
        </is>
      </c>
      <c r="E8782" t="inlineStr">
        <is>
          <t>SOLLEFTEÅ</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22756-2023</t>
        </is>
      </c>
      <c r="B8783" s="1" t="n">
        <v>45072</v>
      </c>
      <c r="C8783" s="1" t="n">
        <v>45657</v>
      </c>
      <c r="D8783" t="inlineStr">
        <is>
          <t>VÄSTERNORRLANDS LÄN</t>
        </is>
      </c>
      <c r="E8783" t="inlineStr">
        <is>
          <t>ÅNGE</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22753-2023</t>
        </is>
      </c>
      <c r="B8784" s="1" t="n">
        <v>45072</v>
      </c>
      <c r="C8784" s="1" t="n">
        <v>45657</v>
      </c>
      <c r="D8784" t="inlineStr">
        <is>
          <t>VÄSTERNORRLANDS LÄN</t>
        </is>
      </c>
      <c r="E8784" t="inlineStr">
        <is>
          <t>ÅNGE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22759-2023</t>
        </is>
      </c>
      <c r="B8785" s="1" t="n">
        <v>45072</v>
      </c>
      <c r="C8785" s="1" t="n">
        <v>45657</v>
      </c>
      <c r="D8785" t="inlineStr">
        <is>
          <t>VÄSTERNORRLANDS LÄN</t>
        </is>
      </c>
      <c r="E8785" t="inlineStr">
        <is>
          <t>SUNDSVALL</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23240-2023</t>
        </is>
      </c>
      <c r="B8786" s="1" t="n">
        <v>45071</v>
      </c>
      <c r="C8786" s="1" t="n">
        <v>45657</v>
      </c>
      <c r="D8786" t="inlineStr">
        <is>
          <t>VÄSTERNORRLANDS LÄN</t>
        </is>
      </c>
      <c r="E8786" t="inlineStr">
        <is>
          <t>KRAMFORS</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22886-2023</t>
        </is>
      </c>
      <c r="B8787" s="1" t="n">
        <v>45072</v>
      </c>
      <c r="C8787" s="1" t="n">
        <v>45657</v>
      </c>
      <c r="D8787" t="inlineStr">
        <is>
          <t>VÄSTERNORRLANDS LÄN</t>
        </is>
      </c>
      <c r="E8787" t="inlineStr">
        <is>
          <t>HÄRNÖSAND</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22994-2023</t>
        </is>
      </c>
      <c r="B8788" s="1" t="n">
        <v>45072</v>
      </c>
      <c r="C8788" s="1" t="n">
        <v>45657</v>
      </c>
      <c r="D8788" t="inlineStr">
        <is>
          <t>VÄSTERNORRLANDS LÄN</t>
        </is>
      </c>
      <c r="E8788" t="inlineStr">
        <is>
          <t>SOLLEFTEÅ</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22992-2023</t>
        </is>
      </c>
      <c r="B8789" s="1" t="n">
        <v>45072</v>
      </c>
      <c r="C8789" s="1" t="n">
        <v>45657</v>
      </c>
      <c r="D8789" t="inlineStr">
        <is>
          <t>VÄSTERNORRLANDS LÄN</t>
        </is>
      </c>
      <c r="E8789" t="inlineStr">
        <is>
          <t>SOLLEFTEÅ</t>
        </is>
      </c>
      <c r="F8789" t="inlineStr">
        <is>
          <t>SCA</t>
        </is>
      </c>
      <c r="G8789" t="n">
        <v>13.6</v>
      </c>
      <c r="H8789" t="n">
        <v>0</v>
      </c>
      <c r="I8789" t="n">
        <v>0</v>
      </c>
      <c r="J8789" t="n">
        <v>0</v>
      </c>
      <c r="K8789" t="n">
        <v>0</v>
      </c>
      <c r="L8789" t="n">
        <v>0</v>
      </c>
      <c r="M8789" t="n">
        <v>0</v>
      </c>
      <c r="N8789" t="n">
        <v>0</v>
      </c>
      <c r="O8789" t="n">
        <v>0</v>
      </c>
      <c r="P8789" t="n">
        <v>0</v>
      </c>
      <c r="Q8789" t="n">
        <v>0</v>
      </c>
      <c r="R8789" s="2" t="inlineStr"/>
    </row>
    <row r="8790" ht="15" customHeight="1">
      <c r="A8790" t="inlineStr">
        <is>
          <t>A 22987-2023</t>
        </is>
      </c>
      <c r="B8790" s="1" t="n">
        <v>45072</v>
      </c>
      <c r="C8790" s="1" t="n">
        <v>45657</v>
      </c>
      <c r="D8790" t="inlineStr">
        <is>
          <t>VÄSTERNORRLANDS LÄN</t>
        </is>
      </c>
      <c r="E8790" t="inlineStr">
        <is>
          <t>ÅNGE</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22995-2023</t>
        </is>
      </c>
      <c r="B8791" s="1" t="n">
        <v>45073</v>
      </c>
      <c r="C8791" s="1" t="n">
        <v>45657</v>
      </c>
      <c r="D8791" t="inlineStr">
        <is>
          <t>VÄSTERNORRLANDS LÄN</t>
        </is>
      </c>
      <c r="E8791" t="inlineStr">
        <is>
          <t>SOLLEFTEÅ</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22875-2023</t>
        </is>
      </c>
      <c r="B8792" s="1" t="n">
        <v>45072</v>
      </c>
      <c r="C8792" s="1" t="n">
        <v>45657</v>
      </c>
      <c r="D8792" t="inlineStr">
        <is>
          <t>VÄSTERNORRLANDS LÄN</t>
        </is>
      </c>
      <c r="E8792" t="inlineStr">
        <is>
          <t>HÄRNÖSAND</t>
        </is>
      </c>
      <c r="F8792" t="inlineStr">
        <is>
          <t>Kyrkan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23636-2023</t>
        </is>
      </c>
      <c r="B8793" s="1" t="n">
        <v>45072</v>
      </c>
      <c r="C8793" s="1" t="n">
        <v>45657</v>
      </c>
      <c r="D8793" t="inlineStr">
        <is>
          <t>VÄSTERNORRLANDS LÄN</t>
        </is>
      </c>
      <c r="E8793" t="inlineStr">
        <is>
          <t>HÄRNÖSAND</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22993-2023</t>
        </is>
      </c>
      <c r="B8794" s="1" t="n">
        <v>45072</v>
      </c>
      <c r="C8794" s="1" t="n">
        <v>45657</v>
      </c>
      <c r="D8794" t="inlineStr">
        <is>
          <t>VÄSTERNORRLANDS LÄN</t>
        </is>
      </c>
      <c r="E8794" t="inlineStr">
        <is>
          <t>SUNDSVALL</t>
        </is>
      </c>
      <c r="F8794" t="inlineStr">
        <is>
          <t>SCA</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22997-2023</t>
        </is>
      </c>
      <c r="B8795" s="1" t="n">
        <v>45073</v>
      </c>
      <c r="C8795" s="1" t="n">
        <v>45657</v>
      </c>
      <c r="D8795" t="inlineStr">
        <is>
          <t>VÄSTERNORRLANDS LÄN</t>
        </is>
      </c>
      <c r="E8795" t="inlineStr">
        <is>
          <t>ÅNGE</t>
        </is>
      </c>
      <c r="F8795" t="inlineStr">
        <is>
          <t>SCA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23488-2023</t>
        </is>
      </c>
      <c r="B8796" s="1" t="n">
        <v>45072</v>
      </c>
      <c r="C8796" s="1" t="n">
        <v>45657</v>
      </c>
      <c r="D8796" t="inlineStr">
        <is>
          <t>VÄSTERNORRLANDS LÄN</t>
        </is>
      </c>
      <c r="E8796" t="inlineStr">
        <is>
          <t>SOLLEFTEÅ</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23547-2023</t>
        </is>
      </c>
      <c r="B8797" s="1" t="n">
        <v>45072</v>
      </c>
      <c r="C8797" s="1" t="n">
        <v>45657</v>
      </c>
      <c r="D8797" t="inlineStr">
        <is>
          <t>VÄSTERNORRLANDS LÄN</t>
        </is>
      </c>
      <c r="E8797" t="inlineStr">
        <is>
          <t>HÄRNÖSAND</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23628-2023</t>
        </is>
      </c>
      <c r="B8798" s="1" t="n">
        <v>45072</v>
      </c>
      <c r="C8798" s="1" t="n">
        <v>45657</v>
      </c>
      <c r="D8798" t="inlineStr">
        <is>
          <t>VÄSTERNORRLANDS LÄN</t>
        </is>
      </c>
      <c r="E8798" t="inlineStr">
        <is>
          <t>HÄRNÖSAND</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23644-2023</t>
        </is>
      </c>
      <c r="B8799" s="1" t="n">
        <v>45072</v>
      </c>
      <c r="C8799" s="1" t="n">
        <v>45657</v>
      </c>
      <c r="D8799" t="inlineStr">
        <is>
          <t>VÄSTERNORRLANDS LÄN</t>
        </is>
      </c>
      <c r="E8799" t="inlineStr">
        <is>
          <t>ÖRNSKÖLDSVIK</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23596-2023</t>
        </is>
      </c>
      <c r="B8800" s="1" t="n">
        <v>45072</v>
      </c>
      <c r="C8800" s="1" t="n">
        <v>45657</v>
      </c>
      <c r="D8800" t="inlineStr">
        <is>
          <t>VÄSTERNORRLANDS LÄN</t>
        </is>
      </c>
      <c r="E8800" t="inlineStr">
        <is>
          <t>ÖRNSKÖLDSVIK</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23016-2023</t>
        </is>
      </c>
      <c r="B8801" s="1" t="n">
        <v>45073</v>
      </c>
      <c r="C8801" s="1" t="n">
        <v>45657</v>
      </c>
      <c r="D8801" t="inlineStr">
        <is>
          <t>VÄSTERNORRLANDS LÄN</t>
        </is>
      </c>
      <c r="E8801" t="inlineStr">
        <is>
          <t>SOLLEFTEÅ</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23040-2023</t>
        </is>
      </c>
      <c r="B8802" s="1" t="n">
        <v>45074</v>
      </c>
      <c r="C8802" s="1" t="n">
        <v>45657</v>
      </c>
      <c r="D8802" t="inlineStr">
        <is>
          <t>VÄSTERNORRLANDS LÄN</t>
        </is>
      </c>
      <c r="E8802" t="inlineStr">
        <is>
          <t>SUNDSVALL</t>
        </is>
      </c>
      <c r="F8802" t="inlineStr">
        <is>
          <t>SCA</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23094-2023</t>
        </is>
      </c>
      <c r="B8803" s="1" t="n">
        <v>45075</v>
      </c>
      <c r="C8803" s="1" t="n">
        <v>45657</v>
      </c>
      <c r="D8803" t="inlineStr">
        <is>
          <t>VÄSTERNORRLANDS LÄN</t>
        </is>
      </c>
      <c r="E8803" t="inlineStr">
        <is>
          <t>SUNDSVALL</t>
        </is>
      </c>
      <c r="G8803" t="n">
        <v>7.7</v>
      </c>
      <c r="H8803" t="n">
        <v>0</v>
      </c>
      <c r="I8803" t="n">
        <v>0</v>
      </c>
      <c r="J8803" t="n">
        <v>0</v>
      </c>
      <c r="K8803" t="n">
        <v>0</v>
      </c>
      <c r="L8803" t="n">
        <v>0</v>
      </c>
      <c r="M8803" t="n">
        <v>0</v>
      </c>
      <c r="N8803" t="n">
        <v>0</v>
      </c>
      <c r="O8803" t="n">
        <v>0</v>
      </c>
      <c r="P8803" t="n">
        <v>0</v>
      </c>
      <c r="Q8803" t="n">
        <v>0</v>
      </c>
      <c r="R8803" s="2" t="inlineStr"/>
    </row>
    <row r="8804" ht="15" customHeight="1">
      <c r="A8804" t="inlineStr">
        <is>
          <t>A 23075-2023</t>
        </is>
      </c>
      <c r="B8804" s="1" t="n">
        <v>45075</v>
      </c>
      <c r="C8804" s="1" t="n">
        <v>45657</v>
      </c>
      <c r="D8804" t="inlineStr">
        <is>
          <t>VÄSTERNORRLANDS LÄN</t>
        </is>
      </c>
      <c r="E8804" t="inlineStr">
        <is>
          <t>HÄRNÖSAND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23100-2023</t>
        </is>
      </c>
      <c r="B8805" s="1" t="n">
        <v>45075</v>
      </c>
      <c r="C8805" s="1" t="n">
        <v>45657</v>
      </c>
      <c r="D8805" t="inlineStr">
        <is>
          <t>VÄSTERNORRLANDS LÄN</t>
        </is>
      </c>
      <c r="E8805" t="inlineStr">
        <is>
          <t>ÖRNSKÖLDSVIK</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23282-2023</t>
        </is>
      </c>
      <c r="B8806" s="1" t="n">
        <v>45076</v>
      </c>
      <c r="C8806" s="1" t="n">
        <v>45657</v>
      </c>
      <c r="D8806" t="inlineStr">
        <is>
          <t>VÄSTERNORRLANDS LÄN</t>
        </is>
      </c>
      <c r="E8806" t="inlineStr">
        <is>
          <t>SUNDSVALL</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23286-2023</t>
        </is>
      </c>
      <c r="B8807" s="1" t="n">
        <v>45075</v>
      </c>
      <c r="C8807" s="1" t="n">
        <v>45657</v>
      </c>
      <c r="D8807" t="inlineStr">
        <is>
          <t>VÄSTERNORRLANDS LÄN</t>
        </is>
      </c>
      <c r="E8807" t="inlineStr">
        <is>
          <t>SOLLEFTEÅ</t>
        </is>
      </c>
      <c r="G8807" t="n">
        <v>0.1</v>
      </c>
      <c r="H8807" t="n">
        <v>0</v>
      </c>
      <c r="I8807" t="n">
        <v>0</v>
      </c>
      <c r="J8807" t="n">
        <v>0</v>
      </c>
      <c r="K8807" t="n">
        <v>0</v>
      </c>
      <c r="L8807" t="n">
        <v>0</v>
      </c>
      <c r="M8807" t="n">
        <v>0</v>
      </c>
      <c r="N8807" t="n">
        <v>0</v>
      </c>
      <c r="O8807" t="n">
        <v>0</v>
      </c>
      <c r="P8807" t="n">
        <v>0</v>
      </c>
      <c r="Q8807" t="n">
        <v>0</v>
      </c>
      <c r="R8807" s="2" t="inlineStr"/>
    </row>
    <row r="8808" ht="15" customHeight="1">
      <c r="A8808" t="inlineStr">
        <is>
          <t>A 23097-2023</t>
        </is>
      </c>
      <c r="B8808" s="1" t="n">
        <v>45075</v>
      </c>
      <c r="C8808" s="1" t="n">
        <v>45657</v>
      </c>
      <c r="D8808" t="inlineStr">
        <is>
          <t>VÄSTERNORRLANDS LÄN</t>
        </is>
      </c>
      <c r="E8808" t="inlineStr">
        <is>
          <t>ÖRNSKÖLDSVIK</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23284-2023</t>
        </is>
      </c>
      <c r="B8809" s="1" t="n">
        <v>45075</v>
      </c>
      <c r="C8809" s="1" t="n">
        <v>45657</v>
      </c>
      <c r="D8809" t="inlineStr">
        <is>
          <t>VÄSTERNORRLANDS LÄN</t>
        </is>
      </c>
      <c r="E8809" t="inlineStr">
        <is>
          <t>SUNDSVALL</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23277-2023</t>
        </is>
      </c>
      <c r="B8810" s="1" t="n">
        <v>45075</v>
      </c>
      <c r="C8810" s="1" t="n">
        <v>45657</v>
      </c>
      <c r="D8810" t="inlineStr">
        <is>
          <t>VÄSTERNORRLANDS LÄN</t>
        </is>
      </c>
      <c r="E8810" t="inlineStr">
        <is>
          <t>SOLLEFTEÅ</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23285-2023</t>
        </is>
      </c>
      <c r="B8811" s="1" t="n">
        <v>45075</v>
      </c>
      <c r="C8811" s="1" t="n">
        <v>45657</v>
      </c>
      <c r="D8811" t="inlineStr">
        <is>
          <t>VÄSTERNORRLANDS LÄN</t>
        </is>
      </c>
      <c r="E8811" t="inlineStr">
        <is>
          <t>SOLLEFTEÅ</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23289-2023</t>
        </is>
      </c>
      <c r="B8812" s="1" t="n">
        <v>45075</v>
      </c>
      <c r="C8812" s="1" t="n">
        <v>45657</v>
      </c>
      <c r="D8812" t="inlineStr">
        <is>
          <t>VÄSTERNORRLANDS LÄN</t>
        </is>
      </c>
      <c r="E8812" t="inlineStr">
        <is>
          <t>SOLLEFTEÅ</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23283-2023</t>
        </is>
      </c>
      <c r="B8813" s="1" t="n">
        <v>45075</v>
      </c>
      <c r="C8813" s="1" t="n">
        <v>45657</v>
      </c>
      <c r="D8813" t="inlineStr">
        <is>
          <t>VÄSTERNORRLANDS LÄN</t>
        </is>
      </c>
      <c r="E8813" t="inlineStr">
        <is>
          <t>SUNDSVALL</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23287-2023</t>
        </is>
      </c>
      <c r="B8814" s="1" t="n">
        <v>45075</v>
      </c>
      <c r="C8814" s="1" t="n">
        <v>45657</v>
      </c>
      <c r="D8814" t="inlineStr">
        <is>
          <t>VÄSTERNORRLANDS LÄN</t>
        </is>
      </c>
      <c r="E8814" t="inlineStr">
        <is>
          <t>SOLLEFTEÅ</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23308-2023</t>
        </is>
      </c>
      <c r="B8815" s="1" t="n">
        <v>45075</v>
      </c>
      <c r="C8815" s="1" t="n">
        <v>45657</v>
      </c>
      <c r="D8815" t="inlineStr">
        <is>
          <t>VÄSTERNORRLANDS LÄN</t>
        </is>
      </c>
      <c r="E8815" t="inlineStr">
        <is>
          <t>ÅNGE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23288-2023</t>
        </is>
      </c>
      <c r="B8816" s="1" t="n">
        <v>45075</v>
      </c>
      <c r="C8816" s="1" t="n">
        <v>45657</v>
      </c>
      <c r="D8816" t="inlineStr">
        <is>
          <t>VÄSTERNORRLANDS LÄN</t>
        </is>
      </c>
      <c r="E8816" t="inlineStr">
        <is>
          <t>SOLLEFTEÅ</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23307-2023</t>
        </is>
      </c>
      <c r="B8817" s="1" t="n">
        <v>45075</v>
      </c>
      <c r="C8817" s="1" t="n">
        <v>45657</v>
      </c>
      <c r="D8817" t="inlineStr">
        <is>
          <t>VÄSTERNORRLANDS LÄN</t>
        </is>
      </c>
      <c r="E8817" t="inlineStr">
        <is>
          <t>ÅNGE</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23889-2023</t>
        </is>
      </c>
      <c r="B8818" s="1" t="n">
        <v>45075</v>
      </c>
      <c r="C8818" s="1" t="n">
        <v>45657</v>
      </c>
      <c r="D8818" t="inlineStr">
        <is>
          <t>VÄSTERNORRLANDS LÄN</t>
        </is>
      </c>
      <c r="E8818" t="inlineStr">
        <is>
          <t>SUNDSVALL</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23809-2023</t>
        </is>
      </c>
      <c r="B8819" s="1" t="n">
        <v>45075</v>
      </c>
      <c r="C8819" s="1" t="n">
        <v>45657</v>
      </c>
      <c r="D8819" t="inlineStr">
        <is>
          <t>VÄSTERNORRLANDS LÄN</t>
        </is>
      </c>
      <c r="E8819" t="inlineStr">
        <is>
          <t>SUNDSVALL</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23336-2023</t>
        </is>
      </c>
      <c r="B8820" s="1" t="n">
        <v>45076</v>
      </c>
      <c r="C8820" s="1" t="n">
        <v>45657</v>
      </c>
      <c r="D8820" t="inlineStr">
        <is>
          <t>VÄSTERNORRLANDS LÄN</t>
        </is>
      </c>
      <c r="E8820" t="inlineStr">
        <is>
          <t>ÖRNSKÖLDSVIK</t>
        </is>
      </c>
      <c r="F8820" t="inlineStr">
        <is>
          <t>Holmen skog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23404-2023</t>
        </is>
      </c>
      <c r="B8821" s="1" t="n">
        <v>45076</v>
      </c>
      <c r="C8821" s="1" t="n">
        <v>45657</v>
      </c>
      <c r="D8821" t="inlineStr">
        <is>
          <t>VÄSTERNORRLANDS LÄN</t>
        </is>
      </c>
      <c r="E8821" t="inlineStr">
        <is>
          <t>SUNDSVALL</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23428-2023</t>
        </is>
      </c>
      <c r="B8822" s="1" t="n">
        <v>45076</v>
      </c>
      <c r="C8822" s="1" t="n">
        <v>45657</v>
      </c>
      <c r="D8822" t="inlineStr">
        <is>
          <t>VÄSTERNORRLANDS LÄN</t>
        </is>
      </c>
      <c r="E8822" t="inlineStr">
        <is>
          <t>ÖRNSKÖLDSVIK</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23432-2023</t>
        </is>
      </c>
      <c r="B8823" s="1" t="n">
        <v>45076</v>
      </c>
      <c r="C8823" s="1" t="n">
        <v>45657</v>
      </c>
      <c r="D8823" t="inlineStr">
        <is>
          <t>VÄSTERNORRLANDS LÄN</t>
        </is>
      </c>
      <c r="E8823" t="inlineStr">
        <is>
          <t>ÖRNSKÖLDSVIK</t>
        </is>
      </c>
      <c r="F8823" t="inlineStr">
        <is>
          <t>Holmen skog AB</t>
        </is>
      </c>
      <c r="G8823" t="n">
        <v>8.199999999999999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23329-2023</t>
        </is>
      </c>
      <c r="B8824" s="1" t="n">
        <v>45076</v>
      </c>
      <c r="C8824" s="1" t="n">
        <v>45657</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23471-2023</t>
        </is>
      </c>
      <c r="B8825" s="1" t="n">
        <v>45076</v>
      </c>
      <c r="C8825" s="1" t="n">
        <v>45657</v>
      </c>
      <c r="D8825" t="inlineStr">
        <is>
          <t>VÄSTERNORRLANDS LÄN</t>
        </is>
      </c>
      <c r="E8825" t="inlineStr">
        <is>
          <t>ÖRNSKÖLDSVIK</t>
        </is>
      </c>
      <c r="F8825" t="inlineStr">
        <is>
          <t>Holmen skog AB</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23433-2023</t>
        </is>
      </c>
      <c r="B8826" s="1" t="n">
        <v>45076</v>
      </c>
      <c r="C8826" s="1" t="n">
        <v>45657</v>
      </c>
      <c r="D8826" t="inlineStr">
        <is>
          <t>VÄSTERNORRLANDS LÄN</t>
        </is>
      </c>
      <c r="E8826" t="inlineStr">
        <is>
          <t>ÖRNSKÖLDSVIK</t>
        </is>
      </c>
      <c r="F8826" t="inlineStr">
        <is>
          <t>Holmen skog AB</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23470-2023</t>
        </is>
      </c>
      <c r="B8827" s="1" t="n">
        <v>45076</v>
      </c>
      <c r="C8827" s="1" t="n">
        <v>45657</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23512-2023</t>
        </is>
      </c>
      <c r="B8828" s="1" t="n">
        <v>45076</v>
      </c>
      <c r="C8828" s="1" t="n">
        <v>45657</v>
      </c>
      <c r="D8828" t="inlineStr">
        <is>
          <t>VÄSTERNORRLANDS LÄN</t>
        </is>
      </c>
      <c r="E8828" t="inlineStr">
        <is>
          <t>HÄRNÖSAND</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23514-2023</t>
        </is>
      </c>
      <c r="B8829" s="1" t="n">
        <v>45076</v>
      </c>
      <c r="C8829" s="1" t="n">
        <v>45657</v>
      </c>
      <c r="D8829" t="inlineStr">
        <is>
          <t>VÄSTERNORRLANDS LÄN</t>
        </is>
      </c>
      <c r="E8829" t="inlineStr">
        <is>
          <t>SUNDSVALL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23520-2023</t>
        </is>
      </c>
      <c r="B8830" s="1" t="n">
        <v>45077</v>
      </c>
      <c r="C8830" s="1" t="n">
        <v>45657</v>
      </c>
      <c r="D8830" t="inlineStr">
        <is>
          <t>VÄSTERNORRLANDS LÄN</t>
        </is>
      </c>
      <c r="E8830" t="inlineStr">
        <is>
          <t>ÅNGE</t>
        </is>
      </c>
      <c r="F8830" t="inlineStr">
        <is>
          <t>SCA</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23482-2023</t>
        </is>
      </c>
      <c r="B8831" s="1" t="n">
        <v>45076</v>
      </c>
      <c r="C8831" s="1" t="n">
        <v>45657</v>
      </c>
      <c r="D8831" t="inlineStr">
        <is>
          <t>VÄSTERNORRLANDS LÄN</t>
        </is>
      </c>
      <c r="E8831" t="inlineStr">
        <is>
          <t>ÖRNSKÖLDSVIK</t>
        </is>
      </c>
      <c r="F8831" t="inlineStr">
        <is>
          <t>Holmen skog AB</t>
        </is>
      </c>
      <c r="G8831" t="n">
        <v>12.2</v>
      </c>
      <c r="H8831" t="n">
        <v>0</v>
      </c>
      <c r="I8831" t="n">
        <v>0</v>
      </c>
      <c r="J8831" t="n">
        <v>0</v>
      </c>
      <c r="K8831" t="n">
        <v>0</v>
      </c>
      <c r="L8831" t="n">
        <v>0</v>
      </c>
      <c r="M8831" t="n">
        <v>0</v>
      </c>
      <c r="N8831" t="n">
        <v>0</v>
      </c>
      <c r="O8831" t="n">
        <v>0</v>
      </c>
      <c r="P8831" t="n">
        <v>0</v>
      </c>
      <c r="Q8831" t="n">
        <v>0</v>
      </c>
      <c r="R8831" s="2" t="inlineStr"/>
    </row>
    <row r="8832" ht="15" customHeight="1">
      <c r="A8832" t="inlineStr">
        <is>
          <t>A 23513-2023</t>
        </is>
      </c>
      <c r="B8832" s="1" t="n">
        <v>45076</v>
      </c>
      <c r="C8832" s="1" t="n">
        <v>45657</v>
      </c>
      <c r="D8832" t="inlineStr">
        <is>
          <t>VÄSTERNORRLANDS LÄN</t>
        </is>
      </c>
      <c r="E8832" t="inlineStr">
        <is>
          <t>SUNDSVALL</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23523-2023</t>
        </is>
      </c>
      <c r="B8833" s="1" t="n">
        <v>45076</v>
      </c>
      <c r="C8833" s="1" t="n">
        <v>45657</v>
      </c>
      <c r="D8833" t="inlineStr">
        <is>
          <t>VÄSTERNORRLANDS LÄN</t>
        </is>
      </c>
      <c r="E8833" t="inlineStr">
        <is>
          <t>SOLLEFTEÅ</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23527-2023</t>
        </is>
      </c>
      <c r="B8834" s="1" t="n">
        <v>45076</v>
      </c>
      <c r="C8834" s="1" t="n">
        <v>45657</v>
      </c>
      <c r="D8834" t="inlineStr">
        <is>
          <t>VÄSTERNORRLANDS LÄN</t>
        </is>
      </c>
      <c r="E8834" t="inlineStr">
        <is>
          <t>SOLLEFTEÅ</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24366-2023</t>
        </is>
      </c>
      <c r="B8835" s="1" t="n">
        <v>45076</v>
      </c>
      <c r="C8835" s="1" t="n">
        <v>45657</v>
      </c>
      <c r="D8835" t="inlineStr">
        <is>
          <t>VÄSTERNORRLANDS LÄN</t>
        </is>
      </c>
      <c r="E8835" t="inlineStr">
        <is>
          <t>ÖRNSKÖLDSVIK</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24152-2023</t>
        </is>
      </c>
      <c r="B8836" s="1" t="n">
        <v>45076</v>
      </c>
      <c r="C8836" s="1" t="n">
        <v>45657</v>
      </c>
      <c r="D8836" t="inlineStr">
        <is>
          <t>VÄSTERNORRLANDS LÄN</t>
        </is>
      </c>
      <c r="E8836" t="inlineStr">
        <is>
          <t>SUNDSVALL</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24155-2023</t>
        </is>
      </c>
      <c r="B8837" s="1" t="n">
        <v>45076</v>
      </c>
      <c r="C8837" s="1" t="n">
        <v>45657</v>
      </c>
      <c r="D8837" t="inlineStr">
        <is>
          <t>VÄSTERNORRLANDS LÄN</t>
        </is>
      </c>
      <c r="E8837" t="inlineStr">
        <is>
          <t>SUNDSVALL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23640-2023</t>
        </is>
      </c>
      <c r="B8838" s="1" t="n">
        <v>45077</v>
      </c>
      <c r="C8838" s="1" t="n">
        <v>45657</v>
      </c>
      <c r="D8838" t="inlineStr">
        <is>
          <t>VÄSTERNORRLANDS LÄN</t>
        </is>
      </c>
      <c r="E8838" t="inlineStr">
        <is>
          <t>ÖRNSKÖLDSVIK</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23671-2023</t>
        </is>
      </c>
      <c r="B8839" s="1" t="n">
        <v>45077</v>
      </c>
      <c r="C8839" s="1" t="n">
        <v>45657</v>
      </c>
      <c r="D8839" t="inlineStr">
        <is>
          <t>VÄSTERNORRLANDS LÄN</t>
        </is>
      </c>
      <c r="E8839" t="inlineStr">
        <is>
          <t>ÅNGE</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23781-2023</t>
        </is>
      </c>
      <c r="B8840" s="1" t="n">
        <v>45077</v>
      </c>
      <c r="C8840" s="1" t="n">
        <v>45657</v>
      </c>
      <c r="D8840" t="inlineStr">
        <is>
          <t>VÄSTERNORRLANDS LÄN</t>
        </is>
      </c>
      <c r="E8840" t="inlineStr">
        <is>
          <t>SUNDSVALL</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23746-2023</t>
        </is>
      </c>
      <c r="B8841" s="1" t="n">
        <v>45077</v>
      </c>
      <c r="C8841" s="1" t="n">
        <v>45657</v>
      </c>
      <c r="D8841" t="inlineStr">
        <is>
          <t>VÄSTERNORRLANDS LÄN</t>
        </is>
      </c>
      <c r="E8841" t="inlineStr">
        <is>
          <t>ÅNGE</t>
        </is>
      </c>
      <c r="F8841" t="inlineStr">
        <is>
          <t>Holmen skog AB</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23758-2023</t>
        </is>
      </c>
      <c r="B8842" s="1" t="n">
        <v>45078</v>
      </c>
      <c r="C8842" s="1" t="n">
        <v>45657</v>
      </c>
      <c r="D8842" t="inlineStr">
        <is>
          <t>VÄSTERNORRLANDS LÄN</t>
        </is>
      </c>
      <c r="E8842" t="inlineStr">
        <is>
          <t>SUNDSVALL</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23725-2023</t>
        </is>
      </c>
      <c r="B8843" s="1" t="n">
        <v>45077</v>
      </c>
      <c r="C8843" s="1" t="n">
        <v>45657</v>
      </c>
      <c r="D8843" t="inlineStr">
        <is>
          <t>VÄSTERNORRLANDS LÄN</t>
        </is>
      </c>
      <c r="E8843" t="inlineStr">
        <is>
          <t>ÖRNSKÖLDSVIK</t>
        </is>
      </c>
      <c r="F8843" t="inlineStr">
        <is>
          <t>Holmen skog AB</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23775-2023</t>
        </is>
      </c>
      <c r="B8844" s="1" t="n">
        <v>45078</v>
      </c>
      <c r="C8844" s="1" t="n">
        <v>45657</v>
      </c>
      <c r="D8844" t="inlineStr">
        <is>
          <t>VÄSTERNORRLANDS LÄN</t>
        </is>
      </c>
      <c r="E8844" t="inlineStr">
        <is>
          <t>ÖRNSKÖLDSVIK</t>
        </is>
      </c>
      <c r="F8844" t="inlineStr">
        <is>
          <t>SCA</t>
        </is>
      </c>
      <c r="G8844" t="n">
        <v>63.6</v>
      </c>
      <c r="H8844" t="n">
        <v>0</v>
      </c>
      <c r="I8844" t="n">
        <v>0</v>
      </c>
      <c r="J8844" t="n">
        <v>0</v>
      </c>
      <c r="K8844" t="n">
        <v>0</v>
      </c>
      <c r="L8844" t="n">
        <v>0</v>
      </c>
      <c r="M8844" t="n">
        <v>0</v>
      </c>
      <c r="N8844" t="n">
        <v>0</v>
      </c>
      <c r="O8844" t="n">
        <v>0</v>
      </c>
      <c r="P8844" t="n">
        <v>0</v>
      </c>
      <c r="Q8844" t="n">
        <v>0</v>
      </c>
      <c r="R8844" s="2" t="inlineStr"/>
    </row>
    <row r="8845" ht="15" customHeight="1">
      <c r="A8845" t="inlineStr">
        <is>
          <t>A 24531-2023</t>
        </is>
      </c>
      <c r="B8845" s="1" t="n">
        <v>45077</v>
      </c>
      <c r="C8845" s="1" t="n">
        <v>45657</v>
      </c>
      <c r="D8845" t="inlineStr">
        <is>
          <t>VÄSTERNORRLANDS LÄN</t>
        </is>
      </c>
      <c r="E8845" t="inlineStr">
        <is>
          <t>ÖRNSKÖLDSVIK</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23788-2023</t>
        </is>
      </c>
      <c r="B8846" s="1" t="n">
        <v>45078</v>
      </c>
      <c r="C8846" s="1" t="n">
        <v>45657</v>
      </c>
      <c r="D8846" t="inlineStr">
        <is>
          <t>VÄSTERNORRLANDS LÄN</t>
        </is>
      </c>
      <c r="E8846" t="inlineStr">
        <is>
          <t>ÖRNSKÖLDSVIK</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23840-2023</t>
        </is>
      </c>
      <c r="B8847" s="1" t="n">
        <v>45078</v>
      </c>
      <c r="C8847" s="1" t="n">
        <v>45657</v>
      </c>
      <c r="D8847" t="inlineStr">
        <is>
          <t>VÄSTERNORRLANDS LÄN</t>
        </is>
      </c>
      <c r="E8847" t="inlineStr">
        <is>
          <t>ÖRNSKÖLDSVIK</t>
        </is>
      </c>
      <c r="F8847" t="inlineStr">
        <is>
          <t>Holmen skog AB</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23804-2023</t>
        </is>
      </c>
      <c r="B8848" s="1" t="n">
        <v>45078</v>
      </c>
      <c r="C8848" s="1" t="n">
        <v>45657</v>
      </c>
      <c r="D8848" t="inlineStr">
        <is>
          <t>VÄSTERNORRLANDS LÄN</t>
        </is>
      </c>
      <c r="E8848" t="inlineStr">
        <is>
          <t>ÖRNSKÖLDSVIK</t>
        </is>
      </c>
      <c r="F8848" t="inlineStr">
        <is>
          <t>Holmen skog AB</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23790-2023</t>
        </is>
      </c>
      <c r="B8849" s="1" t="n">
        <v>45078</v>
      </c>
      <c r="C8849" s="1" t="n">
        <v>45657</v>
      </c>
      <c r="D8849" t="inlineStr">
        <is>
          <t>VÄSTERNORRLANDS LÄN</t>
        </is>
      </c>
      <c r="E8849" t="inlineStr">
        <is>
          <t>ÖRNSKÖLDSVIK</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23891-2023</t>
        </is>
      </c>
      <c r="B8850" s="1" t="n">
        <v>45078</v>
      </c>
      <c r="C8850" s="1" t="n">
        <v>45657</v>
      </c>
      <c r="D8850" t="inlineStr">
        <is>
          <t>VÄSTERNORRLANDS LÄN</t>
        </is>
      </c>
      <c r="E8850" t="inlineStr">
        <is>
          <t>ÖRNSKÖLDSVIK</t>
        </is>
      </c>
      <c r="F8850" t="inlineStr">
        <is>
          <t>Holmen skog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24037-2023</t>
        </is>
      </c>
      <c r="B8851" s="1" t="n">
        <v>45078</v>
      </c>
      <c r="C8851" s="1" t="n">
        <v>45657</v>
      </c>
      <c r="D8851" t="inlineStr">
        <is>
          <t>VÄSTERNORRLANDS LÄN</t>
        </is>
      </c>
      <c r="E8851" t="inlineStr">
        <is>
          <t>ÅNGE</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23944-2023</t>
        </is>
      </c>
      <c r="B8852" s="1" t="n">
        <v>45078</v>
      </c>
      <c r="C8852" s="1" t="n">
        <v>45657</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23976-2023</t>
        </is>
      </c>
      <c r="B8853" s="1" t="n">
        <v>45078</v>
      </c>
      <c r="C8853" s="1" t="n">
        <v>45657</v>
      </c>
      <c r="D8853" t="inlineStr">
        <is>
          <t>VÄSTERNORRLANDS LÄN</t>
        </is>
      </c>
      <c r="E8853" t="inlineStr">
        <is>
          <t>ÖRNSKÖLDSVIK</t>
        </is>
      </c>
      <c r="F8853" t="inlineStr">
        <is>
          <t>Holmen skog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24058-2023</t>
        </is>
      </c>
      <c r="B8854" s="1" t="n">
        <v>45079</v>
      </c>
      <c r="C8854" s="1" t="n">
        <v>45657</v>
      </c>
      <c r="D8854" t="inlineStr">
        <is>
          <t>VÄSTERNORRLANDS LÄN</t>
        </is>
      </c>
      <c r="E8854" t="inlineStr">
        <is>
          <t>ÅNGE</t>
        </is>
      </c>
      <c r="F8854" t="inlineStr">
        <is>
          <t>SCA</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24042-2023</t>
        </is>
      </c>
      <c r="B8855" s="1" t="n">
        <v>45078</v>
      </c>
      <c r="C8855" s="1" t="n">
        <v>45657</v>
      </c>
      <c r="D8855" t="inlineStr">
        <is>
          <t>VÄSTERNORRLANDS LÄN</t>
        </is>
      </c>
      <c r="E8855" t="inlineStr">
        <is>
          <t>SUNDSVALL</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24060-2023</t>
        </is>
      </c>
      <c r="B8856" s="1" t="n">
        <v>45079</v>
      </c>
      <c r="C8856" s="1" t="n">
        <v>45657</v>
      </c>
      <c r="D8856" t="inlineStr">
        <is>
          <t>VÄSTERNORRLANDS LÄN</t>
        </is>
      </c>
      <c r="E8856" t="inlineStr">
        <is>
          <t>ÅNGE</t>
        </is>
      </c>
      <c r="F8856" t="inlineStr">
        <is>
          <t>SCA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24061-2023</t>
        </is>
      </c>
      <c r="B8857" s="1" t="n">
        <v>45079</v>
      </c>
      <c r="C8857" s="1" t="n">
        <v>45657</v>
      </c>
      <c r="D8857" t="inlineStr">
        <is>
          <t>VÄSTERNORRLANDS LÄN</t>
        </is>
      </c>
      <c r="E8857" t="inlineStr">
        <is>
          <t>ÅNGE</t>
        </is>
      </c>
      <c r="F8857" t="inlineStr">
        <is>
          <t>SCA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24059-2023</t>
        </is>
      </c>
      <c r="B8858" s="1" t="n">
        <v>45079</v>
      </c>
      <c r="C8858" s="1" t="n">
        <v>45657</v>
      </c>
      <c r="D8858" t="inlineStr">
        <is>
          <t>VÄSTERNORRLANDS LÄN</t>
        </is>
      </c>
      <c r="E8858" t="inlineStr">
        <is>
          <t>ÅNGE</t>
        </is>
      </c>
      <c r="F8858" t="inlineStr">
        <is>
          <t>SCA</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24063-2023</t>
        </is>
      </c>
      <c r="B8859" s="1" t="n">
        <v>45079</v>
      </c>
      <c r="C8859" s="1" t="n">
        <v>45657</v>
      </c>
      <c r="D8859" t="inlineStr">
        <is>
          <t>VÄSTERNORRLANDS LÄN</t>
        </is>
      </c>
      <c r="E8859" t="inlineStr">
        <is>
          <t>ÅNGE</t>
        </is>
      </c>
      <c r="F8859" t="inlineStr">
        <is>
          <t>SCA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24062-2023</t>
        </is>
      </c>
      <c r="B8860" s="1" t="n">
        <v>45079</v>
      </c>
      <c r="C8860" s="1" t="n">
        <v>45657</v>
      </c>
      <c r="D8860" t="inlineStr">
        <is>
          <t>VÄSTERNORRLANDS LÄN</t>
        </is>
      </c>
      <c r="E8860" t="inlineStr">
        <is>
          <t>ÅNGE</t>
        </is>
      </c>
      <c r="F8860" t="inlineStr">
        <is>
          <t>SCA</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24066-2023</t>
        </is>
      </c>
      <c r="B8861" s="1" t="n">
        <v>45078</v>
      </c>
      <c r="C8861" s="1" t="n">
        <v>45657</v>
      </c>
      <c r="D8861" t="inlineStr">
        <is>
          <t>VÄSTERNORRLANDS LÄN</t>
        </is>
      </c>
      <c r="E8861" t="inlineStr">
        <is>
          <t>ÅNGE</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24064-2023</t>
        </is>
      </c>
      <c r="B8862" s="1" t="n">
        <v>45078</v>
      </c>
      <c r="C8862" s="1" t="n">
        <v>45657</v>
      </c>
      <c r="D8862" t="inlineStr">
        <is>
          <t>VÄSTERNORRLANDS LÄN</t>
        </is>
      </c>
      <c r="E8862" t="inlineStr">
        <is>
          <t>ÅNGE</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24072-2023</t>
        </is>
      </c>
      <c r="B8863" s="1" t="n">
        <v>45078</v>
      </c>
      <c r="C8863" s="1" t="n">
        <v>45657</v>
      </c>
      <c r="D8863" t="inlineStr">
        <is>
          <t>VÄSTERNORRLANDS LÄN</t>
        </is>
      </c>
      <c r="E8863" t="inlineStr">
        <is>
          <t>SUNDSVALL</t>
        </is>
      </c>
      <c r="F8863" t="inlineStr">
        <is>
          <t>SCA</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24068-2023</t>
        </is>
      </c>
      <c r="B8864" s="1" t="n">
        <v>45078</v>
      </c>
      <c r="C8864" s="1" t="n">
        <v>45657</v>
      </c>
      <c r="D8864" t="inlineStr">
        <is>
          <t>VÄSTERNORRLANDS LÄN</t>
        </is>
      </c>
      <c r="E8864" t="inlineStr">
        <is>
          <t>ÅNGE</t>
        </is>
      </c>
      <c r="G8864" t="n">
        <v>10.4</v>
      </c>
      <c r="H8864" t="n">
        <v>0</v>
      </c>
      <c r="I8864" t="n">
        <v>0</v>
      </c>
      <c r="J8864" t="n">
        <v>0</v>
      </c>
      <c r="K8864" t="n">
        <v>0</v>
      </c>
      <c r="L8864" t="n">
        <v>0</v>
      </c>
      <c r="M8864" t="n">
        <v>0</v>
      </c>
      <c r="N8864" t="n">
        <v>0</v>
      </c>
      <c r="O8864" t="n">
        <v>0</v>
      </c>
      <c r="P8864" t="n">
        <v>0</v>
      </c>
      <c r="Q8864" t="n">
        <v>0</v>
      </c>
      <c r="R8864" s="2" t="inlineStr"/>
    </row>
    <row r="8865" ht="15" customHeight="1">
      <c r="A8865" t="inlineStr">
        <is>
          <t>A 24895-2023</t>
        </is>
      </c>
      <c r="B8865" s="1" t="n">
        <v>45078</v>
      </c>
      <c r="C8865" s="1" t="n">
        <v>45657</v>
      </c>
      <c r="D8865" t="inlineStr">
        <is>
          <t>VÄSTERNORRLANDS LÄN</t>
        </is>
      </c>
      <c r="E8865" t="inlineStr">
        <is>
          <t>ÖRNSKÖLDSVIK</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24995-2023</t>
        </is>
      </c>
      <c r="B8866" s="1" t="n">
        <v>45078</v>
      </c>
      <c r="C8866" s="1" t="n">
        <v>45657</v>
      </c>
      <c r="D8866" t="inlineStr">
        <is>
          <t>VÄSTERNORRLANDS LÄN</t>
        </is>
      </c>
      <c r="E8866" t="inlineStr">
        <is>
          <t>ÅNGE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24902-2023</t>
        </is>
      </c>
      <c r="B8867" s="1" t="n">
        <v>45078</v>
      </c>
      <c r="C8867" s="1" t="n">
        <v>45657</v>
      </c>
      <c r="D8867" t="inlineStr">
        <is>
          <t>VÄSTERNORRLANDS LÄN</t>
        </is>
      </c>
      <c r="E8867" t="inlineStr">
        <is>
          <t>ÖRNSKÖLDSVIK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25003-2023</t>
        </is>
      </c>
      <c r="B8868" s="1" t="n">
        <v>45078</v>
      </c>
      <c r="C8868" s="1" t="n">
        <v>45657</v>
      </c>
      <c r="D8868" t="inlineStr">
        <is>
          <t>VÄSTERNORRLANDS LÄN</t>
        </is>
      </c>
      <c r="E8868" t="inlineStr">
        <is>
          <t>ÖRNSKÖLDSVIK</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24915-2023</t>
        </is>
      </c>
      <c r="B8869" s="1" t="n">
        <v>45078</v>
      </c>
      <c r="C8869" s="1" t="n">
        <v>45657</v>
      </c>
      <c r="D8869" t="inlineStr">
        <is>
          <t>VÄSTERNORRLANDS LÄN</t>
        </is>
      </c>
      <c r="E8869" t="inlineStr">
        <is>
          <t>ÖRNSKÖLDSVIK</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25082-2023</t>
        </is>
      </c>
      <c r="B8870" s="1" t="n">
        <v>45078</v>
      </c>
      <c r="C8870" s="1" t="n">
        <v>45657</v>
      </c>
      <c r="D8870" t="inlineStr">
        <is>
          <t>VÄSTERNORRLANDS LÄN</t>
        </is>
      </c>
      <c r="E8870" t="inlineStr">
        <is>
          <t>ÖRNSKÖLDSVIK</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24971-2023</t>
        </is>
      </c>
      <c r="B8871" s="1" t="n">
        <v>45078</v>
      </c>
      <c r="C8871" s="1" t="n">
        <v>45657</v>
      </c>
      <c r="D8871" t="inlineStr">
        <is>
          <t>VÄSTERNORRLANDS LÄN</t>
        </is>
      </c>
      <c r="E8871" t="inlineStr">
        <is>
          <t>ÅNGE</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24102-2023</t>
        </is>
      </c>
      <c r="B8872" s="1" t="n">
        <v>45079</v>
      </c>
      <c r="C8872" s="1" t="n">
        <v>45657</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24175-2023</t>
        </is>
      </c>
      <c r="B8873" s="1" t="n">
        <v>45079</v>
      </c>
      <c r="C8873" s="1" t="n">
        <v>45657</v>
      </c>
      <c r="D8873" t="inlineStr">
        <is>
          <t>VÄSTERNORRLANDS LÄN</t>
        </is>
      </c>
      <c r="E8873" t="inlineStr">
        <is>
          <t>ÖRNSKÖLDSVIK</t>
        </is>
      </c>
      <c r="F8873" t="inlineStr">
        <is>
          <t>Holmen skog AB</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24290-2023</t>
        </is>
      </c>
      <c r="B8874" s="1" t="n">
        <v>45080</v>
      </c>
      <c r="C8874" s="1" t="n">
        <v>45657</v>
      </c>
      <c r="D8874" t="inlineStr">
        <is>
          <t>VÄSTERNORRLANDS LÄN</t>
        </is>
      </c>
      <c r="E8874" t="inlineStr">
        <is>
          <t>ÅNGE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24298-2023</t>
        </is>
      </c>
      <c r="B8875" s="1" t="n">
        <v>45079</v>
      </c>
      <c r="C8875" s="1" t="n">
        <v>45657</v>
      </c>
      <c r="D8875" t="inlineStr">
        <is>
          <t>VÄSTERNORRLANDS LÄN</t>
        </is>
      </c>
      <c r="E8875" t="inlineStr">
        <is>
          <t>SUNDSVALL</t>
        </is>
      </c>
      <c r="F8875" t="inlineStr">
        <is>
          <t>SCA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24302-2023</t>
        </is>
      </c>
      <c r="B8876" s="1" t="n">
        <v>45080</v>
      </c>
      <c r="C8876" s="1" t="n">
        <v>45657</v>
      </c>
      <c r="D8876" t="inlineStr">
        <is>
          <t>VÄSTERNORRLANDS LÄN</t>
        </is>
      </c>
      <c r="E8876" t="inlineStr">
        <is>
          <t>HÄRNÖSAND</t>
        </is>
      </c>
      <c r="F8876" t="inlineStr">
        <is>
          <t>SCA</t>
        </is>
      </c>
      <c r="G8876" t="n">
        <v>12.7</v>
      </c>
      <c r="H8876" t="n">
        <v>0</v>
      </c>
      <c r="I8876" t="n">
        <v>0</v>
      </c>
      <c r="J8876" t="n">
        <v>0</v>
      </c>
      <c r="K8876" t="n">
        <v>0</v>
      </c>
      <c r="L8876" t="n">
        <v>0</v>
      </c>
      <c r="M8876" t="n">
        <v>0</v>
      </c>
      <c r="N8876" t="n">
        <v>0</v>
      </c>
      <c r="O8876" t="n">
        <v>0</v>
      </c>
      <c r="P8876" t="n">
        <v>0</v>
      </c>
      <c r="Q8876" t="n">
        <v>0</v>
      </c>
      <c r="R8876" s="2" t="inlineStr"/>
    </row>
    <row r="8877" ht="15" customHeight="1">
      <c r="A8877" t="inlineStr">
        <is>
          <t>A 24306-2023</t>
        </is>
      </c>
      <c r="B8877" s="1" t="n">
        <v>45080</v>
      </c>
      <c r="C8877" s="1" t="n">
        <v>45657</v>
      </c>
      <c r="D8877" t="inlineStr">
        <is>
          <t>VÄSTERNORRLANDS LÄN</t>
        </is>
      </c>
      <c r="E8877" t="inlineStr">
        <is>
          <t>SOLLEFTEÅ</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24293-2023</t>
        </is>
      </c>
      <c r="B8878" s="1" t="n">
        <v>45080</v>
      </c>
      <c r="C8878" s="1" t="n">
        <v>45657</v>
      </c>
      <c r="D8878" t="inlineStr">
        <is>
          <t>VÄSTERNORRLANDS LÄN</t>
        </is>
      </c>
      <c r="E8878" t="inlineStr">
        <is>
          <t>ÅNGE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24305-2023</t>
        </is>
      </c>
      <c r="B8879" s="1" t="n">
        <v>45080</v>
      </c>
      <c r="C8879" s="1" t="n">
        <v>45657</v>
      </c>
      <c r="D8879" t="inlineStr">
        <is>
          <t>VÄSTERNORRLANDS LÄN</t>
        </is>
      </c>
      <c r="E8879" t="inlineStr">
        <is>
          <t>TIMRÅ</t>
        </is>
      </c>
      <c r="F8879" t="inlineStr">
        <is>
          <t>SCA</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24314-2023</t>
        </is>
      </c>
      <c r="B8880" s="1" t="n">
        <v>45079</v>
      </c>
      <c r="C8880" s="1" t="n">
        <v>45657</v>
      </c>
      <c r="D8880" t="inlineStr">
        <is>
          <t>VÄSTERNORRLANDS LÄN</t>
        </is>
      </c>
      <c r="E8880" t="inlineStr">
        <is>
          <t>SOLLEFTEÅ</t>
        </is>
      </c>
      <c r="F8880" t="inlineStr">
        <is>
          <t>SCA</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24296-2023</t>
        </is>
      </c>
      <c r="B8881" s="1" t="n">
        <v>45079</v>
      </c>
      <c r="C8881" s="1" t="n">
        <v>45657</v>
      </c>
      <c r="D8881" t="inlineStr">
        <is>
          <t>VÄSTERNORRLANDS LÄN</t>
        </is>
      </c>
      <c r="E8881" t="inlineStr">
        <is>
          <t>SUNDSVALL</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24304-2023</t>
        </is>
      </c>
      <c r="B8882" s="1" t="n">
        <v>45079</v>
      </c>
      <c r="C8882" s="1" t="n">
        <v>45657</v>
      </c>
      <c r="D8882" t="inlineStr">
        <is>
          <t>VÄSTERNORRLANDS LÄN</t>
        </is>
      </c>
      <c r="E8882" t="inlineStr">
        <is>
          <t>TIMRÅ</t>
        </is>
      </c>
      <c r="F8882" t="inlineStr">
        <is>
          <t>SCA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25210-2023</t>
        </is>
      </c>
      <c r="B8883" s="1" t="n">
        <v>45079</v>
      </c>
      <c r="C8883" s="1" t="n">
        <v>45657</v>
      </c>
      <c r="D8883" t="inlineStr">
        <is>
          <t>VÄSTERNORRLANDS LÄN</t>
        </is>
      </c>
      <c r="E8883" t="inlineStr">
        <is>
          <t>ÖRNSKÖLDSVIK</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25259-2023</t>
        </is>
      </c>
      <c r="B8884" s="1" t="n">
        <v>45079</v>
      </c>
      <c r="C8884" s="1" t="n">
        <v>45657</v>
      </c>
      <c r="D8884" t="inlineStr">
        <is>
          <t>VÄSTERNORRLANDS LÄN</t>
        </is>
      </c>
      <c r="E8884" t="inlineStr">
        <is>
          <t>SOLLEFTEÅ</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25267-2023</t>
        </is>
      </c>
      <c r="B8885" s="1" t="n">
        <v>45079</v>
      </c>
      <c r="C8885" s="1" t="n">
        <v>45657</v>
      </c>
      <c r="D8885" t="inlineStr">
        <is>
          <t>VÄSTERNORRLANDS LÄN</t>
        </is>
      </c>
      <c r="E8885" t="inlineStr">
        <is>
          <t>SOLLEFTEÅ</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25266-2023</t>
        </is>
      </c>
      <c r="B8886" s="1" t="n">
        <v>45079</v>
      </c>
      <c r="C8886" s="1" t="n">
        <v>45657</v>
      </c>
      <c r="D8886" t="inlineStr">
        <is>
          <t>VÄSTERNORRLANDS LÄN</t>
        </is>
      </c>
      <c r="E8886" t="inlineStr">
        <is>
          <t>ÅNGE</t>
        </is>
      </c>
      <c r="G8886" t="n">
        <v>12.2</v>
      </c>
      <c r="H8886" t="n">
        <v>0</v>
      </c>
      <c r="I8886" t="n">
        <v>0</v>
      </c>
      <c r="J8886" t="n">
        <v>0</v>
      </c>
      <c r="K8886" t="n">
        <v>0</v>
      </c>
      <c r="L8886" t="n">
        <v>0</v>
      </c>
      <c r="M8886" t="n">
        <v>0</v>
      </c>
      <c r="N8886" t="n">
        <v>0</v>
      </c>
      <c r="O8886" t="n">
        <v>0</v>
      </c>
      <c r="P8886" t="n">
        <v>0</v>
      </c>
      <c r="Q8886" t="n">
        <v>0</v>
      </c>
      <c r="R8886" s="2" t="inlineStr"/>
    </row>
    <row r="8887" ht="15" customHeight="1">
      <c r="A8887" t="inlineStr">
        <is>
          <t>A 24346-2023</t>
        </is>
      </c>
      <c r="B8887" s="1" t="n">
        <v>45081</v>
      </c>
      <c r="C8887" s="1" t="n">
        <v>45657</v>
      </c>
      <c r="D8887" t="inlineStr">
        <is>
          <t>VÄSTERNORRLANDS LÄN</t>
        </is>
      </c>
      <c r="E8887" t="inlineStr">
        <is>
          <t>HÄRNÖSAND</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24347-2023</t>
        </is>
      </c>
      <c r="B8888" s="1" t="n">
        <v>45081</v>
      </c>
      <c r="C8888" s="1" t="n">
        <v>45657</v>
      </c>
      <c r="D8888" t="inlineStr">
        <is>
          <t>VÄSTERNORRLANDS LÄN</t>
        </is>
      </c>
      <c r="E8888" t="inlineStr">
        <is>
          <t>HÄRNÖSAND</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24485-2023</t>
        </is>
      </c>
      <c r="B8889" s="1" t="n">
        <v>45082</v>
      </c>
      <c r="C8889" s="1" t="n">
        <v>45657</v>
      </c>
      <c r="D8889" t="inlineStr">
        <is>
          <t>VÄSTERNORRLANDS LÄN</t>
        </is>
      </c>
      <c r="E8889" t="inlineStr">
        <is>
          <t>SUNDSVALL</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24360-2023</t>
        </is>
      </c>
      <c r="B8890" s="1" t="n">
        <v>45082</v>
      </c>
      <c r="C8890" s="1" t="n">
        <v>45657</v>
      </c>
      <c r="D8890" t="inlineStr">
        <is>
          <t>VÄSTERNORRLANDS LÄN</t>
        </is>
      </c>
      <c r="E8890" t="inlineStr">
        <is>
          <t>SUNDSVALL</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24487-2023</t>
        </is>
      </c>
      <c r="B8891" s="1" t="n">
        <v>45082</v>
      </c>
      <c r="C8891" s="1" t="n">
        <v>45657</v>
      </c>
      <c r="D8891" t="inlineStr">
        <is>
          <t>VÄSTERNORRLANDS LÄN</t>
        </is>
      </c>
      <c r="E8891" t="inlineStr">
        <is>
          <t>ÖRNSKÖLDSVIK</t>
        </is>
      </c>
      <c r="F8891" t="inlineStr">
        <is>
          <t>Holmen skog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24433-2023</t>
        </is>
      </c>
      <c r="B8892" s="1" t="n">
        <v>45082</v>
      </c>
      <c r="C8892" s="1" t="n">
        <v>45657</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24437-2023</t>
        </is>
      </c>
      <c r="B8893" s="1" t="n">
        <v>45082</v>
      </c>
      <c r="C8893" s="1" t="n">
        <v>45657</v>
      </c>
      <c r="D8893" t="inlineStr">
        <is>
          <t>VÄSTERNORRLANDS LÄN</t>
        </is>
      </c>
      <c r="E8893" t="inlineStr">
        <is>
          <t>SUNDSVALL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24552-2023</t>
        </is>
      </c>
      <c r="B8894" s="1" t="n">
        <v>45083</v>
      </c>
      <c r="C8894" s="1" t="n">
        <v>45657</v>
      </c>
      <c r="D8894" t="inlineStr">
        <is>
          <t>VÄSTERNORRLANDS LÄN</t>
        </is>
      </c>
      <c r="E8894" t="inlineStr">
        <is>
          <t>ÅNGE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24554-2023</t>
        </is>
      </c>
      <c r="B8895" s="1" t="n">
        <v>45083</v>
      </c>
      <c r="C8895" s="1" t="n">
        <v>45657</v>
      </c>
      <c r="D8895" t="inlineStr">
        <is>
          <t>VÄSTERNORRLANDS LÄN</t>
        </is>
      </c>
      <c r="E8895" t="inlineStr">
        <is>
          <t>ÅNGE</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25282-2023</t>
        </is>
      </c>
      <c r="B8896" s="1" t="n">
        <v>45082</v>
      </c>
      <c r="C8896" s="1" t="n">
        <v>45657</v>
      </c>
      <c r="D8896" t="inlineStr">
        <is>
          <t>VÄSTERNORRLANDS LÄN</t>
        </is>
      </c>
      <c r="E8896" t="inlineStr">
        <is>
          <t>SUNDSVALL</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24497-2023</t>
        </is>
      </c>
      <c r="B8897" s="1" t="n">
        <v>45082</v>
      </c>
      <c r="C8897" s="1" t="n">
        <v>45657</v>
      </c>
      <c r="D8897" t="inlineStr">
        <is>
          <t>VÄSTERNORRLANDS LÄN</t>
        </is>
      </c>
      <c r="E8897" t="inlineStr">
        <is>
          <t>ÖRNSKÖLDSVIK</t>
        </is>
      </c>
      <c r="F8897" t="inlineStr">
        <is>
          <t>Holmen skog AB</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24534-2023</t>
        </is>
      </c>
      <c r="B8898" s="1" t="n">
        <v>45082</v>
      </c>
      <c r="C8898" s="1" t="n">
        <v>45657</v>
      </c>
      <c r="D8898" t="inlineStr">
        <is>
          <t>VÄSTERNORRLANDS LÄN</t>
        </is>
      </c>
      <c r="E8898" t="inlineStr">
        <is>
          <t>ÖRNSKÖLDSVIK</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24546-2023</t>
        </is>
      </c>
      <c r="B8899" s="1" t="n">
        <v>45083</v>
      </c>
      <c r="C8899" s="1" t="n">
        <v>45657</v>
      </c>
      <c r="D8899" t="inlineStr">
        <is>
          <t>VÄSTERNORRLANDS LÄN</t>
        </is>
      </c>
      <c r="E8899" t="inlineStr">
        <is>
          <t>SUNDSVALL</t>
        </is>
      </c>
      <c r="F8899" t="inlineStr">
        <is>
          <t>SCA</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24541-2023</t>
        </is>
      </c>
      <c r="B8900" s="1" t="n">
        <v>45083</v>
      </c>
      <c r="C8900" s="1" t="n">
        <v>45657</v>
      </c>
      <c r="D8900" t="inlineStr">
        <is>
          <t>VÄSTERNORRLANDS LÄN</t>
        </is>
      </c>
      <c r="E8900" t="inlineStr">
        <is>
          <t>ÅNGE</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24553-2023</t>
        </is>
      </c>
      <c r="B8901" s="1" t="n">
        <v>45083</v>
      </c>
      <c r="C8901" s="1" t="n">
        <v>45657</v>
      </c>
      <c r="D8901" t="inlineStr">
        <is>
          <t>VÄSTERNORRLANDS LÄN</t>
        </is>
      </c>
      <c r="E8901" t="inlineStr">
        <is>
          <t>ÅNGE</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25550-2023</t>
        </is>
      </c>
      <c r="B8902" s="1" t="n">
        <v>45082</v>
      </c>
      <c r="C8902" s="1" t="n">
        <v>45657</v>
      </c>
      <c r="D8902" t="inlineStr">
        <is>
          <t>VÄSTERNORRLANDS LÄN</t>
        </is>
      </c>
      <c r="E8902" t="inlineStr">
        <is>
          <t>SOLLEFTEÅ</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24595-2023</t>
        </is>
      </c>
      <c r="B8903" s="1" t="n">
        <v>45084</v>
      </c>
      <c r="C8903" s="1" t="n">
        <v>45657</v>
      </c>
      <c r="D8903" t="inlineStr">
        <is>
          <t>VÄSTERNORRLANDS LÄN</t>
        </is>
      </c>
      <c r="E8903" t="inlineStr">
        <is>
          <t>SOLLEFTEÅ</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24597-2023</t>
        </is>
      </c>
      <c r="B8904" s="1" t="n">
        <v>45083</v>
      </c>
      <c r="C8904" s="1" t="n">
        <v>45657</v>
      </c>
      <c r="D8904" t="inlineStr">
        <is>
          <t>VÄSTERNORRLANDS LÄN</t>
        </is>
      </c>
      <c r="E8904" t="inlineStr">
        <is>
          <t>SOLLEFTEÅ</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24596-2023</t>
        </is>
      </c>
      <c r="B8905" s="1" t="n">
        <v>45084</v>
      </c>
      <c r="C8905" s="1" t="n">
        <v>45657</v>
      </c>
      <c r="D8905" t="inlineStr">
        <is>
          <t>VÄSTERNORRLANDS LÄN</t>
        </is>
      </c>
      <c r="E8905" t="inlineStr">
        <is>
          <t>SOLLEFTEÅ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24614-2023</t>
        </is>
      </c>
      <c r="B8906" s="1" t="n">
        <v>45084</v>
      </c>
      <c r="C8906" s="1" t="n">
        <v>45657</v>
      </c>
      <c r="D8906" t="inlineStr">
        <is>
          <t>VÄSTERNORRLANDS LÄN</t>
        </is>
      </c>
      <c r="E8906" t="inlineStr">
        <is>
          <t>ÅNGE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24672-2023</t>
        </is>
      </c>
      <c r="B8907" s="1" t="n">
        <v>45084</v>
      </c>
      <c r="C8907" s="1" t="n">
        <v>45657</v>
      </c>
      <c r="D8907" t="inlineStr">
        <is>
          <t>VÄSTERNORRLANDS LÄN</t>
        </is>
      </c>
      <c r="E8907" t="inlineStr">
        <is>
          <t>ÖRNSKÖLDSVIK</t>
        </is>
      </c>
      <c r="F8907" t="inlineStr">
        <is>
          <t>Holmen skog AB</t>
        </is>
      </c>
      <c r="G8907" t="n">
        <v>12.1</v>
      </c>
      <c r="H8907" t="n">
        <v>0</v>
      </c>
      <c r="I8907" t="n">
        <v>0</v>
      </c>
      <c r="J8907" t="n">
        <v>0</v>
      </c>
      <c r="K8907" t="n">
        <v>0</v>
      </c>
      <c r="L8907" t="n">
        <v>0</v>
      </c>
      <c r="M8907" t="n">
        <v>0</v>
      </c>
      <c r="N8907" t="n">
        <v>0</v>
      </c>
      <c r="O8907" t="n">
        <v>0</v>
      </c>
      <c r="P8907" t="n">
        <v>0</v>
      </c>
      <c r="Q8907" t="n">
        <v>0</v>
      </c>
      <c r="R8907" s="2" t="inlineStr"/>
    </row>
    <row r="8908" ht="15" customHeight="1">
      <c r="A8908" t="inlineStr">
        <is>
          <t>A 24632-2023</t>
        </is>
      </c>
      <c r="B8908" s="1" t="n">
        <v>45084</v>
      </c>
      <c r="C8908" s="1" t="n">
        <v>45657</v>
      </c>
      <c r="D8908" t="inlineStr">
        <is>
          <t>VÄSTERNORRLANDS LÄN</t>
        </is>
      </c>
      <c r="E8908" t="inlineStr">
        <is>
          <t>SUNDSVALL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24740-2023</t>
        </is>
      </c>
      <c r="B8909" s="1" t="n">
        <v>45084</v>
      </c>
      <c r="C8909" s="1" t="n">
        <v>45657</v>
      </c>
      <c r="D8909" t="inlineStr">
        <is>
          <t>VÄSTERNORRLANDS LÄN</t>
        </is>
      </c>
      <c r="E8909" t="inlineStr">
        <is>
          <t>KRAMFORS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24754-2023</t>
        </is>
      </c>
      <c r="B8910" s="1" t="n">
        <v>45084</v>
      </c>
      <c r="C8910" s="1" t="n">
        <v>45657</v>
      </c>
      <c r="D8910" t="inlineStr">
        <is>
          <t>VÄSTERNORRLANDS LÄN</t>
        </is>
      </c>
      <c r="E8910" t="inlineStr">
        <is>
          <t>ÖRNSKÖLDSVIK</t>
        </is>
      </c>
      <c r="F8910" t="inlineStr">
        <is>
          <t>Holmen skog AB</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24641-2023</t>
        </is>
      </c>
      <c r="B8911" s="1" t="n">
        <v>45084</v>
      </c>
      <c r="C8911" s="1" t="n">
        <v>45657</v>
      </c>
      <c r="D8911" t="inlineStr">
        <is>
          <t>VÄSTERNORRLANDS LÄN</t>
        </is>
      </c>
      <c r="E8911" t="inlineStr">
        <is>
          <t>ÖRNSKÖLDSVIK</t>
        </is>
      </c>
      <c r="F8911" t="inlineStr">
        <is>
          <t>Holmen skog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24744-2023</t>
        </is>
      </c>
      <c r="B8912" s="1" t="n">
        <v>45084</v>
      </c>
      <c r="C8912" s="1" t="n">
        <v>45657</v>
      </c>
      <c r="D8912" t="inlineStr">
        <is>
          <t>VÄSTERNORRLANDS LÄN</t>
        </is>
      </c>
      <c r="E8912" t="inlineStr">
        <is>
          <t>KRAMFORS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24786-2023</t>
        </is>
      </c>
      <c r="B8913" s="1" t="n">
        <v>45084</v>
      </c>
      <c r="C8913" s="1" t="n">
        <v>45657</v>
      </c>
      <c r="D8913" t="inlineStr">
        <is>
          <t>VÄSTERNORRLANDS LÄN</t>
        </is>
      </c>
      <c r="E8913" t="inlineStr">
        <is>
          <t>ÖRNSKÖLDSVIK</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24803-2023</t>
        </is>
      </c>
      <c r="B8914" s="1" t="n">
        <v>45084</v>
      </c>
      <c r="C8914" s="1" t="n">
        <v>45657</v>
      </c>
      <c r="D8914" t="inlineStr">
        <is>
          <t>VÄSTERNORRLANDS LÄN</t>
        </is>
      </c>
      <c r="E8914" t="inlineStr">
        <is>
          <t>ÖRNSKÖLDSVIK</t>
        </is>
      </c>
      <c r="F8914" t="inlineStr">
        <is>
          <t>Holmen skog AB</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24817-2023</t>
        </is>
      </c>
      <c r="B8915" s="1" t="n">
        <v>45084</v>
      </c>
      <c r="C8915" s="1" t="n">
        <v>45657</v>
      </c>
      <c r="D8915" t="inlineStr">
        <is>
          <t>VÄSTERNORRLANDS LÄN</t>
        </is>
      </c>
      <c r="E8915" t="inlineStr">
        <is>
          <t>ÅNGE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25620-2023</t>
        </is>
      </c>
      <c r="B8916" s="1" t="n">
        <v>45084</v>
      </c>
      <c r="C8916" s="1" t="n">
        <v>45657</v>
      </c>
      <c r="D8916" t="inlineStr">
        <is>
          <t>VÄSTERNORRLANDS LÄN</t>
        </is>
      </c>
      <c r="E8916" t="inlineStr">
        <is>
          <t>ÖRNSKÖLDSVIK</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25774-2023</t>
        </is>
      </c>
      <c r="B8917" s="1" t="n">
        <v>45084</v>
      </c>
      <c r="C8917" s="1" t="n">
        <v>45657</v>
      </c>
      <c r="D8917" t="inlineStr">
        <is>
          <t>VÄSTERNORRLANDS LÄN</t>
        </is>
      </c>
      <c r="E8917" t="inlineStr">
        <is>
          <t>ÖRNSKÖLDSVIK</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25630-2023</t>
        </is>
      </c>
      <c r="B8918" s="1" t="n">
        <v>45084</v>
      </c>
      <c r="C8918" s="1" t="n">
        <v>45657</v>
      </c>
      <c r="D8918" t="inlineStr">
        <is>
          <t>VÄSTERNORRLANDS LÄN</t>
        </is>
      </c>
      <c r="E8918" t="inlineStr">
        <is>
          <t>ÖRNSKÖLDSVIK</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24848-2023</t>
        </is>
      </c>
      <c r="B8919" s="1" t="n">
        <v>45085</v>
      </c>
      <c r="C8919" s="1" t="n">
        <v>45657</v>
      </c>
      <c r="D8919" t="inlineStr">
        <is>
          <t>VÄSTERNORRLANDS LÄN</t>
        </is>
      </c>
      <c r="E8919" t="inlineStr">
        <is>
          <t>ÖRNSKÖLDSVIK</t>
        </is>
      </c>
      <c r="F8919" t="inlineStr">
        <is>
          <t>Holmen skog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24867-2023</t>
        </is>
      </c>
      <c r="B8920" s="1" t="n">
        <v>45085</v>
      </c>
      <c r="C8920" s="1" t="n">
        <v>45657</v>
      </c>
      <c r="D8920" t="inlineStr">
        <is>
          <t>VÄSTERNORRLANDS LÄN</t>
        </is>
      </c>
      <c r="E8920" t="inlineStr">
        <is>
          <t>ÖRNSKÖLDSVIK</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24904-2023</t>
        </is>
      </c>
      <c r="B8921" s="1" t="n">
        <v>45085</v>
      </c>
      <c r="C8921" s="1" t="n">
        <v>45657</v>
      </c>
      <c r="D8921" t="inlineStr">
        <is>
          <t>VÄSTERNORRLANDS LÄN</t>
        </is>
      </c>
      <c r="E8921" t="inlineStr">
        <is>
          <t>ÅNGE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24842-2023</t>
        </is>
      </c>
      <c r="B8922" s="1" t="n">
        <v>45085</v>
      </c>
      <c r="C8922" s="1" t="n">
        <v>45657</v>
      </c>
      <c r="D8922" t="inlineStr">
        <is>
          <t>VÄSTERNORRLANDS LÄN</t>
        </is>
      </c>
      <c r="E8922" t="inlineStr">
        <is>
          <t>ÖRNSKÖLDSVIK</t>
        </is>
      </c>
      <c r="F8922" t="inlineStr">
        <is>
          <t>Holmen skog AB</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25035-2023</t>
        </is>
      </c>
      <c r="B8923" s="1" t="n">
        <v>45085</v>
      </c>
      <c r="C8923" s="1" t="n">
        <v>45657</v>
      </c>
      <c r="D8923" t="inlineStr">
        <is>
          <t>VÄSTERNORRLANDS LÄN</t>
        </is>
      </c>
      <c r="E8923" t="inlineStr">
        <is>
          <t>ÅNGE</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25047-2023</t>
        </is>
      </c>
      <c r="B8924" s="1" t="n">
        <v>45086</v>
      </c>
      <c r="C8924" s="1" t="n">
        <v>45657</v>
      </c>
      <c r="D8924" t="inlineStr">
        <is>
          <t>VÄSTERNORRLANDS LÄN</t>
        </is>
      </c>
      <c r="E8924" t="inlineStr">
        <is>
          <t>ÅNGE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25037-2023</t>
        </is>
      </c>
      <c r="B8925" s="1" t="n">
        <v>45086</v>
      </c>
      <c r="C8925" s="1" t="n">
        <v>45657</v>
      </c>
      <c r="D8925" t="inlineStr">
        <is>
          <t>VÄSTERNORRLANDS LÄN</t>
        </is>
      </c>
      <c r="E8925" t="inlineStr">
        <is>
          <t>SUNDSVALL</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25045-2023</t>
        </is>
      </c>
      <c r="B8926" s="1" t="n">
        <v>45085</v>
      </c>
      <c r="C8926" s="1" t="n">
        <v>45657</v>
      </c>
      <c r="D8926" t="inlineStr">
        <is>
          <t>VÄSTERNORRLANDS LÄN</t>
        </is>
      </c>
      <c r="E8926" t="inlineStr">
        <is>
          <t>SUNDSVALL</t>
        </is>
      </c>
      <c r="F8926" t="inlineStr">
        <is>
          <t>SCA</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25063-2023</t>
        </is>
      </c>
      <c r="B8927" s="1" t="n">
        <v>45086</v>
      </c>
      <c r="C8927" s="1" t="n">
        <v>45657</v>
      </c>
      <c r="D8927" t="inlineStr">
        <is>
          <t>VÄSTERNORRLANDS LÄN</t>
        </is>
      </c>
      <c r="E8927" t="inlineStr">
        <is>
          <t>ÅNGE</t>
        </is>
      </c>
      <c r="F8927" t="inlineStr">
        <is>
          <t>SCA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25795-2023</t>
        </is>
      </c>
      <c r="B8928" s="1" t="n">
        <v>45085</v>
      </c>
      <c r="C8928" s="1" t="n">
        <v>45657</v>
      </c>
      <c r="D8928" t="inlineStr">
        <is>
          <t>VÄSTERNORRLANDS LÄN</t>
        </is>
      </c>
      <c r="E8928" t="inlineStr">
        <is>
          <t>SOLLEFTEÅ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25048-2023</t>
        </is>
      </c>
      <c r="B8929" s="1" t="n">
        <v>45085</v>
      </c>
      <c r="C8929" s="1" t="n">
        <v>45657</v>
      </c>
      <c r="D8929" t="inlineStr">
        <is>
          <t>VÄSTERNORRLANDS LÄN</t>
        </is>
      </c>
      <c r="E8929" t="inlineStr">
        <is>
          <t>SUNDSVALL</t>
        </is>
      </c>
      <c r="F8929" t="inlineStr">
        <is>
          <t>SCA</t>
        </is>
      </c>
      <c r="G8929" t="n">
        <v>10.4</v>
      </c>
      <c r="H8929" t="n">
        <v>0</v>
      </c>
      <c r="I8929" t="n">
        <v>0</v>
      </c>
      <c r="J8929" t="n">
        <v>0</v>
      </c>
      <c r="K8929" t="n">
        <v>0</v>
      </c>
      <c r="L8929" t="n">
        <v>0</v>
      </c>
      <c r="M8929" t="n">
        <v>0</v>
      </c>
      <c r="N8929" t="n">
        <v>0</v>
      </c>
      <c r="O8929" t="n">
        <v>0</v>
      </c>
      <c r="P8929" t="n">
        <v>0</v>
      </c>
      <c r="Q8929" t="n">
        <v>0</v>
      </c>
      <c r="R8929" s="2" t="inlineStr"/>
    </row>
    <row r="8930" ht="15" customHeight="1">
      <c r="A8930" t="inlineStr">
        <is>
          <t>A 25065-2023</t>
        </is>
      </c>
      <c r="B8930" s="1" t="n">
        <v>45085</v>
      </c>
      <c r="C8930" s="1" t="n">
        <v>45657</v>
      </c>
      <c r="D8930" t="inlineStr">
        <is>
          <t>VÄSTERNORRLANDS LÄN</t>
        </is>
      </c>
      <c r="E8930" t="inlineStr">
        <is>
          <t>SUNDSVALL</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25781-2023</t>
        </is>
      </c>
      <c r="B8931" s="1" t="n">
        <v>45085</v>
      </c>
      <c r="C8931" s="1" t="n">
        <v>45657</v>
      </c>
      <c r="D8931" t="inlineStr">
        <is>
          <t>VÄSTERNORRLANDS LÄN</t>
        </is>
      </c>
      <c r="E8931" t="inlineStr">
        <is>
          <t>KRAMFORS</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25848-2023</t>
        </is>
      </c>
      <c r="B8932" s="1" t="n">
        <v>45085</v>
      </c>
      <c r="C8932" s="1" t="n">
        <v>45657</v>
      </c>
      <c r="D8932" t="inlineStr">
        <is>
          <t>VÄSTERNORRLANDS LÄN</t>
        </is>
      </c>
      <c r="E8932" t="inlineStr">
        <is>
          <t>SOLLEFTEÅ</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25927-2023</t>
        </is>
      </c>
      <c r="B8933" s="1" t="n">
        <v>45085</v>
      </c>
      <c r="C8933" s="1" t="n">
        <v>45657</v>
      </c>
      <c r="D8933" t="inlineStr">
        <is>
          <t>VÄSTERNORRLANDS LÄN</t>
        </is>
      </c>
      <c r="E8933" t="inlineStr">
        <is>
          <t>ÖRNSKÖLDSVIK</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24994-2023</t>
        </is>
      </c>
      <c r="B8934" s="1" t="n">
        <v>45085</v>
      </c>
      <c r="C8934" s="1" t="n">
        <v>45657</v>
      </c>
      <c r="D8934" t="inlineStr">
        <is>
          <t>VÄSTERNORRLANDS LÄN</t>
        </is>
      </c>
      <c r="E8934" t="inlineStr">
        <is>
          <t>ÖRNSKÖLDSVIK</t>
        </is>
      </c>
      <c r="F8934" t="inlineStr">
        <is>
          <t>Holmen skog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25034-2023</t>
        </is>
      </c>
      <c r="B8935" s="1" t="n">
        <v>45085</v>
      </c>
      <c r="C8935" s="1" t="n">
        <v>45657</v>
      </c>
      <c r="D8935" t="inlineStr">
        <is>
          <t>VÄSTERNORRLANDS LÄN</t>
        </is>
      </c>
      <c r="E8935" t="inlineStr">
        <is>
          <t>ÅNGE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25046-2023</t>
        </is>
      </c>
      <c r="B8936" s="1" t="n">
        <v>45085</v>
      </c>
      <c r="C8936" s="1" t="n">
        <v>45657</v>
      </c>
      <c r="D8936" t="inlineStr">
        <is>
          <t>VÄSTERNORRLANDS LÄN</t>
        </is>
      </c>
      <c r="E8936" t="inlineStr">
        <is>
          <t>SUNDSVALL</t>
        </is>
      </c>
      <c r="F8936" t="inlineStr">
        <is>
          <t>SCA</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25064-2023</t>
        </is>
      </c>
      <c r="B8937" s="1" t="n">
        <v>45085</v>
      </c>
      <c r="C8937" s="1" t="n">
        <v>45657</v>
      </c>
      <c r="D8937" t="inlineStr">
        <is>
          <t>VÄSTERNORRLANDS LÄN</t>
        </is>
      </c>
      <c r="E8937" t="inlineStr">
        <is>
          <t>SUNDSVALL</t>
        </is>
      </c>
      <c r="F8937" t="inlineStr">
        <is>
          <t>SCA</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25796-2023</t>
        </is>
      </c>
      <c r="B8938" s="1" t="n">
        <v>45085</v>
      </c>
      <c r="C8938" s="1" t="n">
        <v>45657</v>
      </c>
      <c r="D8938" t="inlineStr">
        <is>
          <t>VÄSTERNORRLANDS LÄN</t>
        </is>
      </c>
      <c r="E8938" t="inlineStr">
        <is>
          <t>ÖRNSKÖLDSVIK</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25851-2023</t>
        </is>
      </c>
      <c r="B8939" s="1" t="n">
        <v>45085</v>
      </c>
      <c r="C8939" s="1" t="n">
        <v>45657</v>
      </c>
      <c r="D8939" t="inlineStr">
        <is>
          <t>VÄSTERNORRLANDS LÄN</t>
        </is>
      </c>
      <c r="E8939" t="inlineStr">
        <is>
          <t>HÄRNÖSAND</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25072-2023</t>
        </is>
      </c>
      <c r="B8940" s="1" t="n">
        <v>45086</v>
      </c>
      <c r="C8940" s="1" t="n">
        <v>45657</v>
      </c>
      <c r="D8940" t="inlineStr">
        <is>
          <t>VÄSTERNORRLANDS LÄN</t>
        </is>
      </c>
      <c r="E8940" t="inlineStr">
        <is>
          <t>ÖRNSKÖLDSVIK</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25079-2023</t>
        </is>
      </c>
      <c r="B8941" s="1" t="n">
        <v>45086</v>
      </c>
      <c r="C8941" s="1" t="n">
        <v>45657</v>
      </c>
      <c r="D8941" t="inlineStr">
        <is>
          <t>VÄSTERNORRLANDS LÄN</t>
        </is>
      </c>
      <c r="E8941" t="inlineStr">
        <is>
          <t>SOLLEFTEÅ</t>
        </is>
      </c>
      <c r="F8941" t="inlineStr">
        <is>
          <t>Kommuner</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25146-2023</t>
        </is>
      </c>
      <c r="B8942" s="1" t="n">
        <v>45086</v>
      </c>
      <c r="C8942" s="1" t="n">
        <v>45657</v>
      </c>
      <c r="D8942" t="inlineStr">
        <is>
          <t>VÄSTERNORRLANDS LÄN</t>
        </is>
      </c>
      <c r="E8942" t="inlineStr">
        <is>
          <t>ÖRNSKÖLDSVIK</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25301-2023</t>
        </is>
      </c>
      <c r="B8943" s="1" t="n">
        <v>45086</v>
      </c>
      <c r="C8943" s="1" t="n">
        <v>45657</v>
      </c>
      <c r="D8943" t="inlineStr">
        <is>
          <t>VÄSTERNORRLANDS LÄN</t>
        </is>
      </c>
      <c r="E8943" t="inlineStr">
        <is>
          <t>TIMRÅ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25314-2023</t>
        </is>
      </c>
      <c r="B8944" s="1" t="n">
        <v>45086</v>
      </c>
      <c r="C8944" s="1" t="n">
        <v>45657</v>
      </c>
      <c r="D8944" t="inlineStr">
        <is>
          <t>VÄSTERNORRLANDS LÄN</t>
        </is>
      </c>
      <c r="E8944" t="inlineStr">
        <is>
          <t>SOLLEFTEÅ</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25311-2023</t>
        </is>
      </c>
      <c r="B8945" s="1" t="n">
        <v>45087</v>
      </c>
      <c r="C8945" s="1" t="n">
        <v>45657</v>
      </c>
      <c r="D8945" t="inlineStr">
        <is>
          <t>VÄSTERNORRLANDS LÄN</t>
        </is>
      </c>
      <c r="E8945" t="inlineStr">
        <is>
          <t>ÅNGE</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25316-2023</t>
        </is>
      </c>
      <c r="B8946" s="1" t="n">
        <v>45086</v>
      </c>
      <c r="C8946" s="1" t="n">
        <v>45657</v>
      </c>
      <c r="D8946" t="inlineStr">
        <is>
          <t>VÄSTERNORRLANDS LÄN</t>
        </is>
      </c>
      <c r="E8946" t="inlineStr">
        <is>
          <t>SUNDSVALL</t>
        </is>
      </c>
      <c r="F8946" t="inlineStr">
        <is>
          <t>SCA</t>
        </is>
      </c>
      <c r="G8946" t="n">
        <v>23.5</v>
      </c>
      <c r="H8946" t="n">
        <v>0</v>
      </c>
      <c r="I8946" t="n">
        <v>0</v>
      </c>
      <c r="J8946" t="n">
        <v>0</v>
      </c>
      <c r="K8946" t="n">
        <v>0</v>
      </c>
      <c r="L8946" t="n">
        <v>0</v>
      </c>
      <c r="M8946" t="n">
        <v>0</v>
      </c>
      <c r="N8946" t="n">
        <v>0</v>
      </c>
      <c r="O8946" t="n">
        <v>0</v>
      </c>
      <c r="P8946" t="n">
        <v>0</v>
      </c>
      <c r="Q8946" t="n">
        <v>0</v>
      </c>
      <c r="R8946" s="2" t="inlineStr"/>
    </row>
    <row r="8947" ht="15" customHeight="1">
      <c r="A8947" t="inlineStr">
        <is>
          <t>A 25320-2023</t>
        </is>
      </c>
      <c r="B8947" s="1" t="n">
        <v>45087</v>
      </c>
      <c r="C8947" s="1" t="n">
        <v>45657</v>
      </c>
      <c r="D8947" t="inlineStr">
        <is>
          <t>VÄSTERNORRLANDS LÄN</t>
        </is>
      </c>
      <c r="E8947" t="inlineStr">
        <is>
          <t>ÅNGE</t>
        </is>
      </c>
      <c r="F8947" t="inlineStr">
        <is>
          <t>SCA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25324-2023</t>
        </is>
      </c>
      <c r="B8948" s="1" t="n">
        <v>45087</v>
      </c>
      <c r="C8948" s="1" t="n">
        <v>45657</v>
      </c>
      <c r="D8948" t="inlineStr">
        <is>
          <t>VÄSTERNORRLANDS LÄN</t>
        </is>
      </c>
      <c r="E8948" t="inlineStr">
        <is>
          <t>ÅNGE</t>
        </is>
      </c>
      <c r="F8948" t="inlineStr">
        <is>
          <t>SCA</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25308-2023</t>
        </is>
      </c>
      <c r="B8949" s="1" t="n">
        <v>45087</v>
      </c>
      <c r="C8949" s="1" t="n">
        <v>45657</v>
      </c>
      <c r="D8949" t="inlineStr">
        <is>
          <t>VÄSTERNORRLANDS LÄN</t>
        </is>
      </c>
      <c r="E8949" t="inlineStr">
        <is>
          <t>ÖRNSKÖLDSVIK</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25312-2023</t>
        </is>
      </c>
      <c r="B8950" s="1" t="n">
        <v>45087</v>
      </c>
      <c r="C8950" s="1" t="n">
        <v>45657</v>
      </c>
      <c r="D8950" t="inlineStr">
        <is>
          <t>VÄSTERNORRLANDS LÄN</t>
        </is>
      </c>
      <c r="E8950" t="inlineStr">
        <is>
          <t>ÅNGE</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25321-2023</t>
        </is>
      </c>
      <c r="B8951" s="1" t="n">
        <v>45087</v>
      </c>
      <c r="C8951" s="1" t="n">
        <v>45657</v>
      </c>
      <c r="D8951" t="inlineStr">
        <is>
          <t>VÄSTERNORRLANDS LÄN</t>
        </is>
      </c>
      <c r="E8951" t="inlineStr">
        <is>
          <t>ÅNGE</t>
        </is>
      </c>
      <c r="F8951" t="inlineStr">
        <is>
          <t>SCA</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25325-2023</t>
        </is>
      </c>
      <c r="B8952" s="1" t="n">
        <v>45087</v>
      </c>
      <c r="C8952" s="1" t="n">
        <v>45657</v>
      </c>
      <c r="D8952" t="inlineStr">
        <is>
          <t>VÄSTERNORRLANDS LÄN</t>
        </is>
      </c>
      <c r="E8952" t="inlineStr">
        <is>
          <t>ÅNGE</t>
        </is>
      </c>
      <c r="F8952" t="inlineStr">
        <is>
          <t>SCA</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25151-2023</t>
        </is>
      </c>
      <c r="B8953" s="1" t="n">
        <v>45086</v>
      </c>
      <c r="C8953" s="1" t="n">
        <v>45657</v>
      </c>
      <c r="D8953" t="inlineStr">
        <is>
          <t>VÄSTERNORRLANDS LÄN</t>
        </is>
      </c>
      <c r="E8953" t="inlineStr">
        <is>
          <t>ÖRNSKÖLDSVIK</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25292-2023</t>
        </is>
      </c>
      <c r="B8954" s="1" t="n">
        <v>45086</v>
      </c>
      <c r="C8954" s="1" t="n">
        <v>45657</v>
      </c>
      <c r="D8954" t="inlineStr">
        <is>
          <t>VÄSTERNORRLANDS LÄN</t>
        </is>
      </c>
      <c r="E8954" t="inlineStr">
        <is>
          <t>SUNDSVALL</t>
        </is>
      </c>
      <c r="F8954" t="inlineStr">
        <is>
          <t>Holmen skog AB</t>
        </is>
      </c>
      <c r="G8954" t="n">
        <v>15.6</v>
      </c>
      <c r="H8954" t="n">
        <v>0</v>
      </c>
      <c r="I8954" t="n">
        <v>0</v>
      </c>
      <c r="J8954" t="n">
        <v>0</v>
      </c>
      <c r="K8954" t="n">
        <v>0</v>
      </c>
      <c r="L8954" t="n">
        <v>0</v>
      </c>
      <c r="M8954" t="n">
        <v>0</v>
      </c>
      <c r="N8954" t="n">
        <v>0</v>
      </c>
      <c r="O8954" t="n">
        <v>0</v>
      </c>
      <c r="P8954" t="n">
        <v>0</v>
      </c>
      <c r="Q8954" t="n">
        <v>0</v>
      </c>
      <c r="R8954" s="2" t="inlineStr"/>
    </row>
    <row r="8955" ht="15" customHeight="1">
      <c r="A8955" t="inlineStr">
        <is>
          <t>A 25331-2023</t>
        </is>
      </c>
      <c r="B8955" s="1" t="n">
        <v>45087</v>
      </c>
      <c r="C8955" s="1" t="n">
        <v>45657</v>
      </c>
      <c r="D8955" t="inlineStr">
        <is>
          <t>VÄSTERNORRLANDS LÄN</t>
        </is>
      </c>
      <c r="E8955" t="inlineStr">
        <is>
          <t>SUNDSVALL</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25371-2023</t>
        </is>
      </c>
      <c r="B8956" s="1" t="n">
        <v>45089</v>
      </c>
      <c r="C8956" s="1" t="n">
        <v>45657</v>
      </c>
      <c r="D8956" t="inlineStr">
        <is>
          <t>VÄSTERNORRLANDS LÄN</t>
        </is>
      </c>
      <c r="E8956" t="inlineStr">
        <is>
          <t>SUNDSVALL</t>
        </is>
      </c>
      <c r="F8956" t="inlineStr">
        <is>
          <t>SCA</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25370-2023</t>
        </is>
      </c>
      <c r="B8957" s="1" t="n">
        <v>45088</v>
      </c>
      <c r="C8957" s="1" t="n">
        <v>45657</v>
      </c>
      <c r="D8957" t="inlineStr">
        <is>
          <t>VÄSTERNORRLANDS LÄN</t>
        </is>
      </c>
      <c r="E8957" t="inlineStr">
        <is>
          <t>SUNDSVALL</t>
        </is>
      </c>
      <c r="F8957" t="inlineStr">
        <is>
          <t>SCA</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25392-2023</t>
        </is>
      </c>
      <c r="B8958" s="1" t="n">
        <v>45089</v>
      </c>
      <c r="C8958" s="1" t="n">
        <v>45657</v>
      </c>
      <c r="D8958" t="inlineStr">
        <is>
          <t>VÄSTERNORRLANDS LÄN</t>
        </is>
      </c>
      <c r="E8958" t="inlineStr">
        <is>
          <t>SOLLEFTEÅ</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25407-2023</t>
        </is>
      </c>
      <c r="B8959" s="1" t="n">
        <v>45089</v>
      </c>
      <c r="C8959" s="1" t="n">
        <v>45657</v>
      </c>
      <c r="D8959" t="inlineStr">
        <is>
          <t>VÄSTERNORRLANDS LÄN</t>
        </is>
      </c>
      <c r="E8959" t="inlineStr">
        <is>
          <t>SUNDSVALL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25447-2023</t>
        </is>
      </c>
      <c r="B8960" s="1" t="n">
        <v>45089</v>
      </c>
      <c r="C8960" s="1" t="n">
        <v>45657</v>
      </c>
      <c r="D8960" t="inlineStr">
        <is>
          <t>VÄSTERNORRLANDS LÄN</t>
        </is>
      </c>
      <c r="E8960" t="inlineStr">
        <is>
          <t>ÖRNSKÖLDSVIK</t>
        </is>
      </c>
      <c r="F8960" t="inlineStr">
        <is>
          <t>Holmen skog AB</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25480-2023</t>
        </is>
      </c>
      <c r="B8961" s="1" t="n">
        <v>45089</v>
      </c>
      <c r="C8961" s="1" t="n">
        <v>45657</v>
      </c>
      <c r="D8961" t="inlineStr">
        <is>
          <t>VÄSTERNORRLANDS LÄN</t>
        </is>
      </c>
      <c r="E8961" t="inlineStr">
        <is>
          <t>ÖRNSKÖLDSVIK</t>
        </is>
      </c>
      <c r="F8961" t="inlineStr">
        <is>
          <t>Holmen skog AB</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25599-2023</t>
        </is>
      </c>
      <c r="B8962" s="1" t="n">
        <v>45089</v>
      </c>
      <c r="C8962" s="1" t="n">
        <v>45657</v>
      </c>
      <c r="D8962" t="inlineStr">
        <is>
          <t>VÄSTERNORRLANDS LÄN</t>
        </is>
      </c>
      <c r="E8962" t="inlineStr">
        <is>
          <t>KRAMFORS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25642-2023</t>
        </is>
      </c>
      <c r="B8963" s="1" t="n">
        <v>45089</v>
      </c>
      <c r="C8963" s="1" t="n">
        <v>45657</v>
      </c>
      <c r="D8963" t="inlineStr">
        <is>
          <t>VÄSTERNORRLANDS LÄN</t>
        </is>
      </c>
      <c r="E8963" t="inlineStr">
        <is>
          <t>SUNDSVALL</t>
        </is>
      </c>
      <c r="F8963" t="inlineStr">
        <is>
          <t>Holmen skog AB</t>
        </is>
      </c>
      <c r="G8963" t="n">
        <v>26.7</v>
      </c>
      <c r="H8963" t="n">
        <v>0</v>
      </c>
      <c r="I8963" t="n">
        <v>0</v>
      </c>
      <c r="J8963" t="n">
        <v>0</v>
      </c>
      <c r="K8963" t="n">
        <v>0</v>
      </c>
      <c r="L8963" t="n">
        <v>0</v>
      </c>
      <c r="M8963" t="n">
        <v>0</v>
      </c>
      <c r="N8963" t="n">
        <v>0</v>
      </c>
      <c r="O8963" t="n">
        <v>0</v>
      </c>
      <c r="P8963" t="n">
        <v>0</v>
      </c>
      <c r="Q8963" t="n">
        <v>0</v>
      </c>
      <c r="R8963" s="2" t="inlineStr"/>
    </row>
    <row r="8964" ht="15" customHeight="1">
      <c r="A8964" t="inlineStr">
        <is>
          <t>A 25693-2023</t>
        </is>
      </c>
      <c r="B8964" s="1" t="n">
        <v>45090</v>
      </c>
      <c r="C8964" s="1" t="n">
        <v>45657</v>
      </c>
      <c r="D8964" t="inlineStr">
        <is>
          <t>VÄSTERNORRLANDS LÄN</t>
        </is>
      </c>
      <c r="E8964" t="inlineStr">
        <is>
          <t>SUNDSVALL</t>
        </is>
      </c>
      <c r="F8964" t="inlineStr">
        <is>
          <t>SCA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25688-2023</t>
        </is>
      </c>
      <c r="B8965" s="1" t="n">
        <v>45089</v>
      </c>
      <c r="C8965" s="1" t="n">
        <v>45657</v>
      </c>
      <c r="D8965" t="inlineStr">
        <is>
          <t>VÄSTERNORRLANDS LÄN</t>
        </is>
      </c>
      <c r="E8965" t="inlineStr">
        <is>
          <t>HÄRNÖSAND</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25680-2023</t>
        </is>
      </c>
      <c r="B8966" s="1" t="n">
        <v>45089</v>
      </c>
      <c r="C8966" s="1" t="n">
        <v>45657</v>
      </c>
      <c r="D8966" t="inlineStr">
        <is>
          <t>VÄSTERNORRLANDS LÄN</t>
        </is>
      </c>
      <c r="E8966" t="inlineStr">
        <is>
          <t>ÅNGE</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26429-2023</t>
        </is>
      </c>
      <c r="B8967" s="1" t="n">
        <v>45089</v>
      </c>
      <c r="C8967" s="1" t="n">
        <v>45657</v>
      </c>
      <c r="D8967" t="inlineStr">
        <is>
          <t>VÄSTERNORRLANDS LÄN</t>
        </is>
      </c>
      <c r="E8967" t="inlineStr">
        <is>
          <t>ÖRNSKÖLDSVIK</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26453-2023</t>
        </is>
      </c>
      <c r="B8968" s="1" t="n">
        <v>45089</v>
      </c>
      <c r="C8968" s="1" t="n">
        <v>45657</v>
      </c>
      <c r="D8968" t="inlineStr">
        <is>
          <t>VÄSTERNORRLANDS LÄN</t>
        </is>
      </c>
      <c r="E8968" t="inlineStr">
        <is>
          <t>HÄRNÖSAND</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26468-2023</t>
        </is>
      </c>
      <c r="B8969" s="1" t="n">
        <v>45089</v>
      </c>
      <c r="C8969" s="1" t="n">
        <v>45657</v>
      </c>
      <c r="D8969" t="inlineStr">
        <is>
          <t>VÄSTERNORRLANDS LÄN</t>
        </is>
      </c>
      <c r="E8969" t="inlineStr">
        <is>
          <t>SUNDSVALL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26457-2023</t>
        </is>
      </c>
      <c r="B8970" s="1" t="n">
        <v>45089</v>
      </c>
      <c r="C8970" s="1" t="n">
        <v>45657</v>
      </c>
      <c r="D8970" t="inlineStr">
        <is>
          <t>VÄSTERNORRLANDS LÄN</t>
        </is>
      </c>
      <c r="E8970" t="inlineStr">
        <is>
          <t>ÖRNSKÖLDSVIK</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26473-2023</t>
        </is>
      </c>
      <c r="B8971" s="1" t="n">
        <v>45089</v>
      </c>
      <c r="C8971" s="1" t="n">
        <v>45657</v>
      </c>
      <c r="D8971" t="inlineStr">
        <is>
          <t>VÄSTERNORRLANDS LÄN</t>
        </is>
      </c>
      <c r="E8971" t="inlineStr">
        <is>
          <t>HÄRNÖSAND</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26461-2023</t>
        </is>
      </c>
      <c r="B8972" s="1" t="n">
        <v>45089</v>
      </c>
      <c r="C8972" s="1" t="n">
        <v>45657</v>
      </c>
      <c r="D8972" t="inlineStr">
        <is>
          <t>VÄSTERNORRLANDS LÄN</t>
        </is>
      </c>
      <c r="E8972" t="inlineStr">
        <is>
          <t>HÄRNÖSAND</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26445-2023</t>
        </is>
      </c>
      <c r="B8973" s="1" t="n">
        <v>45089</v>
      </c>
      <c r="C8973" s="1" t="n">
        <v>45657</v>
      </c>
      <c r="D8973" t="inlineStr">
        <is>
          <t>VÄSTERNORRLANDS LÄN</t>
        </is>
      </c>
      <c r="E8973" t="inlineStr">
        <is>
          <t>HÄRNÖSAND</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26475-2023</t>
        </is>
      </c>
      <c r="B8974" s="1" t="n">
        <v>45089</v>
      </c>
      <c r="C8974" s="1" t="n">
        <v>45657</v>
      </c>
      <c r="D8974" t="inlineStr">
        <is>
          <t>VÄSTERNORRLANDS LÄN</t>
        </is>
      </c>
      <c r="E8974" t="inlineStr">
        <is>
          <t>SUNDSVALL</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25779-2023</t>
        </is>
      </c>
      <c r="B8975" s="1" t="n">
        <v>45090</v>
      </c>
      <c r="C8975" s="1" t="n">
        <v>45657</v>
      </c>
      <c r="D8975" t="inlineStr">
        <is>
          <t>VÄSTERNORRLANDS LÄN</t>
        </is>
      </c>
      <c r="E8975" t="inlineStr">
        <is>
          <t>ÅNGE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25771-2023</t>
        </is>
      </c>
      <c r="B8976" s="1" t="n">
        <v>45090</v>
      </c>
      <c r="C8976" s="1" t="n">
        <v>45657</v>
      </c>
      <c r="D8976" t="inlineStr">
        <is>
          <t>VÄSTERNORRLANDS LÄN</t>
        </is>
      </c>
      <c r="E8976" t="inlineStr">
        <is>
          <t>ÅNGE</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25987-2023</t>
        </is>
      </c>
      <c r="B8977" s="1" t="n">
        <v>45091</v>
      </c>
      <c r="C8977" s="1" t="n">
        <v>45657</v>
      </c>
      <c r="D8977" t="inlineStr">
        <is>
          <t>VÄSTERNORRLANDS LÄN</t>
        </is>
      </c>
      <c r="E8977" t="inlineStr">
        <is>
          <t>SOLLEFTEÅ</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25988-2023</t>
        </is>
      </c>
      <c r="B8978" s="1" t="n">
        <v>45091</v>
      </c>
      <c r="C8978" s="1" t="n">
        <v>45657</v>
      </c>
      <c r="D8978" t="inlineStr">
        <is>
          <t>VÄSTERNORRLANDS LÄN</t>
        </is>
      </c>
      <c r="E8978" t="inlineStr">
        <is>
          <t>SUNDSVALL</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25996-2023</t>
        </is>
      </c>
      <c r="B8979" s="1" t="n">
        <v>45091</v>
      </c>
      <c r="C8979" s="1" t="n">
        <v>45657</v>
      </c>
      <c r="D8979" t="inlineStr">
        <is>
          <t>VÄSTERNORRLANDS LÄN</t>
        </is>
      </c>
      <c r="E8979" t="inlineStr">
        <is>
          <t>SUNDSVALL</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26210-2023</t>
        </is>
      </c>
      <c r="B8980" s="1" t="n">
        <v>45090</v>
      </c>
      <c r="C8980" s="1" t="n">
        <v>45657</v>
      </c>
      <c r="D8980" t="inlineStr">
        <is>
          <t>VÄSTERNORRLANDS LÄN</t>
        </is>
      </c>
      <c r="E8980" t="inlineStr">
        <is>
          <t>SOLLEFTEÅ</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25985-2023</t>
        </is>
      </c>
      <c r="B8981" s="1" t="n">
        <v>45091</v>
      </c>
      <c r="C8981" s="1" t="n">
        <v>45657</v>
      </c>
      <c r="D8981" t="inlineStr">
        <is>
          <t>VÄSTERNORRLANDS LÄN</t>
        </is>
      </c>
      <c r="E8981" t="inlineStr">
        <is>
          <t>ÖRNSKÖLDSVIK</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26001-2023</t>
        </is>
      </c>
      <c r="B8982" s="1" t="n">
        <v>45090</v>
      </c>
      <c r="C8982" s="1" t="n">
        <v>45657</v>
      </c>
      <c r="D8982" t="inlineStr">
        <is>
          <t>VÄSTERNORRLANDS LÄN</t>
        </is>
      </c>
      <c r="E8982" t="inlineStr">
        <is>
          <t>SUNDSVALL</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26013-2023</t>
        </is>
      </c>
      <c r="B8983" s="1" t="n">
        <v>45091</v>
      </c>
      <c r="C8983" s="1" t="n">
        <v>45657</v>
      </c>
      <c r="D8983" t="inlineStr">
        <is>
          <t>VÄSTERNORRLANDS LÄN</t>
        </is>
      </c>
      <c r="E8983" t="inlineStr">
        <is>
          <t>SUNDSVALL</t>
        </is>
      </c>
      <c r="F8983" t="inlineStr">
        <is>
          <t>SCA</t>
        </is>
      </c>
      <c r="G8983" t="n">
        <v>9.699999999999999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25986-2023</t>
        </is>
      </c>
      <c r="B8984" s="1" t="n">
        <v>45090</v>
      </c>
      <c r="C8984" s="1" t="n">
        <v>45657</v>
      </c>
      <c r="D8984" t="inlineStr">
        <is>
          <t>VÄSTERNORRLANDS LÄN</t>
        </is>
      </c>
      <c r="E8984" t="inlineStr">
        <is>
          <t>SOLLEFTEÅ</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26014-2023</t>
        </is>
      </c>
      <c r="B8985" s="1" t="n">
        <v>45091</v>
      </c>
      <c r="C8985" s="1" t="n">
        <v>45657</v>
      </c>
      <c r="D8985" t="inlineStr">
        <is>
          <t>VÄSTERNORRLANDS LÄN</t>
        </is>
      </c>
      <c r="E8985" t="inlineStr">
        <is>
          <t>ÅNGE</t>
        </is>
      </c>
      <c r="F8985" t="inlineStr">
        <is>
          <t>SCA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26835-2023</t>
        </is>
      </c>
      <c r="B8986" s="1" t="n">
        <v>45090</v>
      </c>
      <c r="C8986" s="1" t="n">
        <v>45657</v>
      </c>
      <c r="D8986" t="inlineStr">
        <is>
          <t>VÄSTERNORRLANDS LÄN</t>
        </is>
      </c>
      <c r="E8986" t="inlineStr">
        <is>
          <t>ÖRNSKÖLDSVIK</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26843-2023</t>
        </is>
      </c>
      <c r="B8987" s="1" t="n">
        <v>45090</v>
      </c>
      <c r="C8987" s="1" t="n">
        <v>45657</v>
      </c>
      <c r="D8987" t="inlineStr">
        <is>
          <t>VÄSTERNORRLANDS LÄN</t>
        </is>
      </c>
      <c r="E8987" t="inlineStr">
        <is>
          <t>KRAMFORS</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26235-2023</t>
        </is>
      </c>
      <c r="B8988" s="1" t="n">
        <v>45091</v>
      </c>
      <c r="C8988" s="1" t="n">
        <v>45657</v>
      </c>
      <c r="D8988" t="inlineStr">
        <is>
          <t>VÄSTERNORRLANDS LÄN</t>
        </is>
      </c>
      <c r="E8988" t="inlineStr">
        <is>
          <t>ÖRNSKÖLDSVIK</t>
        </is>
      </c>
      <c r="F8988" t="inlineStr">
        <is>
          <t>Holmen skog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26071-2023</t>
        </is>
      </c>
      <c r="B8989" s="1" t="n">
        <v>45091</v>
      </c>
      <c r="C8989" s="1" t="n">
        <v>45657</v>
      </c>
      <c r="D8989" t="inlineStr">
        <is>
          <t>VÄSTERNORRLANDS LÄN</t>
        </is>
      </c>
      <c r="E8989" t="inlineStr">
        <is>
          <t>SUNDSVALL</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26341-2023</t>
        </is>
      </c>
      <c r="B8990" s="1" t="n">
        <v>45092</v>
      </c>
      <c r="C8990" s="1" t="n">
        <v>45657</v>
      </c>
      <c r="D8990" t="inlineStr">
        <is>
          <t>VÄSTERNORRLANDS LÄN</t>
        </is>
      </c>
      <c r="E8990" t="inlineStr">
        <is>
          <t>SUNDSVALL</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26975-2023</t>
        </is>
      </c>
      <c r="B8991" s="1" t="n">
        <v>45091</v>
      </c>
      <c r="C8991" s="1" t="n">
        <v>45657</v>
      </c>
      <c r="D8991" t="inlineStr">
        <is>
          <t>VÄSTERNORRLANDS LÄN</t>
        </is>
      </c>
      <c r="E8991" t="inlineStr">
        <is>
          <t>HÄRNÖSAND</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26371-2023</t>
        </is>
      </c>
      <c r="B8992" s="1" t="n">
        <v>45092</v>
      </c>
      <c r="C8992" s="1" t="n">
        <v>45657</v>
      </c>
      <c r="D8992" t="inlineStr">
        <is>
          <t>VÄSTERNORRLANDS LÄN</t>
        </is>
      </c>
      <c r="E8992" t="inlineStr">
        <is>
          <t>ÅNGE</t>
        </is>
      </c>
      <c r="F8992" t="inlineStr">
        <is>
          <t>SCA</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26976-2023</t>
        </is>
      </c>
      <c r="B8993" s="1" t="n">
        <v>45091</v>
      </c>
      <c r="C8993" s="1" t="n">
        <v>45657</v>
      </c>
      <c r="D8993" t="inlineStr">
        <is>
          <t>VÄSTERNORRLANDS LÄN</t>
        </is>
      </c>
      <c r="E8993" t="inlineStr">
        <is>
          <t>HÄRNÖSAND</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26365-2023</t>
        </is>
      </c>
      <c r="B8994" s="1" t="n">
        <v>45092</v>
      </c>
      <c r="C8994" s="1" t="n">
        <v>45657</v>
      </c>
      <c r="D8994" t="inlineStr">
        <is>
          <t>VÄSTERNORRLANDS LÄN</t>
        </is>
      </c>
      <c r="E8994" t="inlineStr">
        <is>
          <t>ÅNGE</t>
        </is>
      </c>
      <c r="F8994" t="inlineStr">
        <is>
          <t>SCA</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26373-2023</t>
        </is>
      </c>
      <c r="B8995" s="1" t="n">
        <v>45092</v>
      </c>
      <c r="C8995" s="1" t="n">
        <v>45657</v>
      </c>
      <c r="D8995" t="inlineStr">
        <is>
          <t>VÄSTERNORRLANDS LÄN</t>
        </is>
      </c>
      <c r="E8995" t="inlineStr">
        <is>
          <t>SOLLEFTEÅ</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26974-2023</t>
        </is>
      </c>
      <c r="B8996" s="1" t="n">
        <v>45091</v>
      </c>
      <c r="C8996" s="1" t="n">
        <v>45657</v>
      </c>
      <c r="D8996" t="inlineStr">
        <is>
          <t>VÄSTERNORRLANDS LÄN</t>
        </is>
      </c>
      <c r="E8996" t="inlineStr">
        <is>
          <t>ÖRNSKÖLDSVIK</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26364-2023</t>
        </is>
      </c>
      <c r="B8997" s="1" t="n">
        <v>45092</v>
      </c>
      <c r="C8997" s="1" t="n">
        <v>45657</v>
      </c>
      <c r="D8997" t="inlineStr">
        <is>
          <t>VÄSTERNORRLANDS LÄN</t>
        </is>
      </c>
      <c r="E8997" t="inlineStr">
        <is>
          <t>ÅNGE</t>
        </is>
      </c>
      <c r="F8997" t="inlineStr">
        <is>
          <t>SCA</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26360-2023</t>
        </is>
      </c>
      <c r="B8998" s="1" t="n">
        <v>45092</v>
      </c>
      <c r="C8998" s="1" t="n">
        <v>45657</v>
      </c>
      <c r="D8998" t="inlineStr">
        <is>
          <t>VÄSTERNORRLANDS LÄN</t>
        </is>
      </c>
      <c r="E8998" t="inlineStr">
        <is>
          <t>ÅNGE</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26513-2023</t>
        </is>
      </c>
      <c r="B8999" s="1" t="n">
        <v>45092</v>
      </c>
      <c r="C8999" s="1" t="n">
        <v>45657</v>
      </c>
      <c r="D8999" t="inlineStr">
        <is>
          <t>VÄSTERNORRLANDS LÄN</t>
        </is>
      </c>
      <c r="E8999" t="inlineStr">
        <is>
          <t>ÅNGE</t>
        </is>
      </c>
      <c r="F8999" t="inlineStr">
        <is>
          <t>Sveaskog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26658-2023</t>
        </is>
      </c>
      <c r="B9000" s="1" t="n">
        <v>45093</v>
      </c>
      <c r="C9000" s="1" t="n">
        <v>45657</v>
      </c>
      <c r="D9000" t="inlineStr">
        <is>
          <t>VÄSTERNORRLANDS LÄN</t>
        </is>
      </c>
      <c r="E9000" t="inlineStr">
        <is>
          <t>ÖRNSKÖLDSVIK</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27197-2023</t>
        </is>
      </c>
      <c r="B9001" s="1" t="n">
        <v>45092</v>
      </c>
      <c r="C9001" s="1" t="n">
        <v>45657</v>
      </c>
      <c r="D9001" t="inlineStr">
        <is>
          <t>VÄSTERNORRLANDS LÄN</t>
        </is>
      </c>
      <c r="E9001" t="inlineStr">
        <is>
          <t>ÖRNSKÖLDSVIK</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27327-2023</t>
        </is>
      </c>
      <c r="B9002" s="1" t="n">
        <v>45092</v>
      </c>
      <c r="C9002" s="1" t="n">
        <v>45657</v>
      </c>
      <c r="D9002" t="inlineStr">
        <is>
          <t>VÄSTERNORRLANDS LÄN</t>
        </is>
      </c>
      <c r="E9002" t="inlineStr">
        <is>
          <t>KRAMFORS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27211-2023</t>
        </is>
      </c>
      <c r="B9003" s="1" t="n">
        <v>45092</v>
      </c>
      <c r="C9003" s="1" t="n">
        <v>45657</v>
      </c>
      <c r="D9003" t="inlineStr">
        <is>
          <t>VÄSTERNORRLANDS LÄN</t>
        </is>
      </c>
      <c r="E9003" t="inlineStr">
        <is>
          <t>ÖRNSKÖLDSVIK</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27495-2023</t>
        </is>
      </c>
      <c r="B9004" s="1" t="n">
        <v>45092</v>
      </c>
      <c r="C9004" s="1" t="n">
        <v>45657</v>
      </c>
      <c r="D9004" t="inlineStr">
        <is>
          <t>VÄSTERNORRLANDS LÄN</t>
        </is>
      </c>
      <c r="E9004" t="inlineStr">
        <is>
          <t>TIMRÅ</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27234-2023</t>
        </is>
      </c>
      <c r="B9005" s="1" t="n">
        <v>45092</v>
      </c>
      <c r="C9005" s="1" t="n">
        <v>45657</v>
      </c>
      <c r="D9005" t="inlineStr">
        <is>
          <t>VÄSTERNORRLANDS LÄN</t>
        </is>
      </c>
      <c r="E9005" t="inlineStr">
        <is>
          <t>KRAMFORS</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27260-2023</t>
        </is>
      </c>
      <c r="B9006" s="1" t="n">
        <v>45092</v>
      </c>
      <c r="C9006" s="1" t="n">
        <v>45657</v>
      </c>
      <c r="D9006" t="inlineStr">
        <is>
          <t>VÄSTERNORRLANDS LÄN</t>
        </is>
      </c>
      <c r="E9006" t="inlineStr">
        <is>
          <t>ÅNGE</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27489-2023</t>
        </is>
      </c>
      <c r="B9007" s="1" t="n">
        <v>45092</v>
      </c>
      <c r="C9007" s="1" t="n">
        <v>45657</v>
      </c>
      <c r="D9007" t="inlineStr">
        <is>
          <t>VÄSTERNORRLANDS LÄN</t>
        </is>
      </c>
      <c r="E9007" t="inlineStr">
        <is>
          <t>TIMRÅ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27544-2023</t>
        </is>
      </c>
      <c r="B9008" s="1" t="n">
        <v>45092</v>
      </c>
      <c r="C9008" s="1" t="n">
        <v>45657</v>
      </c>
      <c r="D9008" t="inlineStr">
        <is>
          <t>VÄSTERNORRLANDS LÄN</t>
        </is>
      </c>
      <c r="E9008" t="inlineStr">
        <is>
          <t>SOLLEFTEÅ</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27534-2023</t>
        </is>
      </c>
      <c r="B9009" s="1" t="n">
        <v>45092</v>
      </c>
      <c r="C9009" s="1" t="n">
        <v>45657</v>
      </c>
      <c r="D9009" t="inlineStr">
        <is>
          <t>VÄSTERNORRLANDS LÄN</t>
        </is>
      </c>
      <c r="E9009" t="inlineStr">
        <is>
          <t>SOLLEFTEÅ</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26878-2023</t>
        </is>
      </c>
      <c r="B9010" s="1" t="n">
        <v>45093</v>
      </c>
      <c r="C9010" s="1" t="n">
        <v>45657</v>
      </c>
      <c r="D9010" t="inlineStr">
        <is>
          <t>VÄSTERNORRLANDS LÄN</t>
        </is>
      </c>
      <c r="E9010" t="inlineStr">
        <is>
          <t>ÖRNSKÖLDSVIK</t>
        </is>
      </c>
      <c r="F9010" t="inlineStr">
        <is>
          <t>Holmen skog AB</t>
        </is>
      </c>
      <c r="G9010" t="n">
        <v>18.4</v>
      </c>
      <c r="H9010" t="n">
        <v>0</v>
      </c>
      <c r="I9010" t="n">
        <v>0</v>
      </c>
      <c r="J9010" t="n">
        <v>0</v>
      </c>
      <c r="K9010" t="n">
        <v>0</v>
      </c>
      <c r="L9010" t="n">
        <v>0</v>
      </c>
      <c r="M9010" t="n">
        <v>0</v>
      </c>
      <c r="N9010" t="n">
        <v>0</v>
      </c>
      <c r="O9010" t="n">
        <v>0</v>
      </c>
      <c r="P9010" t="n">
        <v>0</v>
      </c>
      <c r="Q9010" t="n">
        <v>0</v>
      </c>
      <c r="R9010" s="2" t="inlineStr"/>
    </row>
    <row r="9011" ht="15" customHeight="1">
      <c r="A9011" t="inlineStr">
        <is>
          <t>A 26898-2023</t>
        </is>
      </c>
      <c r="B9011" s="1" t="n">
        <v>45093</v>
      </c>
      <c r="C9011" s="1" t="n">
        <v>45657</v>
      </c>
      <c r="D9011" t="inlineStr">
        <is>
          <t>VÄSTERNORRLANDS LÄN</t>
        </is>
      </c>
      <c r="E9011" t="inlineStr">
        <is>
          <t>ÅNGE</t>
        </is>
      </c>
      <c r="F9011" t="inlineStr">
        <is>
          <t>Holmen skog AB</t>
        </is>
      </c>
      <c r="G9011" t="n">
        <v>10.4</v>
      </c>
      <c r="H9011" t="n">
        <v>0</v>
      </c>
      <c r="I9011" t="n">
        <v>0</v>
      </c>
      <c r="J9011" t="n">
        <v>0</v>
      </c>
      <c r="K9011" t="n">
        <v>0</v>
      </c>
      <c r="L9011" t="n">
        <v>0</v>
      </c>
      <c r="M9011" t="n">
        <v>0</v>
      </c>
      <c r="N9011" t="n">
        <v>0</v>
      </c>
      <c r="O9011" t="n">
        <v>0</v>
      </c>
      <c r="P9011" t="n">
        <v>0</v>
      </c>
      <c r="Q9011" t="n">
        <v>0</v>
      </c>
      <c r="R9011" s="2" t="inlineStr"/>
    </row>
    <row r="9012" ht="15" customHeight="1">
      <c r="A9012" t="inlineStr">
        <is>
          <t>A 26865-2023</t>
        </is>
      </c>
      <c r="B9012" s="1" t="n">
        <v>45093</v>
      </c>
      <c r="C9012" s="1" t="n">
        <v>45657</v>
      </c>
      <c r="D9012" t="inlineStr">
        <is>
          <t>VÄSTERNORRLANDS LÄN</t>
        </is>
      </c>
      <c r="E9012" t="inlineStr">
        <is>
          <t>ÅNGE</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26899-2023</t>
        </is>
      </c>
      <c r="B9013" s="1" t="n">
        <v>45093</v>
      </c>
      <c r="C9013" s="1" t="n">
        <v>45657</v>
      </c>
      <c r="D9013" t="inlineStr">
        <is>
          <t>VÄSTERNORRLANDS LÄN</t>
        </is>
      </c>
      <c r="E9013" t="inlineStr">
        <is>
          <t>ÖRNSKÖLDSVIK</t>
        </is>
      </c>
      <c r="F9013" t="inlineStr">
        <is>
          <t>Holmen skog AB</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27002-2023</t>
        </is>
      </c>
      <c r="B9014" s="1" t="n">
        <v>45093</v>
      </c>
      <c r="C9014" s="1" t="n">
        <v>45657</v>
      </c>
      <c r="D9014" t="inlineStr">
        <is>
          <t>VÄSTERNORRLANDS LÄN</t>
        </is>
      </c>
      <c r="E9014" t="inlineStr">
        <is>
          <t>ÅNGE</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26996-2023</t>
        </is>
      </c>
      <c r="B9015" s="1" t="n">
        <v>45093</v>
      </c>
      <c r="C9015" s="1" t="n">
        <v>45657</v>
      </c>
      <c r="D9015" t="inlineStr">
        <is>
          <t>VÄSTERNORRLANDS LÄN</t>
        </is>
      </c>
      <c r="E9015" t="inlineStr">
        <is>
          <t>TIMRÅ</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27759-2023</t>
        </is>
      </c>
      <c r="B9016" s="1" t="n">
        <v>45093</v>
      </c>
      <c r="C9016" s="1" t="n">
        <v>45657</v>
      </c>
      <c r="D9016" t="inlineStr">
        <is>
          <t>VÄSTERNORRLANDS LÄN</t>
        </is>
      </c>
      <c r="E9016" t="inlineStr">
        <is>
          <t>SUNDSVALL</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27016-2023</t>
        </is>
      </c>
      <c r="B9017" s="1" t="n">
        <v>45094</v>
      </c>
      <c r="C9017" s="1" t="n">
        <v>45657</v>
      </c>
      <c r="D9017" t="inlineStr">
        <is>
          <t>VÄSTERNORRLANDS LÄN</t>
        </is>
      </c>
      <c r="E9017" t="inlineStr">
        <is>
          <t>ÅNGE</t>
        </is>
      </c>
      <c r="F9017" t="inlineStr">
        <is>
          <t>Holmen skog AB</t>
        </is>
      </c>
      <c r="G9017" t="n">
        <v>12.3</v>
      </c>
      <c r="H9017" t="n">
        <v>0</v>
      </c>
      <c r="I9017" t="n">
        <v>0</v>
      </c>
      <c r="J9017" t="n">
        <v>0</v>
      </c>
      <c r="K9017" t="n">
        <v>0</v>
      </c>
      <c r="L9017" t="n">
        <v>0</v>
      </c>
      <c r="M9017" t="n">
        <v>0</v>
      </c>
      <c r="N9017" t="n">
        <v>0</v>
      </c>
      <c r="O9017" t="n">
        <v>0</v>
      </c>
      <c r="P9017" t="n">
        <v>0</v>
      </c>
      <c r="Q9017" t="n">
        <v>0</v>
      </c>
      <c r="R9017" s="2" t="inlineStr"/>
    </row>
    <row r="9018" ht="15" customHeight="1">
      <c r="A9018" t="inlineStr">
        <is>
          <t>A 27111-2023</t>
        </is>
      </c>
      <c r="B9018" s="1" t="n">
        <v>45096</v>
      </c>
      <c r="C9018" s="1" t="n">
        <v>45657</v>
      </c>
      <c r="D9018" t="inlineStr">
        <is>
          <t>VÄSTERNORRLANDS LÄN</t>
        </is>
      </c>
      <c r="E9018" t="inlineStr">
        <is>
          <t>ÖRNSKÖLDSVIK</t>
        </is>
      </c>
      <c r="F9018" t="inlineStr">
        <is>
          <t>Holmen skog AB</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27087-2023</t>
        </is>
      </c>
      <c r="B9019" s="1" t="n">
        <v>45096</v>
      </c>
      <c r="C9019" s="1" t="n">
        <v>45657</v>
      </c>
      <c r="D9019" t="inlineStr">
        <is>
          <t>VÄSTERNORRLANDS LÄN</t>
        </is>
      </c>
      <c r="E9019" t="inlineStr">
        <is>
          <t>ÖRNSKÖLDSVIK</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27092-2023</t>
        </is>
      </c>
      <c r="B9020" s="1" t="n">
        <v>45096</v>
      </c>
      <c r="C9020" s="1" t="n">
        <v>45657</v>
      </c>
      <c r="D9020" t="inlineStr">
        <is>
          <t>VÄSTERNORRLANDS LÄN</t>
        </is>
      </c>
      <c r="E9020" t="inlineStr">
        <is>
          <t>ÖRNSKÖLDSVIK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27158-2023</t>
        </is>
      </c>
      <c r="B9021" s="1" t="n">
        <v>45096</v>
      </c>
      <c r="C9021" s="1" t="n">
        <v>45657</v>
      </c>
      <c r="D9021" t="inlineStr">
        <is>
          <t>VÄSTERNORRLANDS LÄN</t>
        </is>
      </c>
      <c r="E9021" t="inlineStr">
        <is>
          <t>ÖRNSKÖLDSVIK</t>
        </is>
      </c>
      <c r="F9021" t="inlineStr">
        <is>
          <t>Holmen skog AB</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27276-2023</t>
        </is>
      </c>
      <c r="B9022" s="1" t="n">
        <v>45096</v>
      </c>
      <c r="C9022" s="1" t="n">
        <v>45657</v>
      </c>
      <c r="D9022" t="inlineStr">
        <is>
          <t>VÄSTERNORRLANDS LÄN</t>
        </is>
      </c>
      <c r="E9022" t="inlineStr">
        <is>
          <t>ÖRNSKÖLDSVIK</t>
        </is>
      </c>
      <c r="F9022" t="inlineStr">
        <is>
          <t>Holmen skog AB</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27356-2023</t>
        </is>
      </c>
      <c r="B9023" s="1" t="n">
        <v>45097</v>
      </c>
      <c r="C9023" s="1" t="n">
        <v>45657</v>
      </c>
      <c r="D9023" t="inlineStr">
        <is>
          <t>VÄSTERNORRLANDS LÄN</t>
        </is>
      </c>
      <c r="E9023" t="inlineStr">
        <is>
          <t>ÅNGE</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27316-2023</t>
        </is>
      </c>
      <c r="B9024" s="1" t="n">
        <v>45096</v>
      </c>
      <c r="C9024" s="1" t="n">
        <v>45657</v>
      </c>
      <c r="D9024" t="inlineStr">
        <is>
          <t>VÄSTERNORRLANDS LÄN</t>
        </is>
      </c>
      <c r="E9024" t="inlineStr">
        <is>
          <t>ÖRNSKÖLDSVIK</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27381-2023</t>
        </is>
      </c>
      <c r="B9025" s="1" t="n">
        <v>45097</v>
      </c>
      <c r="C9025" s="1" t="n">
        <v>45657</v>
      </c>
      <c r="D9025" t="inlineStr">
        <is>
          <t>VÄSTERNORRLANDS LÄN</t>
        </is>
      </c>
      <c r="E9025" t="inlineStr">
        <is>
          <t>SOLLEFTEÅ</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27382-2023</t>
        </is>
      </c>
      <c r="B9026" s="1" t="n">
        <v>45097</v>
      </c>
      <c r="C9026" s="1" t="n">
        <v>45657</v>
      </c>
      <c r="D9026" t="inlineStr">
        <is>
          <t>VÄSTERNORRLANDS LÄN</t>
        </is>
      </c>
      <c r="E9026" t="inlineStr">
        <is>
          <t>SOLLEFTEÅ</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27362-2023</t>
        </is>
      </c>
      <c r="B9027" s="1" t="n">
        <v>45096</v>
      </c>
      <c r="C9027" s="1" t="n">
        <v>45657</v>
      </c>
      <c r="D9027" t="inlineStr">
        <is>
          <t>VÄSTERNORRLANDS LÄN</t>
        </is>
      </c>
      <c r="E9027" t="inlineStr">
        <is>
          <t>KRAMFORS</t>
        </is>
      </c>
      <c r="F9027" t="inlineStr">
        <is>
          <t>SCA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27384-2023</t>
        </is>
      </c>
      <c r="B9028" s="1" t="n">
        <v>45097</v>
      </c>
      <c r="C9028" s="1" t="n">
        <v>45657</v>
      </c>
      <c r="D9028" t="inlineStr">
        <is>
          <t>VÄSTERNORRLANDS LÄN</t>
        </is>
      </c>
      <c r="E9028" t="inlineStr">
        <is>
          <t>SOLLEFTEÅ</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27392-2023</t>
        </is>
      </c>
      <c r="B9029" s="1" t="n">
        <v>45097</v>
      </c>
      <c r="C9029" s="1" t="n">
        <v>45657</v>
      </c>
      <c r="D9029" t="inlineStr">
        <is>
          <t>VÄSTERNORRLANDS LÄN</t>
        </is>
      </c>
      <c r="E9029" t="inlineStr">
        <is>
          <t>SOLLEFTEÅ</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27360-2023</t>
        </is>
      </c>
      <c r="B9030" s="1" t="n">
        <v>45096</v>
      </c>
      <c r="C9030" s="1" t="n">
        <v>45657</v>
      </c>
      <c r="D9030" t="inlineStr">
        <is>
          <t>VÄSTERNORRLANDS LÄN</t>
        </is>
      </c>
      <c r="E9030" t="inlineStr">
        <is>
          <t>KRAMFORS</t>
        </is>
      </c>
      <c r="F9030" t="inlineStr">
        <is>
          <t>SCA</t>
        </is>
      </c>
      <c r="G9030" t="n">
        <v>22.6</v>
      </c>
      <c r="H9030" t="n">
        <v>0</v>
      </c>
      <c r="I9030" t="n">
        <v>0</v>
      </c>
      <c r="J9030" t="n">
        <v>0</v>
      </c>
      <c r="K9030" t="n">
        <v>0</v>
      </c>
      <c r="L9030" t="n">
        <v>0</v>
      </c>
      <c r="M9030" t="n">
        <v>0</v>
      </c>
      <c r="N9030" t="n">
        <v>0</v>
      </c>
      <c r="O9030" t="n">
        <v>0</v>
      </c>
      <c r="P9030" t="n">
        <v>0</v>
      </c>
      <c r="Q9030" t="n">
        <v>0</v>
      </c>
      <c r="R9030" s="2" t="inlineStr"/>
    </row>
    <row r="9031" ht="15" customHeight="1">
      <c r="A9031" t="inlineStr">
        <is>
          <t>A 27361-2023</t>
        </is>
      </c>
      <c r="B9031" s="1" t="n">
        <v>45096</v>
      </c>
      <c r="C9031" s="1" t="n">
        <v>45657</v>
      </c>
      <c r="D9031" t="inlineStr">
        <is>
          <t>VÄSTERNORRLANDS LÄN</t>
        </is>
      </c>
      <c r="E9031" t="inlineStr">
        <is>
          <t>KRAMFORS</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28653-2023</t>
        </is>
      </c>
      <c r="B9032" s="1" t="n">
        <v>45096</v>
      </c>
      <c r="C9032" s="1" t="n">
        <v>45657</v>
      </c>
      <c r="D9032" t="inlineStr">
        <is>
          <t>VÄSTERNORRLANDS LÄN</t>
        </is>
      </c>
      <c r="E9032" t="inlineStr">
        <is>
          <t>SOLLEFTEÅ</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27359-2023</t>
        </is>
      </c>
      <c r="B9033" s="1" t="n">
        <v>45096</v>
      </c>
      <c r="C9033" s="1" t="n">
        <v>45657</v>
      </c>
      <c r="D9033" t="inlineStr">
        <is>
          <t>VÄSTERNORRLANDS LÄN</t>
        </is>
      </c>
      <c r="E9033" t="inlineStr">
        <is>
          <t>HÄRNÖSAND</t>
        </is>
      </c>
      <c r="F9033" t="inlineStr">
        <is>
          <t>Kyrkan</t>
        </is>
      </c>
      <c r="G9033" t="n">
        <v>18.9</v>
      </c>
      <c r="H9033" t="n">
        <v>0</v>
      </c>
      <c r="I9033" t="n">
        <v>0</v>
      </c>
      <c r="J9033" t="n">
        <v>0</v>
      </c>
      <c r="K9033" t="n">
        <v>0</v>
      </c>
      <c r="L9033" t="n">
        <v>0</v>
      </c>
      <c r="M9033" t="n">
        <v>0</v>
      </c>
      <c r="N9033" t="n">
        <v>0</v>
      </c>
      <c r="O9033" t="n">
        <v>0</v>
      </c>
      <c r="P9033" t="n">
        <v>0</v>
      </c>
      <c r="Q9033" t="n">
        <v>0</v>
      </c>
      <c r="R9033" s="2" t="inlineStr"/>
    </row>
    <row r="9034" ht="15" customHeight="1">
      <c r="A9034" t="inlineStr">
        <is>
          <t>A 27383-2023</t>
        </is>
      </c>
      <c r="B9034" s="1" t="n">
        <v>45097</v>
      </c>
      <c r="C9034" s="1" t="n">
        <v>45657</v>
      </c>
      <c r="D9034" t="inlineStr">
        <is>
          <t>VÄSTERNORRLANDS LÄN</t>
        </is>
      </c>
      <c r="E9034" t="inlineStr">
        <is>
          <t>SOLLEFTEÅ</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27391-2023</t>
        </is>
      </c>
      <c r="B9035" s="1" t="n">
        <v>45097</v>
      </c>
      <c r="C9035" s="1" t="n">
        <v>45657</v>
      </c>
      <c r="D9035" t="inlineStr">
        <is>
          <t>VÄSTERNORRLANDS LÄN</t>
        </is>
      </c>
      <c r="E9035" t="inlineStr">
        <is>
          <t>SOLLEFTEÅ</t>
        </is>
      </c>
      <c r="F9035" t="inlineStr">
        <is>
          <t>SCA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28651-2023</t>
        </is>
      </c>
      <c r="B9036" s="1" t="n">
        <v>45096</v>
      </c>
      <c r="C9036" s="1" t="n">
        <v>45657</v>
      </c>
      <c r="D9036" t="inlineStr">
        <is>
          <t>VÄSTERNORRLANDS LÄN</t>
        </is>
      </c>
      <c r="E9036" t="inlineStr">
        <is>
          <t>ÖRNSKÖLDSVIK</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27428-2023</t>
        </is>
      </c>
      <c r="B9037" s="1" t="n">
        <v>45097</v>
      </c>
      <c r="C9037" s="1" t="n">
        <v>45657</v>
      </c>
      <c r="D9037" t="inlineStr">
        <is>
          <t>VÄSTERNORRLANDS LÄN</t>
        </is>
      </c>
      <c r="E9037" t="inlineStr">
        <is>
          <t>ÖRNSKÖLDSVIK</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27432-2023</t>
        </is>
      </c>
      <c r="B9038" s="1" t="n">
        <v>45097</v>
      </c>
      <c r="C9038" s="1" t="n">
        <v>45657</v>
      </c>
      <c r="D9038" t="inlineStr">
        <is>
          <t>VÄSTERNORRLANDS LÄN</t>
        </is>
      </c>
      <c r="E9038" t="inlineStr">
        <is>
          <t>ÖRNSKÖLDSVIK</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27498-2023</t>
        </is>
      </c>
      <c r="B9039" s="1" t="n">
        <v>45097</v>
      </c>
      <c r="C9039" s="1" t="n">
        <v>45657</v>
      </c>
      <c r="D9039" t="inlineStr">
        <is>
          <t>VÄSTERNORRLANDS LÄN</t>
        </is>
      </c>
      <c r="E9039" t="inlineStr">
        <is>
          <t>ÖRNSKÖLDSVIK</t>
        </is>
      </c>
      <c r="F9039" t="inlineStr">
        <is>
          <t>Holmen skog AB</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27419-2023</t>
        </is>
      </c>
      <c r="B9040" s="1" t="n">
        <v>45097</v>
      </c>
      <c r="C9040" s="1" t="n">
        <v>45657</v>
      </c>
      <c r="D9040" t="inlineStr">
        <is>
          <t>VÄSTERNORRLANDS LÄN</t>
        </is>
      </c>
      <c r="E9040" t="inlineStr">
        <is>
          <t>ÖRNSKÖLDSVIK</t>
        </is>
      </c>
      <c r="F9040" t="inlineStr">
        <is>
          <t>Holmen skog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27470-2023</t>
        </is>
      </c>
      <c r="B9041" s="1" t="n">
        <v>45097</v>
      </c>
      <c r="C9041" s="1" t="n">
        <v>45657</v>
      </c>
      <c r="D9041" t="inlineStr">
        <is>
          <t>VÄSTERNORRLANDS LÄN</t>
        </is>
      </c>
      <c r="E9041" t="inlineStr">
        <is>
          <t>SUNDSVALL</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27641-2023</t>
        </is>
      </c>
      <c r="B9042" s="1" t="n">
        <v>45097</v>
      </c>
      <c r="C9042" s="1" t="n">
        <v>45657</v>
      </c>
      <c r="D9042" t="inlineStr">
        <is>
          <t>VÄSTERNORRLANDS LÄN</t>
        </is>
      </c>
      <c r="E9042" t="inlineStr">
        <is>
          <t>SUNDSVALL</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27645-2023</t>
        </is>
      </c>
      <c r="B9043" s="1" t="n">
        <v>45097</v>
      </c>
      <c r="C9043" s="1" t="n">
        <v>45657</v>
      </c>
      <c r="D9043" t="inlineStr">
        <is>
          <t>VÄSTERNORRLANDS LÄN</t>
        </is>
      </c>
      <c r="E9043" t="inlineStr">
        <is>
          <t>ÅNGE</t>
        </is>
      </c>
      <c r="F9043" t="inlineStr">
        <is>
          <t>Holmen skog AB</t>
        </is>
      </c>
      <c r="G9043" t="n">
        <v>11.1</v>
      </c>
      <c r="H9043" t="n">
        <v>0</v>
      </c>
      <c r="I9043" t="n">
        <v>0</v>
      </c>
      <c r="J9043" t="n">
        <v>0</v>
      </c>
      <c r="K9043" t="n">
        <v>0</v>
      </c>
      <c r="L9043" t="n">
        <v>0</v>
      </c>
      <c r="M9043" t="n">
        <v>0</v>
      </c>
      <c r="N9043" t="n">
        <v>0</v>
      </c>
      <c r="O9043" t="n">
        <v>0</v>
      </c>
      <c r="P9043" t="n">
        <v>0</v>
      </c>
      <c r="Q9043" t="n">
        <v>0</v>
      </c>
      <c r="R9043" s="2" t="inlineStr"/>
    </row>
    <row r="9044" ht="15" customHeight="1">
      <c r="A9044" t="inlineStr">
        <is>
          <t>A 27649-2023</t>
        </is>
      </c>
      <c r="B9044" s="1" t="n">
        <v>45097</v>
      </c>
      <c r="C9044" s="1" t="n">
        <v>45657</v>
      </c>
      <c r="D9044" t="inlineStr">
        <is>
          <t>VÄSTERNORRLANDS LÄN</t>
        </is>
      </c>
      <c r="E9044" t="inlineStr">
        <is>
          <t>ÖRNSKÖLDSVIK</t>
        </is>
      </c>
      <c r="F9044" t="inlineStr">
        <is>
          <t>Holmen skog AB</t>
        </is>
      </c>
      <c r="G9044" t="n">
        <v>28.2</v>
      </c>
      <c r="H9044" t="n">
        <v>0</v>
      </c>
      <c r="I9044" t="n">
        <v>0</v>
      </c>
      <c r="J9044" t="n">
        <v>0</v>
      </c>
      <c r="K9044" t="n">
        <v>0</v>
      </c>
      <c r="L9044" t="n">
        <v>0</v>
      </c>
      <c r="M9044" t="n">
        <v>0</v>
      </c>
      <c r="N9044" t="n">
        <v>0</v>
      </c>
      <c r="O9044" t="n">
        <v>0</v>
      </c>
      <c r="P9044" t="n">
        <v>0</v>
      </c>
      <c r="Q9044" t="n">
        <v>0</v>
      </c>
      <c r="R9044" s="2" t="inlineStr"/>
    </row>
    <row r="9045" ht="15" customHeight="1">
      <c r="A9045" t="inlineStr">
        <is>
          <t>A 27468-2023</t>
        </is>
      </c>
      <c r="B9045" s="1" t="n">
        <v>45097</v>
      </c>
      <c r="C9045" s="1" t="n">
        <v>45657</v>
      </c>
      <c r="D9045" t="inlineStr">
        <is>
          <t>VÄSTERNORRLANDS LÄN</t>
        </is>
      </c>
      <c r="E9045" t="inlineStr">
        <is>
          <t>ÖRNSKÖLDSVIK</t>
        </is>
      </c>
      <c r="F9045" t="inlineStr">
        <is>
          <t>Holmen skog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27566-2023</t>
        </is>
      </c>
      <c r="B9046" s="1" t="n">
        <v>45097</v>
      </c>
      <c r="C9046" s="1" t="n">
        <v>45657</v>
      </c>
      <c r="D9046" t="inlineStr">
        <is>
          <t>VÄSTERNORRLANDS LÄN</t>
        </is>
      </c>
      <c r="E9046" t="inlineStr">
        <is>
          <t>SUNDSVALL</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27571-2023</t>
        </is>
      </c>
      <c r="B9047" s="1" t="n">
        <v>45097</v>
      </c>
      <c r="C9047" s="1" t="n">
        <v>45657</v>
      </c>
      <c r="D9047" t="inlineStr">
        <is>
          <t>VÄSTERNORRLANDS LÄN</t>
        </is>
      </c>
      <c r="E9047" t="inlineStr">
        <is>
          <t>SUNDSVALL</t>
        </is>
      </c>
      <c r="F9047" t="inlineStr">
        <is>
          <t>Holmen skog AB</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27640-2023</t>
        </is>
      </c>
      <c r="B9048" s="1" t="n">
        <v>45097</v>
      </c>
      <c r="C9048" s="1" t="n">
        <v>45657</v>
      </c>
      <c r="D9048" t="inlineStr">
        <is>
          <t>VÄSTERNORRLANDS LÄN</t>
        </is>
      </c>
      <c r="E9048" t="inlineStr">
        <is>
          <t>SUNDSVALL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27693-2023</t>
        </is>
      </c>
      <c r="B9049" s="1" t="n">
        <v>45098</v>
      </c>
      <c r="C9049" s="1" t="n">
        <v>45657</v>
      </c>
      <c r="D9049" t="inlineStr">
        <is>
          <t>VÄSTERNORRLANDS LÄN</t>
        </is>
      </c>
      <c r="E9049" t="inlineStr">
        <is>
          <t>SUNDSVALL</t>
        </is>
      </c>
      <c r="F9049" t="inlineStr">
        <is>
          <t>SCA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27692-2023</t>
        </is>
      </c>
      <c r="B9050" s="1" t="n">
        <v>45098</v>
      </c>
      <c r="C9050" s="1" t="n">
        <v>45657</v>
      </c>
      <c r="D9050" t="inlineStr">
        <is>
          <t>VÄSTERNORRLANDS LÄN</t>
        </is>
      </c>
      <c r="E9050" t="inlineStr">
        <is>
          <t>SUNDSVALL</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27684-2023</t>
        </is>
      </c>
      <c r="B9051" s="1" t="n">
        <v>45097</v>
      </c>
      <c r="C9051" s="1" t="n">
        <v>45657</v>
      </c>
      <c r="D9051" t="inlineStr">
        <is>
          <t>VÄSTERNORRLANDS LÄN</t>
        </is>
      </c>
      <c r="E9051" t="inlineStr">
        <is>
          <t>SUNDSVALL</t>
        </is>
      </c>
      <c r="F9051" t="inlineStr">
        <is>
          <t>SCA</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27639-2023</t>
        </is>
      </c>
      <c r="B9052" s="1" t="n">
        <v>45097</v>
      </c>
      <c r="C9052" s="1" t="n">
        <v>45657</v>
      </c>
      <c r="D9052" t="inlineStr">
        <is>
          <t>VÄSTERNORRLANDS LÄN</t>
        </is>
      </c>
      <c r="E9052" t="inlineStr">
        <is>
          <t>SUNDSVALL</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27674-2023</t>
        </is>
      </c>
      <c r="B9053" s="1" t="n">
        <v>45097</v>
      </c>
      <c r="C9053" s="1" t="n">
        <v>45657</v>
      </c>
      <c r="D9053" t="inlineStr">
        <is>
          <t>VÄSTERNORRLANDS LÄN</t>
        </is>
      </c>
      <c r="E9053" t="inlineStr">
        <is>
          <t>SOLLEFTEÅ</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27682-2023</t>
        </is>
      </c>
      <c r="B9054" s="1" t="n">
        <v>45098</v>
      </c>
      <c r="C9054" s="1" t="n">
        <v>45657</v>
      </c>
      <c r="D9054" t="inlineStr">
        <is>
          <t>VÄSTERNORRLANDS LÄN</t>
        </is>
      </c>
      <c r="E9054" t="inlineStr">
        <is>
          <t>ÅNGE</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27687-2023</t>
        </is>
      </c>
      <c r="B9055" s="1" t="n">
        <v>45097</v>
      </c>
      <c r="C9055" s="1" t="n">
        <v>45657</v>
      </c>
      <c r="D9055" t="inlineStr">
        <is>
          <t>VÄSTERNORRLANDS LÄN</t>
        </is>
      </c>
      <c r="E9055" t="inlineStr">
        <is>
          <t>SUNDSVALL</t>
        </is>
      </c>
      <c r="F9055" t="inlineStr">
        <is>
          <t>SCA</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29104-2023</t>
        </is>
      </c>
      <c r="B9056" s="1" t="n">
        <v>45097</v>
      </c>
      <c r="C9056" s="1" t="n">
        <v>45657</v>
      </c>
      <c r="D9056" t="inlineStr">
        <is>
          <t>VÄSTERNORRLANDS LÄN</t>
        </is>
      </c>
      <c r="E9056" t="inlineStr">
        <is>
          <t>HÄRNÖSAND</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27685-2023</t>
        </is>
      </c>
      <c r="B9057" s="1" t="n">
        <v>45097</v>
      </c>
      <c r="C9057" s="1" t="n">
        <v>45657</v>
      </c>
      <c r="D9057" t="inlineStr">
        <is>
          <t>VÄSTERNORRLANDS LÄN</t>
        </is>
      </c>
      <c r="E9057" t="inlineStr">
        <is>
          <t>SUNDSVALL</t>
        </is>
      </c>
      <c r="F9057" t="inlineStr">
        <is>
          <t>SCA</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27677-2023</t>
        </is>
      </c>
      <c r="B9058" s="1" t="n">
        <v>45097</v>
      </c>
      <c r="C9058" s="1" t="n">
        <v>45657</v>
      </c>
      <c r="D9058" t="inlineStr">
        <is>
          <t>VÄSTERNORRLANDS LÄN</t>
        </is>
      </c>
      <c r="E9058" t="inlineStr">
        <is>
          <t>SUNDSVALL</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27673-2023</t>
        </is>
      </c>
      <c r="B9059" s="1" t="n">
        <v>45097</v>
      </c>
      <c r="C9059" s="1" t="n">
        <v>45657</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29136-2023</t>
        </is>
      </c>
      <c r="B9060" s="1" t="n">
        <v>45097</v>
      </c>
      <c r="C9060" s="1" t="n">
        <v>45657</v>
      </c>
      <c r="D9060" t="inlineStr">
        <is>
          <t>VÄSTERNORRLANDS LÄN</t>
        </is>
      </c>
      <c r="E9060" t="inlineStr">
        <is>
          <t>ÖRNSKÖLDSVIK</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29095-2023</t>
        </is>
      </c>
      <c r="B9061" s="1" t="n">
        <v>45097</v>
      </c>
      <c r="C9061" s="1" t="n">
        <v>45657</v>
      </c>
      <c r="D9061" t="inlineStr">
        <is>
          <t>VÄSTERNORRLANDS LÄN</t>
        </is>
      </c>
      <c r="E9061" t="inlineStr">
        <is>
          <t>HÄRNÖSAND</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29210-2023</t>
        </is>
      </c>
      <c r="B9062" s="1" t="n">
        <v>45097</v>
      </c>
      <c r="C9062" s="1" t="n">
        <v>45657</v>
      </c>
      <c r="D9062" t="inlineStr">
        <is>
          <t>VÄSTERNORRLANDS LÄN</t>
        </is>
      </c>
      <c r="E9062" t="inlineStr">
        <is>
          <t>SOLLEFTEÅ</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29197-2023</t>
        </is>
      </c>
      <c r="B9063" s="1" t="n">
        <v>45097</v>
      </c>
      <c r="C9063" s="1" t="n">
        <v>45657</v>
      </c>
      <c r="D9063" t="inlineStr">
        <is>
          <t>VÄSTERNORRLANDS LÄN</t>
        </is>
      </c>
      <c r="E9063" t="inlineStr">
        <is>
          <t>SOLLEFTEÅ</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29187-2023</t>
        </is>
      </c>
      <c r="B9064" s="1" t="n">
        <v>45097</v>
      </c>
      <c r="C9064" s="1" t="n">
        <v>45657</v>
      </c>
      <c r="D9064" t="inlineStr">
        <is>
          <t>VÄSTERNORRLANDS LÄN</t>
        </is>
      </c>
      <c r="E9064" t="inlineStr">
        <is>
          <t>ÖRNSKÖLDSVIK</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27736-2023</t>
        </is>
      </c>
      <c r="B9065" s="1" t="n">
        <v>45098</v>
      </c>
      <c r="C9065" s="1" t="n">
        <v>45657</v>
      </c>
      <c r="D9065" t="inlineStr">
        <is>
          <t>VÄSTERNORRLANDS LÄN</t>
        </is>
      </c>
      <c r="E9065" t="inlineStr">
        <is>
          <t>SUNDSVALL</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27825-2023</t>
        </is>
      </c>
      <c r="B9066" s="1" t="n">
        <v>45098</v>
      </c>
      <c r="C9066" s="1" t="n">
        <v>45657</v>
      </c>
      <c r="D9066" t="inlineStr">
        <is>
          <t>VÄSTERNORRLANDS LÄN</t>
        </is>
      </c>
      <c r="E9066" t="inlineStr">
        <is>
          <t>ÖRNSKÖLDSVIK</t>
        </is>
      </c>
      <c r="F9066" t="inlineStr">
        <is>
          <t>Holmen skog AB</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27818-2023</t>
        </is>
      </c>
      <c r="B9067" s="1" t="n">
        <v>45098</v>
      </c>
      <c r="C9067" s="1" t="n">
        <v>45657</v>
      </c>
      <c r="D9067" t="inlineStr">
        <is>
          <t>VÄSTERNORRLANDS LÄN</t>
        </is>
      </c>
      <c r="E9067" t="inlineStr">
        <is>
          <t>ÖRNSKÖLDSVIK</t>
        </is>
      </c>
      <c r="F9067" t="inlineStr">
        <is>
          <t>Holmen skog AB</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27844-2023</t>
        </is>
      </c>
      <c r="B9068" s="1" t="n">
        <v>45098</v>
      </c>
      <c r="C9068" s="1" t="n">
        <v>45657</v>
      </c>
      <c r="D9068" t="inlineStr">
        <is>
          <t>VÄSTERNORRLANDS LÄN</t>
        </is>
      </c>
      <c r="E9068" t="inlineStr">
        <is>
          <t>SUNDSVALL</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27847-2023</t>
        </is>
      </c>
      <c r="B9069" s="1" t="n">
        <v>45098</v>
      </c>
      <c r="C9069" s="1" t="n">
        <v>45657</v>
      </c>
      <c r="D9069" t="inlineStr">
        <is>
          <t>VÄSTERNORRLANDS LÄN</t>
        </is>
      </c>
      <c r="E9069" t="inlineStr">
        <is>
          <t>ÖRNSKÖLDSVIK</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27799-2023</t>
        </is>
      </c>
      <c r="B9070" s="1" t="n">
        <v>45098</v>
      </c>
      <c r="C9070" s="1" t="n">
        <v>45657</v>
      </c>
      <c r="D9070" t="inlineStr">
        <is>
          <t>VÄSTERNORRLANDS LÄN</t>
        </is>
      </c>
      <c r="E9070" t="inlineStr">
        <is>
          <t>ÖRNSKÖLDSVIK</t>
        </is>
      </c>
      <c r="F9070" t="inlineStr">
        <is>
          <t>Holmen skog AB</t>
        </is>
      </c>
      <c r="G9070" t="n">
        <v>10.3</v>
      </c>
      <c r="H9070" t="n">
        <v>0</v>
      </c>
      <c r="I9070" t="n">
        <v>0</v>
      </c>
      <c r="J9070" t="n">
        <v>0</v>
      </c>
      <c r="K9070" t="n">
        <v>0</v>
      </c>
      <c r="L9070" t="n">
        <v>0</v>
      </c>
      <c r="M9070" t="n">
        <v>0</v>
      </c>
      <c r="N9070" t="n">
        <v>0</v>
      </c>
      <c r="O9070" t="n">
        <v>0</v>
      </c>
      <c r="P9070" t="n">
        <v>0</v>
      </c>
      <c r="Q9070" t="n">
        <v>0</v>
      </c>
      <c r="R9070" s="2" t="inlineStr"/>
    </row>
    <row r="9071" ht="15" customHeight="1">
      <c r="A9071" t="inlineStr">
        <is>
          <t>A 27857-2023</t>
        </is>
      </c>
      <c r="B9071" s="1" t="n">
        <v>45098</v>
      </c>
      <c r="C9071" s="1" t="n">
        <v>45657</v>
      </c>
      <c r="D9071" t="inlineStr">
        <is>
          <t>VÄSTERNORRLANDS LÄN</t>
        </is>
      </c>
      <c r="E9071" t="inlineStr">
        <is>
          <t>SUNDSVALL</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27874-2023</t>
        </is>
      </c>
      <c r="B9072" s="1" t="n">
        <v>45098</v>
      </c>
      <c r="C9072" s="1" t="n">
        <v>45657</v>
      </c>
      <c r="D9072" t="inlineStr">
        <is>
          <t>VÄSTERNORRLANDS LÄN</t>
        </is>
      </c>
      <c r="E9072" t="inlineStr">
        <is>
          <t>ÖRNSKÖLDSVIK</t>
        </is>
      </c>
      <c r="F9072" t="inlineStr">
        <is>
          <t>Holmen skog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27877-2023</t>
        </is>
      </c>
      <c r="B9073" s="1" t="n">
        <v>45098</v>
      </c>
      <c r="C9073" s="1" t="n">
        <v>45657</v>
      </c>
      <c r="D9073" t="inlineStr">
        <is>
          <t>VÄSTERNORRLANDS LÄN</t>
        </is>
      </c>
      <c r="E9073" t="inlineStr">
        <is>
          <t>HÄRNÖSAND</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27842-2023</t>
        </is>
      </c>
      <c r="B9074" s="1" t="n">
        <v>45098</v>
      </c>
      <c r="C9074" s="1" t="n">
        <v>45657</v>
      </c>
      <c r="D9074" t="inlineStr">
        <is>
          <t>VÄSTERNORRLANDS LÄN</t>
        </is>
      </c>
      <c r="E9074" t="inlineStr">
        <is>
          <t>ÖRNSKÖLDSVIK</t>
        </is>
      </c>
      <c r="F9074" t="inlineStr">
        <is>
          <t>Holmen skog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27872-2023</t>
        </is>
      </c>
      <c r="B9075" s="1" t="n">
        <v>45098</v>
      </c>
      <c r="C9075" s="1" t="n">
        <v>45657</v>
      </c>
      <c r="D9075" t="inlineStr">
        <is>
          <t>VÄSTERNORRLANDS LÄN</t>
        </is>
      </c>
      <c r="E9075" t="inlineStr">
        <is>
          <t>ÖRNSKÖLDSVIK</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27819-2023</t>
        </is>
      </c>
      <c r="B9076" s="1" t="n">
        <v>45098</v>
      </c>
      <c r="C9076" s="1" t="n">
        <v>45657</v>
      </c>
      <c r="D9076" t="inlineStr">
        <is>
          <t>VÄSTERNORRLANDS LÄN</t>
        </is>
      </c>
      <c r="E9076" t="inlineStr">
        <is>
          <t>ÖRNSKÖLDSVIK</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27863-2023</t>
        </is>
      </c>
      <c r="B9077" s="1" t="n">
        <v>45098</v>
      </c>
      <c r="C9077" s="1" t="n">
        <v>45657</v>
      </c>
      <c r="D9077" t="inlineStr">
        <is>
          <t>VÄSTERNORRLANDS LÄN</t>
        </is>
      </c>
      <c r="E9077" t="inlineStr">
        <is>
          <t>ÖRNSKÖLDSVIK</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27875-2023</t>
        </is>
      </c>
      <c r="B9078" s="1" t="n">
        <v>45098</v>
      </c>
      <c r="C9078" s="1" t="n">
        <v>45657</v>
      </c>
      <c r="D9078" t="inlineStr">
        <is>
          <t>VÄSTERNORRLANDS LÄN</t>
        </is>
      </c>
      <c r="E9078" t="inlineStr">
        <is>
          <t>SUNDSVALL</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27897-2023</t>
        </is>
      </c>
      <c r="B9079" s="1" t="n">
        <v>45098</v>
      </c>
      <c r="C9079" s="1" t="n">
        <v>45657</v>
      </c>
      <c r="D9079" t="inlineStr">
        <is>
          <t>VÄSTERNORRLANDS LÄN</t>
        </is>
      </c>
      <c r="E9079" t="inlineStr">
        <is>
          <t>ÖRNSKÖLDSVIK</t>
        </is>
      </c>
      <c r="F9079" t="inlineStr">
        <is>
          <t>Holmen skog AB</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27960-2023</t>
        </is>
      </c>
      <c r="B9080" s="1" t="n">
        <v>45098</v>
      </c>
      <c r="C9080" s="1" t="n">
        <v>45657</v>
      </c>
      <c r="D9080" t="inlineStr">
        <is>
          <t>VÄSTERNORRLANDS LÄN</t>
        </is>
      </c>
      <c r="E9080" t="inlineStr">
        <is>
          <t>SUNDSVALL</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27952-2023</t>
        </is>
      </c>
      <c r="B9081" s="1" t="n">
        <v>45098</v>
      </c>
      <c r="C9081" s="1" t="n">
        <v>45657</v>
      </c>
      <c r="D9081" t="inlineStr">
        <is>
          <t>VÄSTERNORRLANDS LÄN</t>
        </is>
      </c>
      <c r="E9081" t="inlineStr">
        <is>
          <t>ÖRNSKÖLDSVIK</t>
        </is>
      </c>
      <c r="F9081" t="inlineStr">
        <is>
          <t>Holmen skog AB</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27998-2023</t>
        </is>
      </c>
      <c r="B9082" s="1" t="n">
        <v>45099</v>
      </c>
      <c r="C9082" s="1" t="n">
        <v>45657</v>
      </c>
      <c r="D9082" t="inlineStr">
        <is>
          <t>VÄSTERNORRLANDS LÄN</t>
        </is>
      </c>
      <c r="E9082" t="inlineStr">
        <is>
          <t>SUNDSVALL</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28007-2023</t>
        </is>
      </c>
      <c r="B9083" s="1" t="n">
        <v>45098</v>
      </c>
      <c r="C9083" s="1" t="n">
        <v>45657</v>
      </c>
      <c r="D9083" t="inlineStr">
        <is>
          <t>VÄSTERNORRLANDS LÄN</t>
        </is>
      </c>
      <c r="E9083" t="inlineStr">
        <is>
          <t>TIMRÅ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27938-2023</t>
        </is>
      </c>
      <c r="B9084" s="1" t="n">
        <v>45098</v>
      </c>
      <c r="C9084" s="1" t="n">
        <v>45657</v>
      </c>
      <c r="D9084" t="inlineStr">
        <is>
          <t>VÄSTERNORRLANDS LÄN</t>
        </is>
      </c>
      <c r="E9084" t="inlineStr">
        <is>
          <t>ÖRNSKÖLDSVIK</t>
        </is>
      </c>
      <c r="F9084" t="inlineStr">
        <is>
          <t>Holmen skog AB</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28015-2023</t>
        </is>
      </c>
      <c r="B9085" s="1" t="n">
        <v>45099</v>
      </c>
      <c r="C9085" s="1" t="n">
        <v>45657</v>
      </c>
      <c r="D9085" t="inlineStr">
        <is>
          <t>VÄSTERNORRLANDS LÄN</t>
        </is>
      </c>
      <c r="E9085" t="inlineStr">
        <is>
          <t>SUNDSVALL</t>
        </is>
      </c>
      <c r="F9085" t="inlineStr">
        <is>
          <t>SCA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29479-2023</t>
        </is>
      </c>
      <c r="B9086" s="1" t="n">
        <v>45098</v>
      </c>
      <c r="C9086" s="1" t="n">
        <v>45657</v>
      </c>
      <c r="D9086" t="inlineStr">
        <is>
          <t>VÄSTERNORRLANDS LÄN</t>
        </is>
      </c>
      <c r="E9086" t="inlineStr">
        <is>
          <t>ÖRNSKÖLDSVIK</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28030-2023</t>
        </is>
      </c>
      <c r="B9087" s="1" t="n">
        <v>45099</v>
      </c>
      <c r="C9087" s="1" t="n">
        <v>45657</v>
      </c>
      <c r="D9087" t="inlineStr">
        <is>
          <t>VÄSTERNORRLANDS LÄN</t>
        </is>
      </c>
      <c r="E9087" t="inlineStr">
        <is>
          <t>ÖRNSKÖLDSVIK</t>
        </is>
      </c>
      <c r="F9087" t="inlineStr">
        <is>
          <t>Holmen skog AB</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28086-2023</t>
        </is>
      </c>
      <c r="B9088" s="1" t="n">
        <v>45099</v>
      </c>
      <c r="C9088" s="1" t="n">
        <v>45657</v>
      </c>
      <c r="D9088" t="inlineStr">
        <is>
          <t>VÄSTERNORRLANDS LÄN</t>
        </is>
      </c>
      <c r="E9088" t="inlineStr">
        <is>
          <t>KRAMFORS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28052-2023</t>
        </is>
      </c>
      <c r="B9089" s="1" t="n">
        <v>45099</v>
      </c>
      <c r="C9089" s="1" t="n">
        <v>45657</v>
      </c>
      <c r="D9089" t="inlineStr">
        <is>
          <t>VÄSTERNORRLANDS LÄN</t>
        </is>
      </c>
      <c r="E9089" t="inlineStr">
        <is>
          <t>ÖRNSKÖLDSVIK</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28091-2023</t>
        </is>
      </c>
      <c r="B9090" s="1" t="n">
        <v>45099</v>
      </c>
      <c r="C9090" s="1" t="n">
        <v>45657</v>
      </c>
      <c r="D9090" t="inlineStr">
        <is>
          <t>VÄSTERNORRLANDS LÄN</t>
        </is>
      </c>
      <c r="E9090" t="inlineStr">
        <is>
          <t>ÖRNSKÖLDSVIK</t>
        </is>
      </c>
      <c r="F9090" t="inlineStr">
        <is>
          <t>Holmen skog AB</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28222-2023</t>
        </is>
      </c>
      <c r="B9091" s="1" t="n">
        <v>45099</v>
      </c>
      <c r="C9091" s="1" t="n">
        <v>45657</v>
      </c>
      <c r="D9091" t="inlineStr">
        <is>
          <t>VÄSTERNORRLANDS LÄN</t>
        </is>
      </c>
      <c r="E9091" t="inlineStr">
        <is>
          <t>ÖRNSKÖLDSVIK</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28368-2023</t>
        </is>
      </c>
      <c r="B9092" s="1" t="n">
        <v>45099</v>
      </c>
      <c r="C9092" s="1" t="n">
        <v>45657</v>
      </c>
      <c r="D9092" t="inlineStr">
        <is>
          <t>VÄSTERNORRLANDS LÄN</t>
        </is>
      </c>
      <c r="E9092" t="inlineStr">
        <is>
          <t>HÄRNÖSAND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28384-2023</t>
        </is>
      </c>
      <c r="B9093" s="1" t="n">
        <v>45100</v>
      </c>
      <c r="C9093" s="1" t="n">
        <v>45657</v>
      </c>
      <c r="D9093" t="inlineStr">
        <is>
          <t>VÄSTERNORRLANDS LÄN</t>
        </is>
      </c>
      <c r="E9093" t="inlineStr">
        <is>
          <t>SOLLEFTEÅ</t>
        </is>
      </c>
      <c r="F9093" t="inlineStr">
        <is>
          <t>SCA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28385-2023</t>
        </is>
      </c>
      <c r="B9094" s="1" t="n">
        <v>45099</v>
      </c>
      <c r="C9094" s="1" t="n">
        <v>45657</v>
      </c>
      <c r="D9094" t="inlineStr">
        <is>
          <t>VÄSTERNORRLANDS LÄN</t>
        </is>
      </c>
      <c r="E9094" t="inlineStr">
        <is>
          <t>SOLLEFTEÅ</t>
        </is>
      </c>
      <c r="F9094" t="inlineStr">
        <is>
          <t>SCA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28353-2023</t>
        </is>
      </c>
      <c r="B9095" s="1" t="n">
        <v>45099</v>
      </c>
      <c r="C9095" s="1" t="n">
        <v>45657</v>
      </c>
      <c r="D9095" t="inlineStr">
        <is>
          <t>VÄSTERNORRLANDS LÄN</t>
        </is>
      </c>
      <c r="E9095" t="inlineStr">
        <is>
          <t>KRAMFORS</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28373-2023</t>
        </is>
      </c>
      <c r="B9096" s="1" t="n">
        <v>45100</v>
      </c>
      <c r="C9096" s="1" t="n">
        <v>45657</v>
      </c>
      <c r="D9096" t="inlineStr">
        <is>
          <t>VÄSTERNORRLANDS LÄN</t>
        </is>
      </c>
      <c r="E9096" t="inlineStr">
        <is>
          <t>TIMRÅ</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28372-2023</t>
        </is>
      </c>
      <c r="B9097" s="1" t="n">
        <v>45100</v>
      </c>
      <c r="C9097" s="1" t="n">
        <v>45657</v>
      </c>
      <c r="D9097" t="inlineStr">
        <is>
          <t>VÄSTERNORRLANDS LÄN</t>
        </is>
      </c>
      <c r="E9097" t="inlineStr">
        <is>
          <t>TIMRÅ</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28382-2023</t>
        </is>
      </c>
      <c r="B9098" s="1" t="n">
        <v>45099</v>
      </c>
      <c r="C9098" s="1" t="n">
        <v>45657</v>
      </c>
      <c r="D9098" t="inlineStr">
        <is>
          <t>VÄSTERNORRLANDS LÄN</t>
        </is>
      </c>
      <c r="E9098" t="inlineStr">
        <is>
          <t>HÄRNÖSAND</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28370-2023</t>
        </is>
      </c>
      <c r="B9099" s="1" t="n">
        <v>45100</v>
      </c>
      <c r="C9099" s="1" t="n">
        <v>45657</v>
      </c>
      <c r="D9099" t="inlineStr">
        <is>
          <t>VÄSTERNORRLANDS LÄN</t>
        </is>
      </c>
      <c r="E9099" t="inlineStr">
        <is>
          <t>TIMRÅ</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28381-2023</t>
        </is>
      </c>
      <c r="B9100" s="1" t="n">
        <v>45099</v>
      </c>
      <c r="C9100" s="1" t="n">
        <v>45657</v>
      </c>
      <c r="D9100" t="inlineStr">
        <is>
          <t>VÄSTERNORRLANDS LÄN</t>
        </is>
      </c>
      <c r="E9100" t="inlineStr">
        <is>
          <t>TIMRÅ</t>
        </is>
      </c>
      <c r="F9100" t="inlineStr">
        <is>
          <t>SCA</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28369-2023</t>
        </is>
      </c>
      <c r="B9101" s="1" t="n">
        <v>45099</v>
      </c>
      <c r="C9101" s="1" t="n">
        <v>45657</v>
      </c>
      <c r="D9101" t="inlineStr">
        <is>
          <t>VÄSTERNORRLANDS LÄN</t>
        </is>
      </c>
      <c r="E9101" t="inlineStr">
        <is>
          <t>TIMRÅ</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28374-2023</t>
        </is>
      </c>
      <c r="B9102" s="1" t="n">
        <v>45099</v>
      </c>
      <c r="C9102" s="1" t="n">
        <v>45657</v>
      </c>
      <c r="D9102" t="inlineStr">
        <is>
          <t>VÄSTERNORRLANDS LÄN</t>
        </is>
      </c>
      <c r="E9102" t="inlineStr">
        <is>
          <t>SOLLEFTEÅ</t>
        </is>
      </c>
      <c r="F9102" t="inlineStr">
        <is>
          <t>SCA</t>
        </is>
      </c>
      <c r="G9102" t="n">
        <v>9.300000000000001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28378-2023</t>
        </is>
      </c>
      <c r="B9103" s="1" t="n">
        <v>45100</v>
      </c>
      <c r="C9103" s="1" t="n">
        <v>45657</v>
      </c>
      <c r="D9103" t="inlineStr">
        <is>
          <t>VÄSTERNORRLANDS LÄN</t>
        </is>
      </c>
      <c r="E9103" t="inlineStr">
        <is>
          <t>SUNDSVALL</t>
        </is>
      </c>
      <c r="F9103" t="inlineStr">
        <is>
          <t>SCA</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28366-2023</t>
        </is>
      </c>
      <c r="B9104" s="1" t="n">
        <v>45099</v>
      </c>
      <c r="C9104" s="1" t="n">
        <v>45657</v>
      </c>
      <c r="D9104" t="inlineStr">
        <is>
          <t>VÄSTERNORRLANDS LÄN</t>
        </is>
      </c>
      <c r="E9104" t="inlineStr">
        <is>
          <t>SOLLEFTEÅ</t>
        </is>
      </c>
      <c r="F9104" t="inlineStr">
        <is>
          <t>SCA</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28383-2023</t>
        </is>
      </c>
      <c r="B9105" s="1" t="n">
        <v>45099</v>
      </c>
      <c r="C9105" s="1" t="n">
        <v>45657</v>
      </c>
      <c r="D9105" t="inlineStr">
        <is>
          <t>VÄSTERNORRLANDS LÄN</t>
        </is>
      </c>
      <c r="E9105" t="inlineStr">
        <is>
          <t>SOLLEFTEÅ</t>
        </is>
      </c>
      <c r="F9105" t="inlineStr">
        <is>
          <t>SCA</t>
        </is>
      </c>
      <c r="G9105" t="n">
        <v>20.6</v>
      </c>
      <c r="H9105" t="n">
        <v>0</v>
      </c>
      <c r="I9105" t="n">
        <v>0</v>
      </c>
      <c r="J9105" t="n">
        <v>0</v>
      </c>
      <c r="K9105" t="n">
        <v>0</v>
      </c>
      <c r="L9105" t="n">
        <v>0</v>
      </c>
      <c r="M9105" t="n">
        <v>0</v>
      </c>
      <c r="N9105" t="n">
        <v>0</v>
      </c>
      <c r="O9105" t="n">
        <v>0</v>
      </c>
      <c r="P9105" t="n">
        <v>0</v>
      </c>
      <c r="Q9105" t="n">
        <v>0</v>
      </c>
      <c r="R9105" s="2" t="inlineStr"/>
    </row>
    <row r="9106" ht="15" customHeight="1">
      <c r="A9106" t="inlineStr">
        <is>
          <t>A 28355-2023</t>
        </is>
      </c>
      <c r="B9106" s="1" t="n">
        <v>45099</v>
      </c>
      <c r="C9106" s="1" t="n">
        <v>45657</v>
      </c>
      <c r="D9106" t="inlineStr">
        <is>
          <t>VÄSTERNORRLANDS LÄN</t>
        </is>
      </c>
      <c r="E9106" t="inlineStr">
        <is>
          <t>KRAMFORS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28375-2023</t>
        </is>
      </c>
      <c r="B9107" s="1" t="n">
        <v>45100</v>
      </c>
      <c r="C9107" s="1" t="n">
        <v>45657</v>
      </c>
      <c r="D9107" t="inlineStr">
        <is>
          <t>VÄSTERNORRLANDS LÄN</t>
        </is>
      </c>
      <c r="E9107" t="inlineStr">
        <is>
          <t>SOLLEFTEÅ</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28367-2023</t>
        </is>
      </c>
      <c r="B9108" s="1" t="n">
        <v>45099</v>
      </c>
      <c r="C9108" s="1" t="n">
        <v>45657</v>
      </c>
      <c r="D9108" t="inlineStr">
        <is>
          <t>VÄSTERNORRLANDS LÄN</t>
        </is>
      </c>
      <c r="E9108" t="inlineStr">
        <is>
          <t>ÅNGE</t>
        </is>
      </c>
      <c r="F9108" t="inlineStr">
        <is>
          <t>SCA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28371-2023</t>
        </is>
      </c>
      <c r="B9109" s="1" t="n">
        <v>45100</v>
      </c>
      <c r="C9109" s="1" t="n">
        <v>45657</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28387-2023</t>
        </is>
      </c>
      <c r="B9110" s="1" t="n">
        <v>45100</v>
      </c>
      <c r="C9110" s="1" t="n">
        <v>45657</v>
      </c>
      <c r="D9110" t="inlineStr">
        <is>
          <t>VÄSTERNORRLANDS LÄN</t>
        </is>
      </c>
      <c r="E9110" t="inlineStr">
        <is>
          <t>SUNDSVALL</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30163-2023</t>
        </is>
      </c>
      <c r="B9111" s="1" t="n">
        <v>45099</v>
      </c>
      <c r="C9111" s="1" t="n">
        <v>45657</v>
      </c>
      <c r="D9111" t="inlineStr">
        <is>
          <t>VÄSTERNORRLANDS LÄN</t>
        </is>
      </c>
      <c r="E9111" t="inlineStr">
        <is>
          <t>SOLLEFTEÅ</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28356-2023</t>
        </is>
      </c>
      <c r="B9112" s="1" t="n">
        <v>45099</v>
      </c>
      <c r="C9112" s="1" t="n">
        <v>45657</v>
      </c>
      <c r="D9112" t="inlineStr">
        <is>
          <t>VÄSTERNORRLANDS LÄN</t>
        </is>
      </c>
      <c r="E9112" t="inlineStr">
        <is>
          <t>KRAMFORS</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28388-2023</t>
        </is>
      </c>
      <c r="B9113" s="1" t="n">
        <v>45100</v>
      </c>
      <c r="C9113" s="1" t="n">
        <v>45657</v>
      </c>
      <c r="D9113" t="inlineStr">
        <is>
          <t>VÄSTERNORRLANDS LÄN</t>
        </is>
      </c>
      <c r="E9113" t="inlineStr">
        <is>
          <t>SUNDSVALL</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30186-2023</t>
        </is>
      </c>
      <c r="B9114" s="1" t="n">
        <v>45099</v>
      </c>
      <c r="C9114" s="1" t="n">
        <v>45657</v>
      </c>
      <c r="D9114" t="inlineStr">
        <is>
          <t>VÄSTERNORRLANDS LÄN</t>
        </is>
      </c>
      <c r="E9114" t="inlineStr">
        <is>
          <t>ÖRNSKÖLDSVIK</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30273-2023</t>
        </is>
      </c>
      <c r="B9115" s="1" t="n">
        <v>45099</v>
      </c>
      <c r="C9115" s="1" t="n">
        <v>45657</v>
      </c>
      <c r="D9115" t="inlineStr">
        <is>
          <t>VÄSTERNORRLANDS LÄN</t>
        </is>
      </c>
      <c r="E9115" t="inlineStr">
        <is>
          <t>ÅNGE</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30268-2023</t>
        </is>
      </c>
      <c r="B9116" s="1" t="n">
        <v>45099</v>
      </c>
      <c r="C9116" s="1" t="n">
        <v>45657</v>
      </c>
      <c r="D9116" t="inlineStr">
        <is>
          <t>VÄSTERNORRLANDS LÄN</t>
        </is>
      </c>
      <c r="E9116" t="inlineStr">
        <is>
          <t>ÖRNSKÖLDSVIK</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30171-2023</t>
        </is>
      </c>
      <c r="B9117" s="1" t="n">
        <v>45099</v>
      </c>
      <c r="C9117" s="1" t="n">
        <v>45657</v>
      </c>
      <c r="D9117" t="inlineStr">
        <is>
          <t>VÄSTERNORRLANDS LÄN</t>
        </is>
      </c>
      <c r="E9117" t="inlineStr">
        <is>
          <t>ÖRNSKÖLDSVIK</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30445-2023</t>
        </is>
      </c>
      <c r="B9118" s="1" t="n">
        <v>45099</v>
      </c>
      <c r="C9118" s="1" t="n">
        <v>45657</v>
      </c>
      <c r="D9118" t="inlineStr">
        <is>
          <t>VÄSTERNORRLANDS LÄN</t>
        </is>
      </c>
      <c r="E9118" t="inlineStr">
        <is>
          <t>SUNDSVALL</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28404-2023</t>
        </is>
      </c>
      <c r="B9119" s="1" t="n">
        <v>45100</v>
      </c>
      <c r="C9119" s="1" t="n">
        <v>45657</v>
      </c>
      <c r="D9119" t="inlineStr">
        <is>
          <t>VÄSTERNORRLANDS LÄN</t>
        </is>
      </c>
      <c r="E9119" t="inlineStr">
        <is>
          <t>SUNDSVALL</t>
        </is>
      </c>
      <c r="F9119" t="inlineStr">
        <is>
          <t>SCA</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28414-2023</t>
        </is>
      </c>
      <c r="B9120" s="1" t="n">
        <v>45101</v>
      </c>
      <c r="C9120" s="1" t="n">
        <v>45657</v>
      </c>
      <c r="D9120" t="inlineStr">
        <is>
          <t>VÄSTERNORRLANDS LÄN</t>
        </is>
      </c>
      <c r="E9120" t="inlineStr">
        <is>
          <t>SUNDSVALL</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28415-2023</t>
        </is>
      </c>
      <c r="B9121" s="1" t="n">
        <v>45101</v>
      </c>
      <c r="C9121" s="1" t="n">
        <v>45657</v>
      </c>
      <c r="D9121" t="inlineStr">
        <is>
          <t>VÄSTERNORRLANDS LÄN</t>
        </is>
      </c>
      <c r="E9121" t="inlineStr">
        <is>
          <t>SUNDSVALL</t>
        </is>
      </c>
      <c r="F9121" t="inlineStr">
        <is>
          <t>SCA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28416-2023</t>
        </is>
      </c>
      <c r="B9122" s="1" t="n">
        <v>45101</v>
      </c>
      <c r="C9122" s="1" t="n">
        <v>45657</v>
      </c>
      <c r="D9122" t="inlineStr">
        <is>
          <t>VÄSTERNORRLANDS LÄN</t>
        </is>
      </c>
      <c r="E9122" t="inlineStr">
        <is>
          <t>SUNDSVALL</t>
        </is>
      </c>
      <c r="F9122" t="inlineStr">
        <is>
          <t>SCA</t>
        </is>
      </c>
      <c r="G9122" t="n">
        <v>12.6</v>
      </c>
      <c r="H9122" t="n">
        <v>0</v>
      </c>
      <c r="I9122" t="n">
        <v>0</v>
      </c>
      <c r="J9122" t="n">
        <v>0</v>
      </c>
      <c r="K9122" t="n">
        <v>0</v>
      </c>
      <c r="L9122" t="n">
        <v>0</v>
      </c>
      <c r="M9122" t="n">
        <v>0</v>
      </c>
      <c r="N9122" t="n">
        <v>0</v>
      </c>
      <c r="O9122" t="n">
        <v>0</v>
      </c>
      <c r="P9122" t="n">
        <v>0</v>
      </c>
      <c r="Q9122" t="n">
        <v>0</v>
      </c>
      <c r="R9122" s="2" t="inlineStr"/>
    </row>
    <row r="9123" ht="15" customHeight="1">
      <c r="A9123" t="inlineStr">
        <is>
          <t>A 28427-2023</t>
        </is>
      </c>
      <c r="B9123" s="1" t="n">
        <v>45102</v>
      </c>
      <c r="C9123" s="1" t="n">
        <v>45657</v>
      </c>
      <c r="D9123" t="inlineStr">
        <is>
          <t>VÄSTERNORRLANDS LÄN</t>
        </is>
      </c>
      <c r="E9123" t="inlineStr">
        <is>
          <t>ÅNGE</t>
        </is>
      </c>
      <c r="F9123" t="inlineStr">
        <is>
          <t>Kyrkan</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28435-2023</t>
        </is>
      </c>
      <c r="B9124" s="1" t="n">
        <v>45102</v>
      </c>
      <c r="C9124" s="1" t="n">
        <v>45657</v>
      </c>
      <c r="D9124" t="inlineStr">
        <is>
          <t>VÄSTERNORRLANDS LÄN</t>
        </is>
      </c>
      <c r="E9124" t="inlineStr">
        <is>
          <t>ÅNGE</t>
        </is>
      </c>
      <c r="F9124" t="inlineStr">
        <is>
          <t>Kyrkan</t>
        </is>
      </c>
      <c r="G9124" t="n">
        <v>12.1</v>
      </c>
      <c r="H9124" t="n">
        <v>0</v>
      </c>
      <c r="I9124" t="n">
        <v>0</v>
      </c>
      <c r="J9124" t="n">
        <v>0</v>
      </c>
      <c r="K9124" t="n">
        <v>0</v>
      </c>
      <c r="L9124" t="n">
        <v>0</v>
      </c>
      <c r="M9124" t="n">
        <v>0</v>
      </c>
      <c r="N9124" t="n">
        <v>0</v>
      </c>
      <c r="O9124" t="n">
        <v>0</v>
      </c>
      <c r="P9124" t="n">
        <v>0</v>
      </c>
      <c r="Q9124" t="n">
        <v>0</v>
      </c>
      <c r="R9124" s="2" t="inlineStr"/>
    </row>
    <row r="9125" ht="15" customHeight="1">
      <c r="A9125" t="inlineStr">
        <is>
          <t>A 28428-2023</t>
        </is>
      </c>
      <c r="B9125" s="1" t="n">
        <v>45102</v>
      </c>
      <c r="C9125" s="1" t="n">
        <v>45657</v>
      </c>
      <c r="D9125" t="inlineStr">
        <is>
          <t>VÄSTERNORRLANDS LÄN</t>
        </is>
      </c>
      <c r="E9125" t="inlineStr">
        <is>
          <t>ÅNGE</t>
        </is>
      </c>
      <c r="F9125" t="inlineStr">
        <is>
          <t>Kyrkan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28467-2023</t>
        </is>
      </c>
      <c r="B9126" s="1" t="n">
        <v>45103</v>
      </c>
      <c r="C9126" s="1" t="n">
        <v>45657</v>
      </c>
      <c r="D9126" t="inlineStr">
        <is>
          <t>VÄSTERNORRLANDS LÄN</t>
        </is>
      </c>
      <c r="E9126" t="inlineStr">
        <is>
          <t>ÖRNSKÖLDSVIK</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28472-2023</t>
        </is>
      </c>
      <c r="B9127" s="1" t="n">
        <v>45103</v>
      </c>
      <c r="C9127" s="1" t="n">
        <v>45657</v>
      </c>
      <c r="D9127" t="inlineStr">
        <is>
          <t>VÄSTERNORRLANDS LÄN</t>
        </is>
      </c>
      <c r="E9127" t="inlineStr">
        <is>
          <t>ÖRNSKÖLDSVIK</t>
        </is>
      </c>
      <c r="F9127" t="inlineStr">
        <is>
          <t>Holmen skog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28514-2023</t>
        </is>
      </c>
      <c r="B9128" s="1" t="n">
        <v>45103</v>
      </c>
      <c r="C9128" s="1" t="n">
        <v>45657</v>
      </c>
      <c r="D9128" t="inlineStr">
        <is>
          <t>VÄSTERNORRLANDS LÄN</t>
        </is>
      </c>
      <c r="E9128" t="inlineStr">
        <is>
          <t>ÖRNSKÖLDSVIK</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28518-2023</t>
        </is>
      </c>
      <c r="B9129" s="1" t="n">
        <v>45103</v>
      </c>
      <c r="C9129" s="1" t="n">
        <v>45657</v>
      </c>
      <c r="D9129" t="inlineStr">
        <is>
          <t>VÄSTERNORRLANDS LÄN</t>
        </is>
      </c>
      <c r="E9129" t="inlineStr">
        <is>
          <t>ÖRNSKÖLDSVIK</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28699-2023</t>
        </is>
      </c>
      <c r="B9130" s="1" t="n">
        <v>45103</v>
      </c>
      <c r="C9130" s="1" t="n">
        <v>45657</v>
      </c>
      <c r="D9130" t="inlineStr">
        <is>
          <t>VÄSTERNORRLANDS LÄN</t>
        </is>
      </c>
      <c r="E9130" t="inlineStr">
        <is>
          <t>ÅNGE</t>
        </is>
      </c>
      <c r="F9130" t="inlineStr">
        <is>
          <t>Holmen skog AB</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28707-2023</t>
        </is>
      </c>
      <c r="B9131" s="1" t="n">
        <v>45103</v>
      </c>
      <c r="C9131" s="1" t="n">
        <v>45657</v>
      </c>
      <c r="D9131" t="inlineStr">
        <is>
          <t>VÄSTERNORRLANDS LÄN</t>
        </is>
      </c>
      <c r="E9131" t="inlineStr">
        <is>
          <t>ÅNGE</t>
        </is>
      </c>
      <c r="F9131" t="inlineStr">
        <is>
          <t>Holmen skog AB</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28736-2023</t>
        </is>
      </c>
      <c r="B9132" s="1" t="n">
        <v>45104</v>
      </c>
      <c r="C9132" s="1" t="n">
        <v>45657</v>
      </c>
      <c r="D9132" t="inlineStr">
        <is>
          <t>VÄSTERNORRLANDS LÄN</t>
        </is>
      </c>
      <c r="E9132" t="inlineStr">
        <is>
          <t>SOLLEFTEÅ</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28730-2023</t>
        </is>
      </c>
      <c r="B9133" s="1" t="n">
        <v>45103</v>
      </c>
      <c r="C9133" s="1" t="n">
        <v>45657</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28734-2023</t>
        </is>
      </c>
      <c r="B9134" s="1" t="n">
        <v>45104</v>
      </c>
      <c r="C9134" s="1" t="n">
        <v>45657</v>
      </c>
      <c r="D9134" t="inlineStr">
        <is>
          <t>VÄSTERNORRLANDS LÄN</t>
        </is>
      </c>
      <c r="E9134" t="inlineStr">
        <is>
          <t>TIMRÅ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28750-2023</t>
        </is>
      </c>
      <c r="B9135" s="1" t="n">
        <v>45104</v>
      </c>
      <c r="C9135" s="1" t="n">
        <v>45657</v>
      </c>
      <c r="D9135" t="inlineStr">
        <is>
          <t>VÄSTERNORRLANDS LÄN</t>
        </is>
      </c>
      <c r="E9135" t="inlineStr">
        <is>
          <t>TIMRÅ</t>
        </is>
      </c>
      <c r="F9135" t="inlineStr">
        <is>
          <t>SCA</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28749-2023</t>
        </is>
      </c>
      <c r="B9136" s="1" t="n">
        <v>45103</v>
      </c>
      <c r="C9136" s="1" t="n">
        <v>45657</v>
      </c>
      <c r="D9136" t="inlineStr">
        <is>
          <t>VÄSTERNORRLANDS LÄN</t>
        </is>
      </c>
      <c r="E9136" t="inlineStr">
        <is>
          <t>SOLLEFTEÅ</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30972-2023</t>
        </is>
      </c>
      <c r="B9137" s="1" t="n">
        <v>45103</v>
      </c>
      <c r="C9137" s="1" t="n">
        <v>45657</v>
      </c>
      <c r="D9137" t="inlineStr">
        <is>
          <t>VÄSTERNORRLANDS LÄN</t>
        </is>
      </c>
      <c r="E9137" t="inlineStr">
        <is>
          <t>ÖRNSKÖLDSVIK</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31148-2023</t>
        </is>
      </c>
      <c r="B9138" s="1" t="n">
        <v>45103</v>
      </c>
      <c r="C9138" s="1" t="n">
        <v>45657</v>
      </c>
      <c r="D9138" t="inlineStr">
        <is>
          <t>VÄSTERNORRLANDS LÄN</t>
        </is>
      </c>
      <c r="E9138" t="inlineStr">
        <is>
          <t>TIMRÅ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31003-2023</t>
        </is>
      </c>
      <c r="B9139" s="1" t="n">
        <v>45103</v>
      </c>
      <c r="C9139" s="1" t="n">
        <v>45657</v>
      </c>
      <c r="D9139" t="inlineStr">
        <is>
          <t>VÄSTERNORRLANDS LÄN</t>
        </is>
      </c>
      <c r="E9139" t="inlineStr">
        <is>
          <t>ÖRNSKÖLDSVIK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31036-2023</t>
        </is>
      </c>
      <c r="B9140" s="1" t="n">
        <v>45103</v>
      </c>
      <c r="C9140" s="1" t="n">
        <v>45657</v>
      </c>
      <c r="D9140" t="inlineStr">
        <is>
          <t>VÄSTERNORRLANDS LÄN</t>
        </is>
      </c>
      <c r="E9140" t="inlineStr">
        <is>
          <t>SUNDSVALL</t>
        </is>
      </c>
      <c r="G9140" t="n">
        <v>10.1</v>
      </c>
      <c r="H9140" t="n">
        <v>0</v>
      </c>
      <c r="I9140" t="n">
        <v>0</v>
      </c>
      <c r="J9140" t="n">
        <v>0</v>
      </c>
      <c r="K9140" t="n">
        <v>0</v>
      </c>
      <c r="L9140" t="n">
        <v>0</v>
      </c>
      <c r="M9140" t="n">
        <v>0</v>
      </c>
      <c r="N9140" t="n">
        <v>0</v>
      </c>
      <c r="O9140" t="n">
        <v>0</v>
      </c>
      <c r="P9140" t="n">
        <v>0</v>
      </c>
      <c r="Q9140" t="n">
        <v>0</v>
      </c>
      <c r="R9140" s="2" t="inlineStr"/>
      <c r="U9140">
        <f>HYPERLINK("https://klasma.github.io/Logging_2281/knärot/A 31036-2023 karta knärot.png", "A 31036-2023")</f>
        <v/>
      </c>
      <c r="V9140">
        <f>HYPERLINK("https://klasma.github.io/Logging_2281/klagomål/A 31036-2023 FSC-klagomål.docx", "A 31036-2023")</f>
        <v/>
      </c>
      <c r="W9140">
        <f>HYPERLINK("https://klasma.github.io/Logging_2281/klagomålsmail/A 31036-2023 FSC-klagomål mail.docx", "A 31036-2023")</f>
        <v/>
      </c>
      <c r="X9140">
        <f>HYPERLINK("https://klasma.github.io/Logging_2281/tillsyn/A 31036-2023 tillsynsbegäran.docx", "A 31036-2023")</f>
        <v/>
      </c>
      <c r="Y9140">
        <f>HYPERLINK("https://klasma.github.io/Logging_2281/tillsynsmail/A 31036-2023 tillsynsbegäran mail.docx", "A 31036-2023")</f>
        <v/>
      </c>
    </row>
    <row r="9141" ht="15" customHeight="1">
      <c r="A9141" t="inlineStr">
        <is>
          <t>A 31150-2023</t>
        </is>
      </c>
      <c r="B9141" s="1" t="n">
        <v>45103</v>
      </c>
      <c r="C9141" s="1" t="n">
        <v>45657</v>
      </c>
      <c r="D9141" t="inlineStr">
        <is>
          <t>VÄSTERNORRLANDS LÄN</t>
        </is>
      </c>
      <c r="E9141" t="inlineStr">
        <is>
          <t>TIMRÅ</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28602-2023</t>
        </is>
      </c>
      <c r="B9142" s="1" t="n">
        <v>45103</v>
      </c>
      <c r="C9142" s="1" t="n">
        <v>45657</v>
      </c>
      <c r="D9142" t="inlineStr">
        <is>
          <t>VÄSTERNORRLANDS LÄN</t>
        </is>
      </c>
      <c r="E9142" t="inlineStr">
        <is>
          <t>ÖRNSKÖLDSVIK</t>
        </is>
      </c>
      <c r="F9142" t="inlineStr">
        <is>
          <t>Holmen skog AB</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28669-2023</t>
        </is>
      </c>
      <c r="B9143" s="1" t="n">
        <v>45103</v>
      </c>
      <c r="C9143" s="1" t="n">
        <v>45657</v>
      </c>
      <c r="D9143" t="inlineStr">
        <is>
          <t>VÄSTERNORRLANDS LÄN</t>
        </is>
      </c>
      <c r="E9143" t="inlineStr">
        <is>
          <t>SUNDSVALL</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30978-2023</t>
        </is>
      </c>
      <c r="B9144" s="1" t="n">
        <v>45103</v>
      </c>
      <c r="C9144" s="1" t="n">
        <v>45657</v>
      </c>
      <c r="D9144" t="inlineStr">
        <is>
          <t>VÄSTERNORRLANDS LÄN</t>
        </is>
      </c>
      <c r="E9144" t="inlineStr">
        <is>
          <t>ÖRNSKÖLDSVIK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31154-2023</t>
        </is>
      </c>
      <c r="B9145" s="1" t="n">
        <v>45103</v>
      </c>
      <c r="C9145" s="1" t="n">
        <v>45657</v>
      </c>
      <c r="D9145" t="inlineStr">
        <is>
          <t>VÄSTERNORRLANDS LÄN</t>
        </is>
      </c>
      <c r="E9145" t="inlineStr">
        <is>
          <t>TIMRÅ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28784-2023</t>
        </is>
      </c>
      <c r="B9146" s="1" t="n">
        <v>45104</v>
      </c>
      <c r="C9146" s="1" t="n">
        <v>45657</v>
      </c>
      <c r="D9146" t="inlineStr">
        <is>
          <t>VÄSTERNORRLANDS LÄN</t>
        </is>
      </c>
      <c r="E9146" t="inlineStr">
        <is>
          <t>ÅNGE</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28850-2023</t>
        </is>
      </c>
      <c r="B9147" s="1" t="n">
        <v>45104</v>
      </c>
      <c r="C9147" s="1" t="n">
        <v>45657</v>
      </c>
      <c r="D9147" t="inlineStr">
        <is>
          <t>VÄSTERNORRLANDS LÄN</t>
        </is>
      </c>
      <c r="E9147" t="inlineStr">
        <is>
          <t>ÖRNSKÖLDSVIK</t>
        </is>
      </c>
      <c r="F9147" t="inlineStr">
        <is>
          <t>Holmen skog AB</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28861-2023</t>
        </is>
      </c>
      <c r="B9148" s="1" t="n">
        <v>45104</v>
      </c>
      <c r="C9148" s="1" t="n">
        <v>45657</v>
      </c>
      <c r="D9148" t="inlineStr">
        <is>
          <t>VÄSTERNORRLANDS LÄN</t>
        </is>
      </c>
      <c r="E9148" t="inlineStr">
        <is>
          <t>ÖRNSKÖLDSVIK</t>
        </is>
      </c>
      <c r="F9148" t="inlineStr">
        <is>
          <t>Holmen skog AB</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28995-2023</t>
        </is>
      </c>
      <c r="B9149" s="1" t="n">
        <v>45104</v>
      </c>
      <c r="C9149" s="1" t="n">
        <v>45657</v>
      </c>
      <c r="D9149" t="inlineStr">
        <is>
          <t>VÄSTERNORRLANDS LÄN</t>
        </is>
      </c>
      <c r="E9149" t="inlineStr">
        <is>
          <t>ÖRNSKÖLDSVIK</t>
        </is>
      </c>
      <c r="F9149" t="inlineStr">
        <is>
          <t>Holmen skog AB</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31381-2023</t>
        </is>
      </c>
      <c r="B9150" s="1" t="n">
        <v>45104</v>
      </c>
      <c r="C9150" s="1" t="n">
        <v>45657</v>
      </c>
      <c r="D9150" t="inlineStr">
        <is>
          <t>VÄSTERNORRLANDS LÄN</t>
        </is>
      </c>
      <c r="E9150" t="inlineStr">
        <is>
          <t>TIMRÅ</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31414-2023</t>
        </is>
      </c>
      <c r="B9151" s="1" t="n">
        <v>45104</v>
      </c>
      <c r="C9151" s="1" t="n">
        <v>45657</v>
      </c>
      <c r="D9151" t="inlineStr">
        <is>
          <t>VÄSTERNORRLANDS LÄN</t>
        </is>
      </c>
      <c r="E9151" t="inlineStr">
        <is>
          <t>SUNDSVALL</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31474-2023</t>
        </is>
      </c>
      <c r="B9152" s="1" t="n">
        <v>45104</v>
      </c>
      <c r="C9152" s="1" t="n">
        <v>45657</v>
      </c>
      <c r="D9152" t="inlineStr">
        <is>
          <t>VÄSTERNORRLANDS LÄN</t>
        </is>
      </c>
      <c r="E9152" t="inlineStr">
        <is>
          <t>TIMRÅ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28779-2023</t>
        </is>
      </c>
      <c r="B9153" s="1" t="n">
        <v>45104</v>
      </c>
      <c r="C9153" s="1" t="n">
        <v>45657</v>
      </c>
      <c r="D9153" t="inlineStr">
        <is>
          <t>VÄSTERNORRLANDS LÄN</t>
        </is>
      </c>
      <c r="E9153" t="inlineStr">
        <is>
          <t>ÅNGE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28821-2023</t>
        </is>
      </c>
      <c r="B9154" s="1" t="n">
        <v>45104</v>
      </c>
      <c r="C9154" s="1" t="n">
        <v>45657</v>
      </c>
      <c r="D9154" t="inlineStr">
        <is>
          <t>VÄSTERNORRLANDS LÄN</t>
        </is>
      </c>
      <c r="E9154" t="inlineStr">
        <is>
          <t>ÅNGE</t>
        </is>
      </c>
      <c r="F9154" t="inlineStr">
        <is>
          <t>Holmen skog AB</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28830-2023</t>
        </is>
      </c>
      <c r="B9155" s="1" t="n">
        <v>45104</v>
      </c>
      <c r="C9155" s="1" t="n">
        <v>45657</v>
      </c>
      <c r="D9155" t="inlineStr">
        <is>
          <t>VÄSTERNORRLANDS LÄN</t>
        </is>
      </c>
      <c r="E9155" t="inlineStr">
        <is>
          <t>ÖRNSKÖLDSVIK</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28868-2023</t>
        </is>
      </c>
      <c r="B9156" s="1" t="n">
        <v>45104</v>
      </c>
      <c r="C9156" s="1" t="n">
        <v>45657</v>
      </c>
      <c r="D9156" t="inlineStr">
        <is>
          <t>VÄSTERNORRLANDS LÄN</t>
        </is>
      </c>
      <c r="E9156" t="inlineStr">
        <is>
          <t>ÖRNSKÖLDSVIK</t>
        </is>
      </c>
      <c r="F9156" t="inlineStr">
        <is>
          <t>Holmen skog AB</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28886-2023</t>
        </is>
      </c>
      <c r="B9157" s="1" t="n">
        <v>45104</v>
      </c>
      <c r="C9157" s="1" t="n">
        <v>45657</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31378-2023</t>
        </is>
      </c>
      <c r="B9158" s="1" t="n">
        <v>45104</v>
      </c>
      <c r="C9158" s="1" t="n">
        <v>45657</v>
      </c>
      <c r="D9158" t="inlineStr">
        <is>
          <t>VÄSTERNORRLANDS LÄN</t>
        </is>
      </c>
      <c r="E9158" t="inlineStr">
        <is>
          <t>TIMRÅ</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28827-2023</t>
        </is>
      </c>
      <c r="B9159" s="1" t="n">
        <v>45104</v>
      </c>
      <c r="C9159" s="1" t="n">
        <v>45657</v>
      </c>
      <c r="D9159" t="inlineStr">
        <is>
          <t>VÄSTERNORRLANDS LÄN</t>
        </is>
      </c>
      <c r="E9159" t="inlineStr">
        <is>
          <t>ÖRNSKÖLDSVIK</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28849-2023</t>
        </is>
      </c>
      <c r="B9160" s="1" t="n">
        <v>45104</v>
      </c>
      <c r="C9160" s="1" t="n">
        <v>45657</v>
      </c>
      <c r="D9160" t="inlineStr">
        <is>
          <t>VÄSTERNORRLANDS LÄN</t>
        </is>
      </c>
      <c r="E9160" t="inlineStr">
        <is>
          <t>ÖRNSKÖLDSVIK</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29035-2023</t>
        </is>
      </c>
      <c r="B9161" s="1" t="n">
        <v>45104</v>
      </c>
      <c r="C9161" s="1" t="n">
        <v>45657</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31476-2023</t>
        </is>
      </c>
      <c r="B9162" s="1" t="n">
        <v>45104</v>
      </c>
      <c r="C9162" s="1" t="n">
        <v>45657</v>
      </c>
      <c r="D9162" t="inlineStr">
        <is>
          <t>VÄSTERNORRLANDS LÄN</t>
        </is>
      </c>
      <c r="E9162" t="inlineStr">
        <is>
          <t>ÖRNSKÖLDSVIK</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29065-2023</t>
        </is>
      </c>
      <c r="B9163" s="1" t="n">
        <v>45105</v>
      </c>
      <c r="C9163" s="1" t="n">
        <v>45657</v>
      </c>
      <c r="D9163" t="inlineStr">
        <is>
          <t>VÄSTERNORRLANDS LÄN</t>
        </is>
      </c>
      <c r="E9163" t="inlineStr">
        <is>
          <t>SOLLEFTEÅ</t>
        </is>
      </c>
      <c r="F9163" t="inlineStr">
        <is>
          <t>SCA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31343-2023</t>
        </is>
      </c>
      <c r="B9164" s="1" t="n">
        <v>45104</v>
      </c>
      <c r="C9164" s="1" t="n">
        <v>45657</v>
      </c>
      <c r="D9164" t="inlineStr">
        <is>
          <t>VÄSTERNORRLANDS LÄN</t>
        </is>
      </c>
      <c r="E9164" t="inlineStr">
        <is>
          <t>TIMRÅ</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31475-2023</t>
        </is>
      </c>
      <c r="B9165" s="1" t="n">
        <v>45104</v>
      </c>
      <c r="C9165" s="1" t="n">
        <v>45657</v>
      </c>
      <c r="D9165" t="inlineStr">
        <is>
          <t>VÄSTERNORRLANDS LÄN</t>
        </is>
      </c>
      <c r="E9165" t="inlineStr">
        <is>
          <t>ÖRNSKÖLDSVIK</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29062-2023</t>
        </is>
      </c>
      <c r="B9166" s="1" t="n">
        <v>45104</v>
      </c>
      <c r="C9166" s="1" t="n">
        <v>45657</v>
      </c>
      <c r="D9166" t="inlineStr">
        <is>
          <t>VÄSTERNORRLANDS LÄN</t>
        </is>
      </c>
      <c r="E9166" t="inlineStr">
        <is>
          <t>SOLLEFTEÅ</t>
        </is>
      </c>
      <c r="F9166" t="inlineStr">
        <is>
          <t>SCA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29063-2023</t>
        </is>
      </c>
      <c r="B9167" s="1" t="n">
        <v>45105</v>
      </c>
      <c r="C9167" s="1" t="n">
        <v>45657</v>
      </c>
      <c r="D9167" t="inlineStr">
        <is>
          <t>VÄSTERNORRLANDS LÄN</t>
        </is>
      </c>
      <c r="E9167" t="inlineStr">
        <is>
          <t>ÅNGE</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31464-2023</t>
        </is>
      </c>
      <c r="B9168" s="1" t="n">
        <v>45104</v>
      </c>
      <c r="C9168" s="1" t="n">
        <v>45657</v>
      </c>
      <c r="D9168" t="inlineStr">
        <is>
          <t>VÄSTERNORRLANDS LÄN</t>
        </is>
      </c>
      <c r="E9168" t="inlineStr">
        <is>
          <t>ÖRNSKÖLDSVIK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31472-2023</t>
        </is>
      </c>
      <c r="B9169" s="1" t="n">
        <v>45104</v>
      </c>
      <c r="C9169" s="1" t="n">
        <v>45657</v>
      </c>
      <c r="D9169" t="inlineStr">
        <is>
          <t>VÄSTERNORRLANDS LÄN</t>
        </is>
      </c>
      <c r="E9169" t="inlineStr">
        <is>
          <t>TIMRÅ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29064-2023</t>
        </is>
      </c>
      <c r="B9170" s="1" t="n">
        <v>45105</v>
      </c>
      <c r="C9170" s="1" t="n">
        <v>45657</v>
      </c>
      <c r="D9170" t="inlineStr">
        <is>
          <t>VÄSTERNORRLANDS LÄN</t>
        </is>
      </c>
      <c r="E9170" t="inlineStr">
        <is>
          <t>SOLLEFTEÅ</t>
        </is>
      </c>
      <c r="F9170" t="inlineStr">
        <is>
          <t>SCA</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29070-2023</t>
        </is>
      </c>
      <c r="B9171" s="1" t="n">
        <v>45105</v>
      </c>
      <c r="C9171" s="1" t="n">
        <v>45657</v>
      </c>
      <c r="D9171" t="inlineStr">
        <is>
          <t>VÄSTERNORRLANDS LÄN</t>
        </is>
      </c>
      <c r="E9171" t="inlineStr">
        <is>
          <t>SOLLEFTEÅ</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29370-2023</t>
        </is>
      </c>
      <c r="B9172" s="1" t="n">
        <v>45104</v>
      </c>
      <c r="C9172" s="1" t="n">
        <v>45657</v>
      </c>
      <c r="D9172" t="inlineStr">
        <is>
          <t>VÄSTERNORRLANDS LÄN</t>
        </is>
      </c>
      <c r="E9172" t="inlineStr">
        <is>
          <t>ÖRNSKÖLDSVIK</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29151-2023</t>
        </is>
      </c>
      <c r="B9173" s="1" t="n">
        <v>45105</v>
      </c>
      <c r="C9173" s="1" t="n">
        <v>45657</v>
      </c>
      <c r="D9173" t="inlineStr">
        <is>
          <t>VÄSTERNORRLANDS LÄN</t>
        </is>
      </c>
      <c r="E9173" t="inlineStr">
        <is>
          <t>ÖRNSKÖLDSVIK</t>
        </is>
      </c>
      <c r="F9173" t="inlineStr">
        <is>
          <t>Holmen skog AB</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29200-2023</t>
        </is>
      </c>
      <c r="B9174" s="1" t="n">
        <v>45105</v>
      </c>
      <c r="C9174" s="1" t="n">
        <v>45657</v>
      </c>
      <c r="D9174" t="inlineStr">
        <is>
          <t>VÄSTERNORRLANDS LÄN</t>
        </is>
      </c>
      <c r="E9174" t="inlineStr">
        <is>
          <t>ÖRNSKÖLDSVIK</t>
        </is>
      </c>
      <c r="F9174" t="inlineStr">
        <is>
          <t>Holmen skog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29206-2023</t>
        </is>
      </c>
      <c r="B9175" s="1" t="n">
        <v>45105</v>
      </c>
      <c r="C9175" s="1" t="n">
        <v>45657</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29249-2023</t>
        </is>
      </c>
      <c r="B9176" s="1" t="n">
        <v>45105</v>
      </c>
      <c r="C9176" s="1" t="n">
        <v>45657</v>
      </c>
      <c r="D9176" t="inlineStr">
        <is>
          <t>VÄSTERNORRLANDS LÄN</t>
        </is>
      </c>
      <c r="E9176" t="inlineStr">
        <is>
          <t>ÖRNSKÖLDSVIK</t>
        </is>
      </c>
      <c r="F9176" t="inlineStr">
        <is>
          <t>Holmen skog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29169-2023</t>
        </is>
      </c>
      <c r="B9177" s="1" t="n">
        <v>45105</v>
      </c>
      <c r="C9177" s="1" t="n">
        <v>45657</v>
      </c>
      <c r="D9177" t="inlineStr">
        <is>
          <t>VÄSTERNORRLANDS LÄN</t>
        </is>
      </c>
      <c r="E9177" t="inlineStr">
        <is>
          <t>ÖRNSKÖLDSVIK</t>
        </is>
      </c>
      <c r="F9177" t="inlineStr">
        <is>
          <t>Holmen skog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29184-2023</t>
        </is>
      </c>
      <c r="B9178" s="1" t="n">
        <v>45105</v>
      </c>
      <c r="C9178" s="1" t="n">
        <v>45657</v>
      </c>
      <c r="D9178" t="inlineStr">
        <is>
          <t>VÄSTERNORRLANDS LÄN</t>
        </is>
      </c>
      <c r="E9178" t="inlineStr">
        <is>
          <t>ÖRNSKÖLDSVIK</t>
        </is>
      </c>
      <c r="F9178" t="inlineStr">
        <is>
          <t>Holmen skog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29321-2023</t>
        </is>
      </c>
      <c r="B9179" s="1" t="n">
        <v>45106</v>
      </c>
      <c r="C9179" s="1" t="n">
        <v>45657</v>
      </c>
      <c r="D9179" t="inlineStr">
        <is>
          <t>VÄSTERNORRLANDS LÄN</t>
        </is>
      </c>
      <c r="E9179" t="inlineStr">
        <is>
          <t>ÅNGE</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29306-2023</t>
        </is>
      </c>
      <c r="B9180" s="1" t="n">
        <v>45106</v>
      </c>
      <c r="C9180" s="1" t="n">
        <v>45657</v>
      </c>
      <c r="D9180" t="inlineStr">
        <is>
          <t>VÄSTERNORRLANDS LÄN</t>
        </is>
      </c>
      <c r="E9180" t="inlineStr">
        <is>
          <t>SOLLEFTEÅ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29337-2023</t>
        </is>
      </c>
      <c r="B9181" s="1" t="n">
        <v>45105</v>
      </c>
      <c r="C9181" s="1" t="n">
        <v>45657</v>
      </c>
      <c r="D9181" t="inlineStr">
        <is>
          <t>VÄSTERNORRLANDS LÄN</t>
        </is>
      </c>
      <c r="E9181" t="inlineStr">
        <is>
          <t>SOLLEFTEÅ</t>
        </is>
      </c>
      <c r="F9181" t="inlineStr">
        <is>
          <t>SCA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29341-2023</t>
        </is>
      </c>
      <c r="B9182" s="1" t="n">
        <v>45106</v>
      </c>
      <c r="C9182" s="1" t="n">
        <v>45657</v>
      </c>
      <c r="D9182" t="inlineStr">
        <is>
          <t>VÄSTERNORRLANDS LÄN</t>
        </is>
      </c>
      <c r="E9182" t="inlineStr">
        <is>
          <t>ÖRNSKÖLDSVIK</t>
        </is>
      </c>
      <c r="F9182" t="inlineStr">
        <is>
          <t>SCA</t>
        </is>
      </c>
      <c r="G9182" t="n">
        <v>37.5</v>
      </c>
      <c r="H9182" t="n">
        <v>0</v>
      </c>
      <c r="I9182" t="n">
        <v>0</v>
      </c>
      <c r="J9182" t="n">
        <v>0</v>
      </c>
      <c r="K9182" t="n">
        <v>0</v>
      </c>
      <c r="L9182" t="n">
        <v>0</v>
      </c>
      <c r="M9182" t="n">
        <v>0</v>
      </c>
      <c r="N9182" t="n">
        <v>0</v>
      </c>
      <c r="O9182" t="n">
        <v>0</v>
      </c>
      <c r="P9182" t="n">
        <v>0</v>
      </c>
      <c r="Q9182" t="n">
        <v>0</v>
      </c>
      <c r="R9182" s="2" t="inlineStr"/>
    </row>
    <row r="9183" ht="15" customHeight="1">
      <c r="A9183" t="inlineStr">
        <is>
          <t>A 29330-2023</t>
        </is>
      </c>
      <c r="B9183" s="1" t="n">
        <v>45105</v>
      </c>
      <c r="C9183" s="1" t="n">
        <v>45657</v>
      </c>
      <c r="D9183" t="inlineStr">
        <is>
          <t>VÄSTERNORRLANDS LÄN</t>
        </is>
      </c>
      <c r="E9183" t="inlineStr">
        <is>
          <t>ÅNGE</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29338-2023</t>
        </is>
      </c>
      <c r="B9184" s="1" t="n">
        <v>45106</v>
      </c>
      <c r="C9184" s="1" t="n">
        <v>45657</v>
      </c>
      <c r="D9184" t="inlineStr">
        <is>
          <t>VÄSTERNORRLANDS LÄN</t>
        </is>
      </c>
      <c r="E9184" t="inlineStr">
        <is>
          <t>ÖRNSKÖLDSVIK</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29342-2023</t>
        </is>
      </c>
      <c r="B9185" s="1" t="n">
        <v>45105</v>
      </c>
      <c r="C9185" s="1" t="n">
        <v>45657</v>
      </c>
      <c r="D9185" t="inlineStr">
        <is>
          <t>VÄSTERNORRLANDS LÄN</t>
        </is>
      </c>
      <c r="E9185" t="inlineStr">
        <is>
          <t>ÅNGE</t>
        </is>
      </c>
      <c r="F9185" t="inlineStr">
        <is>
          <t>SCA</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29320-2023</t>
        </is>
      </c>
      <c r="B9186" s="1" t="n">
        <v>45106</v>
      </c>
      <c r="C9186" s="1" t="n">
        <v>45657</v>
      </c>
      <c r="D9186" t="inlineStr">
        <is>
          <t>VÄSTERNORRLANDS LÄN</t>
        </is>
      </c>
      <c r="E9186" t="inlineStr">
        <is>
          <t>ÅNGE</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29111-2023</t>
        </is>
      </c>
      <c r="B9187" s="1" t="n">
        <v>45105</v>
      </c>
      <c r="C9187" s="1" t="n">
        <v>45657</v>
      </c>
      <c r="D9187" t="inlineStr">
        <is>
          <t>VÄSTERNORRLANDS LÄN</t>
        </is>
      </c>
      <c r="E9187" t="inlineStr">
        <is>
          <t>ÖRNSKÖLDSVIK</t>
        </is>
      </c>
      <c r="F9187" t="inlineStr">
        <is>
          <t>Holmen skog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29331-2023</t>
        </is>
      </c>
      <c r="B9188" s="1" t="n">
        <v>45105</v>
      </c>
      <c r="C9188" s="1" t="n">
        <v>45657</v>
      </c>
      <c r="D9188" t="inlineStr">
        <is>
          <t>VÄSTERNORRLANDS LÄN</t>
        </is>
      </c>
      <c r="E9188" t="inlineStr">
        <is>
          <t>ÅNGE</t>
        </is>
      </c>
      <c r="F9188" t="inlineStr">
        <is>
          <t>SCA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29336-2023</t>
        </is>
      </c>
      <c r="B9189" s="1" t="n">
        <v>45105</v>
      </c>
      <c r="C9189" s="1" t="n">
        <v>45657</v>
      </c>
      <c r="D9189" t="inlineStr">
        <is>
          <t>VÄSTERNORRLANDS LÄN</t>
        </is>
      </c>
      <c r="E9189" t="inlineStr">
        <is>
          <t>SOLLEFTEÅ</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29340-2023</t>
        </is>
      </c>
      <c r="B9190" s="1" t="n">
        <v>45105</v>
      </c>
      <c r="C9190" s="1" t="n">
        <v>45657</v>
      </c>
      <c r="D9190" t="inlineStr">
        <is>
          <t>VÄSTERNORRLANDS LÄN</t>
        </is>
      </c>
      <c r="E9190" t="inlineStr">
        <is>
          <t>SUNDSVALL</t>
        </is>
      </c>
      <c r="F9190" t="inlineStr">
        <is>
          <t>SCA</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29406-2023</t>
        </is>
      </c>
      <c r="B9191" s="1" t="n">
        <v>45106</v>
      </c>
      <c r="C9191" s="1" t="n">
        <v>45657</v>
      </c>
      <c r="D9191" t="inlineStr">
        <is>
          <t>VÄSTERNORRLANDS LÄN</t>
        </is>
      </c>
      <c r="E9191" t="inlineStr">
        <is>
          <t>ÖRNSKÖLDSVIK</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29395-2023</t>
        </is>
      </c>
      <c r="B9192" s="1" t="n">
        <v>45106</v>
      </c>
      <c r="C9192" s="1" t="n">
        <v>45657</v>
      </c>
      <c r="D9192" t="inlineStr">
        <is>
          <t>VÄSTERNORRLANDS LÄN</t>
        </is>
      </c>
      <c r="E9192" t="inlineStr">
        <is>
          <t>ÅNGE</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29468-2023</t>
        </is>
      </c>
      <c r="B9193" s="1" t="n">
        <v>45106</v>
      </c>
      <c r="C9193" s="1" t="n">
        <v>45657</v>
      </c>
      <c r="D9193" t="inlineStr">
        <is>
          <t>VÄSTERNORRLANDS LÄN</t>
        </is>
      </c>
      <c r="E9193" t="inlineStr">
        <is>
          <t>ÖRNSKÖLDSVIK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29423-2023</t>
        </is>
      </c>
      <c r="B9194" s="1" t="n">
        <v>45106</v>
      </c>
      <c r="C9194" s="1" t="n">
        <v>45657</v>
      </c>
      <c r="D9194" t="inlineStr">
        <is>
          <t>VÄSTERNORRLANDS LÄN</t>
        </is>
      </c>
      <c r="E9194" t="inlineStr">
        <is>
          <t>ÖRNSKÖLDSVIK</t>
        </is>
      </c>
      <c r="F9194" t="inlineStr">
        <is>
          <t>Holmen skog AB</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29428-2023</t>
        </is>
      </c>
      <c r="B9195" s="1" t="n">
        <v>45106</v>
      </c>
      <c r="C9195" s="1" t="n">
        <v>45657</v>
      </c>
      <c r="D9195" t="inlineStr">
        <is>
          <t>VÄSTERNORRLANDS LÄN</t>
        </is>
      </c>
      <c r="E9195" t="inlineStr">
        <is>
          <t>ÖRNSKÖLDSVIK</t>
        </is>
      </c>
      <c r="F9195" t="inlineStr">
        <is>
          <t>Holmen skog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29432-2023</t>
        </is>
      </c>
      <c r="B9196" s="1" t="n">
        <v>45106</v>
      </c>
      <c r="C9196" s="1" t="n">
        <v>45657</v>
      </c>
      <c r="D9196" t="inlineStr">
        <is>
          <t>VÄSTERNORRLANDS LÄN</t>
        </is>
      </c>
      <c r="E9196" t="inlineStr">
        <is>
          <t>SUNDSVALL</t>
        </is>
      </c>
      <c r="G9196" t="n">
        <v>7.3</v>
      </c>
      <c r="H9196" t="n">
        <v>0</v>
      </c>
      <c r="I9196" t="n">
        <v>0</v>
      </c>
      <c r="J9196" t="n">
        <v>0</v>
      </c>
      <c r="K9196" t="n">
        <v>0</v>
      </c>
      <c r="L9196" t="n">
        <v>0</v>
      </c>
      <c r="M9196" t="n">
        <v>0</v>
      </c>
      <c r="N9196" t="n">
        <v>0</v>
      </c>
      <c r="O9196" t="n">
        <v>0</v>
      </c>
      <c r="P9196" t="n">
        <v>0</v>
      </c>
      <c r="Q9196" t="n">
        <v>0</v>
      </c>
      <c r="R9196" s="2" t="inlineStr"/>
    </row>
    <row r="9197" ht="15" customHeight="1">
      <c r="A9197" t="inlineStr">
        <is>
          <t>A 29462-2023</t>
        </is>
      </c>
      <c r="B9197" s="1" t="n">
        <v>45106</v>
      </c>
      <c r="C9197" s="1" t="n">
        <v>45657</v>
      </c>
      <c r="D9197" t="inlineStr">
        <is>
          <t>VÄSTERNORRLANDS LÄN</t>
        </is>
      </c>
      <c r="E9197" t="inlineStr">
        <is>
          <t>ÖRNSKÖLDSVIK</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29369-2023</t>
        </is>
      </c>
      <c r="B9198" s="1" t="n">
        <v>45106</v>
      </c>
      <c r="C9198" s="1" t="n">
        <v>45657</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29409-2023</t>
        </is>
      </c>
      <c r="B9199" s="1" t="n">
        <v>45106</v>
      </c>
      <c r="C9199" s="1" t="n">
        <v>45657</v>
      </c>
      <c r="D9199" t="inlineStr">
        <is>
          <t>VÄSTERNORRLANDS LÄN</t>
        </is>
      </c>
      <c r="E9199" t="inlineStr">
        <is>
          <t>ÖRNSKÖLDSVIK</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29498-2023</t>
        </is>
      </c>
      <c r="B9200" s="1" t="n">
        <v>45106</v>
      </c>
      <c r="C9200" s="1" t="n">
        <v>45657</v>
      </c>
      <c r="D9200" t="inlineStr">
        <is>
          <t>VÄSTERNORRLANDS LÄN</t>
        </is>
      </c>
      <c r="E9200" t="inlineStr">
        <is>
          <t>ÖRNSKÖLDSVIK</t>
        </is>
      </c>
      <c r="F9200" t="inlineStr">
        <is>
          <t>Holmen skog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29525-2023</t>
        </is>
      </c>
      <c r="B9201" s="1" t="n">
        <v>45106</v>
      </c>
      <c r="C9201" s="1" t="n">
        <v>45657</v>
      </c>
      <c r="D9201" t="inlineStr">
        <is>
          <t>VÄSTERNORRLANDS LÄN</t>
        </is>
      </c>
      <c r="E9201" t="inlineStr">
        <is>
          <t>ÖRNSKÖLDSVIK</t>
        </is>
      </c>
      <c r="F9201" t="inlineStr">
        <is>
          <t>Holmen skog AB</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29541-2023</t>
        </is>
      </c>
      <c r="B9202" s="1" t="n">
        <v>45106</v>
      </c>
      <c r="C9202" s="1" t="n">
        <v>45657</v>
      </c>
      <c r="D9202" t="inlineStr">
        <is>
          <t>VÄSTERNORRLANDS LÄN</t>
        </is>
      </c>
      <c r="E9202" t="inlineStr">
        <is>
          <t>ÖRNSKÖLDSVIK</t>
        </is>
      </c>
      <c r="F9202" t="inlineStr">
        <is>
          <t>Holmen skog AB</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29501-2023</t>
        </is>
      </c>
      <c r="B9203" s="1" t="n">
        <v>45106</v>
      </c>
      <c r="C9203" s="1" t="n">
        <v>45657</v>
      </c>
      <c r="D9203" t="inlineStr">
        <is>
          <t>VÄSTERNORRLANDS LÄN</t>
        </is>
      </c>
      <c r="E9203" t="inlineStr">
        <is>
          <t>ÖRNSKÖLDSVIK</t>
        </is>
      </c>
      <c r="F9203" t="inlineStr">
        <is>
          <t>Holmen skog AB</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29598-2023</t>
        </is>
      </c>
      <c r="B9204" s="1" t="n">
        <v>45106</v>
      </c>
      <c r="C9204" s="1" t="n">
        <v>45657</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29597-2023</t>
        </is>
      </c>
      <c r="B9205" s="1" t="n">
        <v>45106</v>
      </c>
      <c r="C9205" s="1" t="n">
        <v>45657</v>
      </c>
      <c r="D9205" t="inlineStr">
        <is>
          <t>VÄSTERNORRLANDS LÄN</t>
        </is>
      </c>
      <c r="E9205" t="inlineStr">
        <is>
          <t>SUNDSVALL</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29610-2023</t>
        </is>
      </c>
      <c r="B9206" s="1" t="n">
        <v>45106</v>
      </c>
      <c r="C9206" s="1" t="n">
        <v>45657</v>
      </c>
      <c r="D9206" t="inlineStr">
        <is>
          <t>VÄSTERNORRLANDS LÄN</t>
        </is>
      </c>
      <c r="E9206" t="inlineStr">
        <is>
          <t>ÅNGE</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29614-2023</t>
        </is>
      </c>
      <c r="B9207" s="1" t="n">
        <v>45107</v>
      </c>
      <c r="C9207" s="1" t="n">
        <v>45657</v>
      </c>
      <c r="D9207" t="inlineStr">
        <is>
          <t>VÄSTERNORRLANDS LÄN</t>
        </is>
      </c>
      <c r="E9207" t="inlineStr">
        <is>
          <t>SOLLEFTEÅ</t>
        </is>
      </c>
      <c r="F9207" t="inlineStr">
        <is>
          <t>SCA</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29417-2023</t>
        </is>
      </c>
      <c r="B9208" s="1" t="n">
        <v>45106</v>
      </c>
      <c r="C9208" s="1" t="n">
        <v>45657</v>
      </c>
      <c r="D9208" t="inlineStr">
        <is>
          <t>VÄSTERNORRLANDS LÄN</t>
        </is>
      </c>
      <c r="E9208" t="inlineStr">
        <is>
          <t>ÖRNSKÖLDSVIK</t>
        </is>
      </c>
      <c r="F9208" t="inlineStr">
        <is>
          <t>Holmen skog AB</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29425-2023</t>
        </is>
      </c>
      <c r="B9209" s="1" t="n">
        <v>45106</v>
      </c>
      <c r="C9209" s="1" t="n">
        <v>45657</v>
      </c>
      <c r="D9209" t="inlineStr">
        <is>
          <t>VÄSTERNORRLANDS LÄN</t>
        </is>
      </c>
      <c r="E9209" t="inlineStr">
        <is>
          <t>ÖRNSKÖLDSVIK</t>
        </is>
      </c>
      <c r="F9209" t="inlineStr">
        <is>
          <t>Holmen skog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29446-2023</t>
        </is>
      </c>
      <c r="B9210" s="1" t="n">
        <v>45106</v>
      </c>
      <c r="C9210" s="1" t="n">
        <v>45657</v>
      </c>
      <c r="D9210" t="inlineStr">
        <is>
          <t>VÄSTERNORRLANDS LÄN</t>
        </is>
      </c>
      <c r="E9210" t="inlineStr">
        <is>
          <t>SOLLEFTEÅ</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29474-2023</t>
        </is>
      </c>
      <c r="B9211" s="1" t="n">
        <v>45106</v>
      </c>
      <c r="C9211" s="1" t="n">
        <v>45657</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29599-2023</t>
        </is>
      </c>
      <c r="B9212" s="1" t="n">
        <v>45106</v>
      </c>
      <c r="C9212" s="1" t="n">
        <v>45657</v>
      </c>
      <c r="D9212" t="inlineStr">
        <is>
          <t>VÄSTERNORRLANDS LÄN</t>
        </is>
      </c>
      <c r="E9212" t="inlineStr">
        <is>
          <t>TIMRÅ</t>
        </is>
      </c>
      <c r="F9212" t="inlineStr">
        <is>
          <t>Kyrkan</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29607-2023</t>
        </is>
      </c>
      <c r="B9213" s="1" t="n">
        <v>45107</v>
      </c>
      <c r="C9213" s="1" t="n">
        <v>45657</v>
      </c>
      <c r="D9213" t="inlineStr">
        <is>
          <t>VÄSTERNORRLANDS LÄN</t>
        </is>
      </c>
      <c r="E9213" t="inlineStr">
        <is>
          <t>SUNDSVALL</t>
        </is>
      </c>
      <c r="F9213" t="inlineStr">
        <is>
          <t>SCA</t>
        </is>
      </c>
      <c r="G9213" t="n">
        <v>13.3</v>
      </c>
      <c r="H9213" t="n">
        <v>0</v>
      </c>
      <c r="I9213" t="n">
        <v>0</v>
      </c>
      <c r="J9213" t="n">
        <v>0</v>
      </c>
      <c r="K9213" t="n">
        <v>0</v>
      </c>
      <c r="L9213" t="n">
        <v>0</v>
      </c>
      <c r="M9213" t="n">
        <v>0</v>
      </c>
      <c r="N9213" t="n">
        <v>0</v>
      </c>
      <c r="O9213" t="n">
        <v>0</v>
      </c>
      <c r="P9213" t="n">
        <v>0</v>
      </c>
      <c r="Q9213" t="n">
        <v>0</v>
      </c>
      <c r="R9213" s="2" t="inlineStr"/>
    </row>
    <row r="9214" ht="15" customHeight="1">
      <c r="A9214" t="inlineStr">
        <is>
          <t>A 31770-2023</t>
        </is>
      </c>
      <c r="B9214" s="1" t="n">
        <v>45106</v>
      </c>
      <c r="C9214" s="1" t="n">
        <v>45657</v>
      </c>
      <c r="D9214" t="inlineStr">
        <is>
          <t>VÄSTERNORRLANDS LÄN</t>
        </is>
      </c>
      <c r="E9214" t="inlineStr">
        <is>
          <t>ÖRNSKÖLDSVIK</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29618-2023</t>
        </is>
      </c>
      <c r="B9215" s="1" t="n">
        <v>45107</v>
      </c>
      <c r="C9215" s="1" t="n">
        <v>45657</v>
      </c>
      <c r="D9215" t="inlineStr">
        <is>
          <t>VÄSTERNORRLANDS LÄN</t>
        </is>
      </c>
      <c r="E9215" t="inlineStr">
        <is>
          <t>ÅNGE</t>
        </is>
      </c>
      <c r="F9215" t="inlineStr">
        <is>
          <t>SCA</t>
        </is>
      </c>
      <c r="G9215" t="n">
        <v>26.8</v>
      </c>
      <c r="H9215" t="n">
        <v>0</v>
      </c>
      <c r="I9215" t="n">
        <v>0</v>
      </c>
      <c r="J9215" t="n">
        <v>0</v>
      </c>
      <c r="K9215" t="n">
        <v>0</v>
      </c>
      <c r="L9215" t="n">
        <v>0</v>
      </c>
      <c r="M9215" t="n">
        <v>0</v>
      </c>
      <c r="N9215" t="n">
        <v>0</v>
      </c>
      <c r="O9215" t="n">
        <v>0</v>
      </c>
      <c r="P9215" t="n">
        <v>0</v>
      </c>
      <c r="Q9215" t="n">
        <v>0</v>
      </c>
      <c r="R9215" s="2" t="inlineStr"/>
    </row>
    <row r="9216" ht="15" customHeight="1">
      <c r="A9216" t="inlineStr">
        <is>
          <t>A 29622-2023</t>
        </is>
      </c>
      <c r="B9216" s="1" t="n">
        <v>45107</v>
      </c>
      <c r="C9216" s="1" t="n">
        <v>45657</v>
      </c>
      <c r="D9216" t="inlineStr">
        <is>
          <t>VÄSTERNORRLANDS LÄN</t>
        </is>
      </c>
      <c r="E9216" t="inlineStr">
        <is>
          <t>SUNDSVALL</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29612-2023</t>
        </is>
      </c>
      <c r="B9217" s="1" t="n">
        <v>45106</v>
      </c>
      <c r="C9217" s="1" t="n">
        <v>45657</v>
      </c>
      <c r="D9217" t="inlineStr">
        <is>
          <t>VÄSTERNORRLANDS LÄN</t>
        </is>
      </c>
      <c r="E9217" t="inlineStr">
        <is>
          <t>SOLLEFTEÅ</t>
        </is>
      </c>
      <c r="F9217" t="inlineStr">
        <is>
          <t>SCA</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29619-2023</t>
        </is>
      </c>
      <c r="B9218" s="1" t="n">
        <v>45106</v>
      </c>
      <c r="C9218" s="1" t="n">
        <v>45657</v>
      </c>
      <c r="D9218" t="inlineStr">
        <is>
          <t>VÄSTERNORRLANDS LÄN</t>
        </is>
      </c>
      <c r="E9218" t="inlineStr">
        <is>
          <t>SOLLEFTEÅ</t>
        </is>
      </c>
      <c r="F9218" t="inlineStr">
        <is>
          <t>SCA</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29623-2023</t>
        </is>
      </c>
      <c r="B9219" s="1" t="n">
        <v>45107</v>
      </c>
      <c r="C9219" s="1" t="n">
        <v>45657</v>
      </c>
      <c r="D9219" t="inlineStr">
        <is>
          <t>VÄSTERNORRLANDS LÄN</t>
        </is>
      </c>
      <c r="E9219" t="inlineStr">
        <is>
          <t>SUNDSVALL</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29611-2023</t>
        </is>
      </c>
      <c r="B9220" s="1" t="n">
        <v>45106</v>
      </c>
      <c r="C9220" s="1" t="n">
        <v>45657</v>
      </c>
      <c r="D9220" t="inlineStr">
        <is>
          <t>VÄSTERNORRLANDS LÄN</t>
        </is>
      </c>
      <c r="E9220" t="inlineStr">
        <is>
          <t>SOLLEFTEÅ</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29609-2023</t>
        </is>
      </c>
      <c r="B9221" s="1" t="n">
        <v>45107</v>
      </c>
      <c r="C9221" s="1" t="n">
        <v>45657</v>
      </c>
      <c r="D9221" t="inlineStr">
        <is>
          <t>VÄSTERNORRLANDS LÄN</t>
        </is>
      </c>
      <c r="E9221" t="inlineStr">
        <is>
          <t>ÅNGE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29613-2023</t>
        </is>
      </c>
      <c r="B9222" s="1" t="n">
        <v>45107</v>
      </c>
      <c r="C9222" s="1" t="n">
        <v>45657</v>
      </c>
      <c r="D9222" t="inlineStr">
        <is>
          <t>VÄSTERNORRLANDS LÄN</t>
        </is>
      </c>
      <c r="E9222" t="inlineStr">
        <is>
          <t>HÄRNÖSAND</t>
        </is>
      </c>
      <c r="F9222" t="inlineStr">
        <is>
          <t>SCA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29629-2023</t>
        </is>
      </c>
      <c r="B9223" s="1" t="n">
        <v>45107</v>
      </c>
      <c r="C9223" s="1" t="n">
        <v>45657</v>
      </c>
      <c r="D9223" t="inlineStr">
        <is>
          <t>VÄSTERNORRLANDS LÄN</t>
        </is>
      </c>
      <c r="E9223" t="inlineStr">
        <is>
          <t>SUNDSVALL</t>
        </is>
      </c>
      <c r="F9223" t="inlineStr">
        <is>
          <t>SCA</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29689-2023</t>
        </is>
      </c>
      <c r="B9224" s="1" t="n">
        <v>45107</v>
      </c>
      <c r="C9224" s="1" t="n">
        <v>45657</v>
      </c>
      <c r="D9224" t="inlineStr">
        <is>
          <t>VÄSTERNORRLANDS LÄN</t>
        </is>
      </c>
      <c r="E9224" t="inlineStr">
        <is>
          <t>SUNDSVALL</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29671-2023</t>
        </is>
      </c>
      <c r="B9225" s="1" t="n">
        <v>45107</v>
      </c>
      <c r="C9225" s="1" t="n">
        <v>45657</v>
      </c>
      <c r="D9225" t="inlineStr">
        <is>
          <t>VÄSTERNORRLANDS LÄN</t>
        </is>
      </c>
      <c r="E9225" t="inlineStr">
        <is>
          <t>ÖRNSKÖLDSVIK</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29809-2023</t>
        </is>
      </c>
      <c r="B9226" s="1" t="n">
        <v>45107</v>
      </c>
      <c r="C9226" s="1" t="n">
        <v>45657</v>
      </c>
      <c r="D9226" t="inlineStr">
        <is>
          <t>VÄSTERNORRLANDS LÄN</t>
        </is>
      </c>
      <c r="E9226" t="inlineStr">
        <is>
          <t>ÖRNSKÖLDSVIK</t>
        </is>
      </c>
      <c r="G9226" t="n">
        <v>8.9</v>
      </c>
      <c r="H9226" t="n">
        <v>0</v>
      </c>
      <c r="I9226" t="n">
        <v>0</v>
      </c>
      <c r="J9226" t="n">
        <v>0</v>
      </c>
      <c r="K9226" t="n">
        <v>0</v>
      </c>
      <c r="L9226" t="n">
        <v>0</v>
      </c>
      <c r="M9226" t="n">
        <v>0</v>
      </c>
      <c r="N9226" t="n">
        <v>0</v>
      </c>
      <c r="O9226" t="n">
        <v>0</v>
      </c>
      <c r="P9226" t="n">
        <v>0</v>
      </c>
      <c r="Q9226" t="n">
        <v>0</v>
      </c>
      <c r="R9226" s="2" t="inlineStr"/>
    </row>
    <row r="9227" ht="15" customHeight="1">
      <c r="A9227" t="inlineStr">
        <is>
          <t>A 29838-2023</t>
        </is>
      </c>
      <c r="B9227" s="1" t="n">
        <v>45107</v>
      </c>
      <c r="C9227" s="1" t="n">
        <v>45657</v>
      </c>
      <c r="D9227" t="inlineStr">
        <is>
          <t>VÄSTERNORRLANDS LÄN</t>
        </is>
      </c>
      <c r="E9227" t="inlineStr">
        <is>
          <t>ÖRNSKÖLDSVIK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29740-2023</t>
        </is>
      </c>
      <c r="B9228" s="1" t="n">
        <v>45107</v>
      </c>
      <c r="C9228" s="1" t="n">
        <v>45657</v>
      </c>
      <c r="D9228" t="inlineStr">
        <is>
          <t>VÄSTERNORRLANDS LÄN</t>
        </is>
      </c>
      <c r="E9228" t="inlineStr">
        <is>
          <t>ÖRNSKÖLDSVIK</t>
        </is>
      </c>
      <c r="F9228" t="inlineStr">
        <is>
          <t>Holmen skog AB</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29832-2023</t>
        </is>
      </c>
      <c r="B9229" s="1" t="n">
        <v>45107</v>
      </c>
      <c r="C9229" s="1" t="n">
        <v>45657</v>
      </c>
      <c r="D9229" t="inlineStr">
        <is>
          <t>VÄSTERNORRLANDS LÄN</t>
        </is>
      </c>
      <c r="E9229" t="inlineStr">
        <is>
          <t>SOLLEFTEÅ</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29722-2023</t>
        </is>
      </c>
      <c r="B9230" s="1" t="n">
        <v>45107</v>
      </c>
      <c r="C9230" s="1" t="n">
        <v>45657</v>
      </c>
      <c r="D9230" t="inlineStr">
        <is>
          <t>VÄSTERNORRLANDS LÄN</t>
        </is>
      </c>
      <c r="E9230" t="inlineStr">
        <is>
          <t>ÖRNSKÖLDSVIK</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29842-2023</t>
        </is>
      </c>
      <c r="B9231" s="1" t="n">
        <v>45107</v>
      </c>
      <c r="C9231" s="1" t="n">
        <v>45657</v>
      </c>
      <c r="D9231" t="inlineStr">
        <is>
          <t>VÄSTERNORRLANDS LÄN</t>
        </is>
      </c>
      <c r="E9231" t="inlineStr">
        <is>
          <t>ÖRNSKÖLDSVIK</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29952-2023</t>
        </is>
      </c>
      <c r="B9232" s="1" t="n">
        <v>45107</v>
      </c>
      <c r="C9232" s="1" t="n">
        <v>45657</v>
      </c>
      <c r="D9232" t="inlineStr">
        <is>
          <t>VÄSTERNORRLANDS LÄN</t>
        </is>
      </c>
      <c r="E9232" t="inlineStr">
        <is>
          <t>SOLLEFTEÅ</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29966-2023</t>
        </is>
      </c>
      <c r="B9233" s="1" t="n">
        <v>45108</v>
      </c>
      <c r="C9233" s="1" t="n">
        <v>45657</v>
      </c>
      <c r="D9233" t="inlineStr">
        <is>
          <t>VÄSTERNORRLANDS LÄN</t>
        </is>
      </c>
      <c r="E9233" t="inlineStr">
        <is>
          <t>SUNDSVALL</t>
        </is>
      </c>
      <c r="F9233" t="inlineStr">
        <is>
          <t>SCA</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29944-2023</t>
        </is>
      </c>
      <c r="B9234" s="1" t="n">
        <v>45108</v>
      </c>
      <c r="C9234" s="1" t="n">
        <v>45657</v>
      </c>
      <c r="D9234" t="inlineStr">
        <is>
          <t>VÄSTERNORRLANDS LÄN</t>
        </is>
      </c>
      <c r="E9234" t="inlineStr">
        <is>
          <t>SOLLEFTEÅ</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29956-2023</t>
        </is>
      </c>
      <c r="B9235" s="1" t="n">
        <v>45107</v>
      </c>
      <c r="C9235" s="1" t="n">
        <v>45657</v>
      </c>
      <c r="D9235" t="inlineStr">
        <is>
          <t>VÄSTERNORRLANDS LÄN</t>
        </is>
      </c>
      <c r="E9235" t="inlineStr">
        <is>
          <t>SOLLEFTEÅ</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29951-2023</t>
        </is>
      </c>
      <c r="B9236" s="1" t="n">
        <v>45108</v>
      </c>
      <c r="C9236" s="1" t="n">
        <v>45657</v>
      </c>
      <c r="D9236" t="inlineStr">
        <is>
          <t>VÄSTERNORRLANDS LÄN</t>
        </is>
      </c>
      <c r="E9236" t="inlineStr">
        <is>
          <t>SUNDSVALL</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29949-2023</t>
        </is>
      </c>
      <c r="B9237" s="1" t="n">
        <v>45107</v>
      </c>
      <c r="C9237" s="1" t="n">
        <v>45657</v>
      </c>
      <c r="D9237" t="inlineStr">
        <is>
          <t>VÄSTERNORRLANDS LÄN</t>
        </is>
      </c>
      <c r="E9237" t="inlineStr">
        <is>
          <t>SOLLEFTEÅ</t>
        </is>
      </c>
      <c r="F9237" t="inlineStr">
        <is>
          <t>SCA</t>
        </is>
      </c>
      <c r="G9237" t="n">
        <v>10.2</v>
      </c>
      <c r="H9237" t="n">
        <v>0</v>
      </c>
      <c r="I9237" t="n">
        <v>0</v>
      </c>
      <c r="J9237" t="n">
        <v>0</v>
      </c>
      <c r="K9237" t="n">
        <v>0</v>
      </c>
      <c r="L9237" t="n">
        <v>0</v>
      </c>
      <c r="M9237" t="n">
        <v>0</v>
      </c>
      <c r="N9237" t="n">
        <v>0</v>
      </c>
      <c r="O9237" t="n">
        <v>0</v>
      </c>
      <c r="P9237" t="n">
        <v>0</v>
      </c>
      <c r="Q9237" t="n">
        <v>0</v>
      </c>
      <c r="R9237" s="2" t="inlineStr"/>
    </row>
    <row r="9238" ht="15" customHeight="1">
      <c r="A9238" t="inlineStr">
        <is>
          <t>A 29945-2023</t>
        </is>
      </c>
      <c r="B9238" s="1" t="n">
        <v>45108</v>
      </c>
      <c r="C9238" s="1" t="n">
        <v>45657</v>
      </c>
      <c r="D9238" t="inlineStr">
        <is>
          <t>VÄSTERNORRLANDS LÄN</t>
        </is>
      </c>
      <c r="E9238" t="inlineStr">
        <is>
          <t>ÅNGE</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29957-2023</t>
        </is>
      </c>
      <c r="B9239" s="1" t="n">
        <v>45107</v>
      </c>
      <c r="C9239" s="1" t="n">
        <v>45657</v>
      </c>
      <c r="D9239" t="inlineStr">
        <is>
          <t>VÄSTERNORRLANDS LÄN</t>
        </is>
      </c>
      <c r="E9239" t="inlineStr">
        <is>
          <t>SOLLEFTEÅ</t>
        </is>
      </c>
      <c r="F9239" t="inlineStr">
        <is>
          <t>SCA</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29947-2023</t>
        </is>
      </c>
      <c r="B9240" s="1" t="n">
        <v>45107</v>
      </c>
      <c r="C9240" s="1" t="n">
        <v>45657</v>
      </c>
      <c r="D9240" t="inlineStr">
        <is>
          <t>VÄSTERNORRLANDS LÄN</t>
        </is>
      </c>
      <c r="E9240" t="inlineStr">
        <is>
          <t>HÄRNÖSAND</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29955-2023</t>
        </is>
      </c>
      <c r="B9241" s="1" t="n">
        <v>45108</v>
      </c>
      <c r="C9241" s="1" t="n">
        <v>45657</v>
      </c>
      <c r="D9241" t="inlineStr">
        <is>
          <t>VÄSTERNORRLANDS LÄN</t>
        </is>
      </c>
      <c r="E9241" t="inlineStr">
        <is>
          <t>SUNDSVALL</t>
        </is>
      </c>
      <c r="F9241" t="inlineStr">
        <is>
          <t>SCA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29946-2023</t>
        </is>
      </c>
      <c r="B9242" s="1" t="n">
        <v>45108</v>
      </c>
      <c r="C9242" s="1" t="n">
        <v>45657</v>
      </c>
      <c r="D9242" t="inlineStr">
        <is>
          <t>VÄSTERNORRLANDS LÄN</t>
        </is>
      </c>
      <c r="E9242" t="inlineStr">
        <is>
          <t>SOLLEFTEÅ</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29948-2023</t>
        </is>
      </c>
      <c r="B9243" s="1" t="n">
        <v>45107</v>
      </c>
      <c r="C9243" s="1" t="n">
        <v>45657</v>
      </c>
      <c r="D9243" t="inlineStr">
        <is>
          <t>VÄSTERNORRLANDS LÄN</t>
        </is>
      </c>
      <c r="E9243" t="inlineStr">
        <is>
          <t>TIMRÅ</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32069-2023</t>
        </is>
      </c>
      <c r="B9244" s="1" t="n">
        <v>45107</v>
      </c>
      <c r="C9244" s="1" t="n">
        <v>45657</v>
      </c>
      <c r="D9244" t="inlineStr">
        <is>
          <t>VÄSTERNORRLANDS LÄN</t>
        </is>
      </c>
      <c r="E9244" t="inlineStr">
        <is>
          <t>ÅNGE</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29964-2023</t>
        </is>
      </c>
      <c r="B9245" s="1" t="n">
        <v>45108</v>
      </c>
      <c r="C9245" s="1" t="n">
        <v>45657</v>
      </c>
      <c r="D9245" t="inlineStr">
        <is>
          <t>VÄSTERNORRLANDS LÄN</t>
        </is>
      </c>
      <c r="E9245" t="inlineStr">
        <is>
          <t>SOLLEFTEÅ</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29950-2023</t>
        </is>
      </c>
      <c r="B9246" s="1" t="n">
        <v>45108</v>
      </c>
      <c r="C9246" s="1" t="n">
        <v>45657</v>
      </c>
      <c r="D9246" t="inlineStr">
        <is>
          <t>VÄSTERNORRLANDS LÄN</t>
        </is>
      </c>
      <c r="E9246" t="inlineStr">
        <is>
          <t>SUNDSVALL</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32070-2023</t>
        </is>
      </c>
      <c r="B9247" s="1" t="n">
        <v>45107</v>
      </c>
      <c r="C9247" s="1" t="n">
        <v>45657</v>
      </c>
      <c r="D9247" t="inlineStr">
        <is>
          <t>VÄSTERNORRLANDS LÄN</t>
        </is>
      </c>
      <c r="E9247" t="inlineStr">
        <is>
          <t>TIMRÅ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32118-2023</t>
        </is>
      </c>
      <c r="B9248" s="1" t="n">
        <v>45107</v>
      </c>
      <c r="C9248" s="1" t="n">
        <v>45657</v>
      </c>
      <c r="D9248" t="inlineStr">
        <is>
          <t>VÄSTERNORRLANDS LÄN</t>
        </is>
      </c>
      <c r="E9248" t="inlineStr">
        <is>
          <t>HÄRNÖSAND</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32128-2023</t>
        </is>
      </c>
      <c r="B9249" s="1" t="n">
        <v>45107</v>
      </c>
      <c r="C9249" s="1" t="n">
        <v>45657</v>
      </c>
      <c r="D9249" t="inlineStr">
        <is>
          <t>VÄSTERNORRLANDS LÄN</t>
        </is>
      </c>
      <c r="E9249" t="inlineStr">
        <is>
          <t>SUNDSVALL</t>
        </is>
      </c>
      <c r="G9249" t="n">
        <v>13.3</v>
      </c>
      <c r="H9249" t="n">
        <v>0</v>
      </c>
      <c r="I9249" t="n">
        <v>0</v>
      </c>
      <c r="J9249" t="n">
        <v>0</v>
      </c>
      <c r="K9249" t="n">
        <v>0</v>
      </c>
      <c r="L9249" t="n">
        <v>0</v>
      </c>
      <c r="M9249" t="n">
        <v>0</v>
      </c>
      <c r="N9249" t="n">
        <v>0</v>
      </c>
      <c r="O9249" t="n">
        <v>0</v>
      </c>
      <c r="P9249" t="n">
        <v>0</v>
      </c>
      <c r="Q9249" t="n">
        <v>0</v>
      </c>
      <c r="R9249" s="2" t="inlineStr"/>
    </row>
    <row r="9250" ht="15" customHeight="1">
      <c r="A9250" t="inlineStr">
        <is>
          <t>A 32140-2023</t>
        </is>
      </c>
      <c r="B9250" s="1" t="n">
        <v>45107</v>
      </c>
      <c r="C9250" s="1" t="n">
        <v>45657</v>
      </c>
      <c r="D9250" t="inlineStr">
        <is>
          <t>VÄSTERNORRLANDS LÄN</t>
        </is>
      </c>
      <c r="E9250" t="inlineStr">
        <is>
          <t>HÄRNÖSAND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32120-2023</t>
        </is>
      </c>
      <c r="B9251" s="1" t="n">
        <v>45107</v>
      </c>
      <c r="C9251" s="1" t="n">
        <v>45657</v>
      </c>
      <c r="D9251" t="inlineStr">
        <is>
          <t>VÄSTERNORRLANDS LÄN</t>
        </is>
      </c>
      <c r="E9251" t="inlineStr">
        <is>
          <t>HÄRNÖSAND</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32122-2023</t>
        </is>
      </c>
      <c r="B9252" s="1" t="n">
        <v>45107</v>
      </c>
      <c r="C9252" s="1" t="n">
        <v>45657</v>
      </c>
      <c r="D9252" t="inlineStr">
        <is>
          <t>VÄSTERNORRLANDS LÄN</t>
        </is>
      </c>
      <c r="E9252" t="inlineStr">
        <is>
          <t>SUNDSVALL</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32133-2023</t>
        </is>
      </c>
      <c r="B9253" s="1" t="n">
        <v>45107</v>
      </c>
      <c r="C9253" s="1" t="n">
        <v>45657</v>
      </c>
      <c r="D9253" t="inlineStr">
        <is>
          <t>VÄSTERNORRLANDS LÄN</t>
        </is>
      </c>
      <c r="E9253" t="inlineStr">
        <is>
          <t>ÖRNSKÖLDSVIK</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32137-2023</t>
        </is>
      </c>
      <c r="B9254" s="1" t="n">
        <v>45107</v>
      </c>
      <c r="C9254" s="1" t="n">
        <v>45657</v>
      </c>
      <c r="D9254" t="inlineStr">
        <is>
          <t>VÄSTERNORRLANDS LÄN</t>
        </is>
      </c>
      <c r="E9254" t="inlineStr">
        <is>
          <t>ÖRNSKÖLDSVIK</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32116-2023</t>
        </is>
      </c>
      <c r="B9255" s="1" t="n">
        <v>45107</v>
      </c>
      <c r="C9255" s="1" t="n">
        <v>45657</v>
      </c>
      <c r="D9255" t="inlineStr">
        <is>
          <t>VÄSTERNORRLANDS LÄN</t>
        </is>
      </c>
      <c r="E9255" t="inlineStr">
        <is>
          <t>HÄRNÖSAND</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30033-2023</t>
        </is>
      </c>
      <c r="B9256" s="1" t="n">
        <v>45110</v>
      </c>
      <c r="C9256" s="1" t="n">
        <v>45657</v>
      </c>
      <c r="D9256" t="inlineStr">
        <is>
          <t>VÄSTERNORRLANDS LÄN</t>
        </is>
      </c>
      <c r="E9256" t="inlineStr">
        <is>
          <t>ÖRNSKÖLDSVIK</t>
        </is>
      </c>
      <c r="G9256" t="n">
        <v>8.199999999999999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30294-2023</t>
        </is>
      </c>
      <c r="B9257" s="1" t="n">
        <v>45111</v>
      </c>
      <c r="C9257" s="1" t="n">
        <v>45657</v>
      </c>
      <c r="D9257" t="inlineStr">
        <is>
          <t>VÄSTERNORRLANDS LÄN</t>
        </is>
      </c>
      <c r="E9257" t="inlineStr">
        <is>
          <t>SUNDSVALL</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30287-2023</t>
        </is>
      </c>
      <c r="B9258" s="1" t="n">
        <v>45110</v>
      </c>
      <c r="C9258" s="1" t="n">
        <v>45657</v>
      </c>
      <c r="D9258" t="inlineStr">
        <is>
          <t>VÄSTERNORRLANDS LÄN</t>
        </is>
      </c>
      <c r="E9258" t="inlineStr">
        <is>
          <t>SUNDSVALL</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30295-2023</t>
        </is>
      </c>
      <c r="B9259" s="1" t="n">
        <v>45110</v>
      </c>
      <c r="C9259" s="1" t="n">
        <v>45657</v>
      </c>
      <c r="D9259" t="inlineStr">
        <is>
          <t>VÄSTERNORRLANDS LÄN</t>
        </is>
      </c>
      <c r="E9259" t="inlineStr">
        <is>
          <t>SOLLEFTEÅ</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30304-2023</t>
        </is>
      </c>
      <c r="B9260" s="1" t="n">
        <v>45111</v>
      </c>
      <c r="C9260" s="1" t="n">
        <v>45657</v>
      </c>
      <c r="D9260" t="inlineStr">
        <is>
          <t>VÄSTERNORRLANDS LÄN</t>
        </is>
      </c>
      <c r="E9260" t="inlineStr">
        <is>
          <t>ÅNGE</t>
        </is>
      </c>
      <c r="F9260" t="inlineStr">
        <is>
          <t>SCA</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30308-2023</t>
        </is>
      </c>
      <c r="B9261" s="1" t="n">
        <v>45110</v>
      </c>
      <c r="C9261" s="1" t="n">
        <v>45657</v>
      </c>
      <c r="D9261" t="inlineStr">
        <is>
          <t>VÄSTERNORRLANDS LÄN</t>
        </is>
      </c>
      <c r="E9261" t="inlineStr">
        <is>
          <t>KRAMFORS</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30146-2023</t>
        </is>
      </c>
      <c r="B9262" s="1" t="n">
        <v>45110</v>
      </c>
      <c r="C9262" s="1" t="n">
        <v>45657</v>
      </c>
      <c r="D9262" t="inlineStr">
        <is>
          <t>VÄSTERNORRLANDS LÄN</t>
        </is>
      </c>
      <c r="E9262" t="inlineStr">
        <is>
          <t>ÖRNSKÖLDSVIK</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30303-2023</t>
        </is>
      </c>
      <c r="B9263" s="1" t="n">
        <v>45111</v>
      </c>
      <c r="C9263" s="1" t="n">
        <v>45657</v>
      </c>
      <c r="D9263" t="inlineStr">
        <is>
          <t>VÄSTERNORRLANDS LÄN</t>
        </is>
      </c>
      <c r="E9263" t="inlineStr">
        <is>
          <t>ÅNGE</t>
        </is>
      </c>
      <c r="F9263" t="inlineStr">
        <is>
          <t>SCA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30307-2023</t>
        </is>
      </c>
      <c r="B9264" s="1" t="n">
        <v>45111</v>
      </c>
      <c r="C9264" s="1" t="n">
        <v>45657</v>
      </c>
      <c r="D9264" t="inlineStr">
        <is>
          <t>VÄSTERNORRLANDS LÄN</t>
        </is>
      </c>
      <c r="E9264" t="inlineStr">
        <is>
          <t>SUNDSVALL</t>
        </is>
      </c>
      <c r="F9264" t="inlineStr">
        <is>
          <t>SCA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30315-2023</t>
        </is>
      </c>
      <c r="B9265" s="1" t="n">
        <v>45110</v>
      </c>
      <c r="C9265" s="1" t="n">
        <v>45657</v>
      </c>
      <c r="D9265" t="inlineStr">
        <is>
          <t>VÄSTERNORRLANDS LÄN</t>
        </is>
      </c>
      <c r="E9265" t="inlineStr">
        <is>
          <t>TIMRÅ</t>
        </is>
      </c>
      <c r="F9265" t="inlineStr">
        <is>
          <t>SCA</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30305-2023</t>
        </is>
      </c>
      <c r="B9266" s="1" t="n">
        <v>45111</v>
      </c>
      <c r="C9266" s="1" t="n">
        <v>45657</v>
      </c>
      <c r="D9266" t="inlineStr">
        <is>
          <t>VÄSTERNORRLANDS LÄN</t>
        </is>
      </c>
      <c r="E9266" t="inlineStr">
        <is>
          <t>SUNDSVALL</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32355-2023</t>
        </is>
      </c>
      <c r="B9267" s="1" t="n">
        <v>45110</v>
      </c>
      <c r="C9267" s="1" t="n">
        <v>45657</v>
      </c>
      <c r="D9267" t="inlineStr">
        <is>
          <t>VÄSTERNORRLANDS LÄN</t>
        </is>
      </c>
      <c r="E9267" t="inlineStr">
        <is>
          <t>ÖRNSKÖLDSVIK</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30298-2023</t>
        </is>
      </c>
      <c r="B9268" s="1" t="n">
        <v>45110</v>
      </c>
      <c r="C9268" s="1" t="n">
        <v>45657</v>
      </c>
      <c r="D9268" t="inlineStr">
        <is>
          <t>VÄSTERNORRLANDS LÄN</t>
        </is>
      </c>
      <c r="E9268" t="inlineStr">
        <is>
          <t>TIMRÅ</t>
        </is>
      </c>
      <c r="F9268" t="inlineStr">
        <is>
          <t>SCA</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30306-2023</t>
        </is>
      </c>
      <c r="B9269" s="1" t="n">
        <v>45111</v>
      </c>
      <c r="C9269" s="1" t="n">
        <v>45657</v>
      </c>
      <c r="D9269" t="inlineStr">
        <is>
          <t>VÄSTERNORRLANDS LÄN</t>
        </is>
      </c>
      <c r="E9269" t="inlineStr">
        <is>
          <t>SUNDSVALL</t>
        </is>
      </c>
      <c r="F9269" t="inlineStr">
        <is>
          <t>SCA</t>
        </is>
      </c>
      <c r="G9269" t="n">
        <v>10.3</v>
      </c>
      <c r="H9269" t="n">
        <v>0</v>
      </c>
      <c r="I9269" t="n">
        <v>0</v>
      </c>
      <c r="J9269" t="n">
        <v>0</v>
      </c>
      <c r="K9269" t="n">
        <v>0</v>
      </c>
      <c r="L9269" t="n">
        <v>0</v>
      </c>
      <c r="M9269" t="n">
        <v>0</v>
      </c>
      <c r="N9269" t="n">
        <v>0</v>
      </c>
      <c r="O9269" t="n">
        <v>0</v>
      </c>
      <c r="P9269" t="n">
        <v>0</v>
      </c>
      <c r="Q9269" t="n">
        <v>0</v>
      </c>
      <c r="R9269" s="2" t="inlineStr"/>
    </row>
    <row r="9270" ht="15" customHeight="1">
      <c r="A9270" t="inlineStr">
        <is>
          <t>A 32406-2023</t>
        </is>
      </c>
      <c r="B9270" s="1" t="n">
        <v>45110</v>
      </c>
      <c r="C9270" s="1" t="n">
        <v>45657</v>
      </c>
      <c r="D9270" t="inlineStr">
        <is>
          <t>VÄSTERNORRLANDS LÄN</t>
        </is>
      </c>
      <c r="E9270" t="inlineStr">
        <is>
          <t>ÖRNSKÖLDSVIK</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32328-2023</t>
        </is>
      </c>
      <c r="B9271" s="1" t="n">
        <v>45110</v>
      </c>
      <c r="C9271" s="1" t="n">
        <v>45657</v>
      </c>
      <c r="D9271" t="inlineStr">
        <is>
          <t>VÄSTERNORRLANDS LÄN</t>
        </is>
      </c>
      <c r="E9271" t="inlineStr">
        <is>
          <t>ÖRNSKÖLDSVIK</t>
        </is>
      </c>
      <c r="F9271" t="inlineStr">
        <is>
          <t>Kyrkan</t>
        </is>
      </c>
      <c r="G9271" t="n">
        <v>10.1</v>
      </c>
      <c r="H9271" t="n">
        <v>0</v>
      </c>
      <c r="I9271" t="n">
        <v>0</v>
      </c>
      <c r="J9271" t="n">
        <v>0</v>
      </c>
      <c r="K9271" t="n">
        <v>0</v>
      </c>
      <c r="L9271" t="n">
        <v>0</v>
      </c>
      <c r="M9271" t="n">
        <v>0</v>
      </c>
      <c r="N9271" t="n">
        <v>0</v>
      </c>
      <c r="O9271" t="n">
        <v>0</v>
      </c>
      <c r="P9271" t="n">
        <v>0</v>
      </c>
      <c r="Q9271" t="n">
        <v>0</v>
      </c>
      <c r="R9271" s="2" t="inlineStr"/>
    </row>
    <row r="9272" ht="15" customHeight="1">
      <c r="A9272" t="inlineStr">
        <is>
          <t>A 32348-2023</t>
        </is>
      </c>
      <c r="B9272" s="1" t="n">
        <v>45110</v>
      </c>
      <c r="C9272" s="1" t="n">
        <v>45657</v>
      </c>
      <c r="D9272" t="inlineStr">
        <is>
          <t>VÄSTERNORRLANDS LÄN</t>
        </is>
      </c>
      <c r="E9272" t="inlineStr">
        <is>
          <t>ÖRNSKÖLDSVIK</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32388-2023</t>
        </is>
      </c>
      <c r="B9273" s="1" t="n">
        <v>45110</v>
      </c>
      <c r="C9273" s="1" t="n">
        <v>45657</v>
      </c>
      <c r="D9273" t="inlineStr">
        <is>
          <t>VÄSTERNORRLANDS LÄN</t>
        </is>
      </c>
      <c r="E9273" t="inlineStr">
        <is>
          <t>ÖRNSKÖLDSVIK</t>
        </is>
      </c>
      <c r="F9273" t="inlineStr">
        <is>
          <t>Kyrkan</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32357-2023</t>
        </is>
      </c>
      <c r="B9274" s="1" t="n">
        <v>45110</v>
      </c>
      <c r="C9274" s="1" t="n">
        <v>45657</v>
      </c>
      <c r="D9274" t="inlineStr">
        <is>
          <t>VÄSTERNORRLANDS LÄN</t>
        </is>
      </c>
      <c r="E9274" t="inlineStr">
        <is>
          <t>KRAMFORS</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32383-2023</t>
        </is>
      </c>
      <c r="B9275" s="1" t="n">
        <v>45110</v>
      </c>
      <c r="C9275" s="1" t="n">
        <v>45657</v>
      </c>
      <c r="D9275" t="inlineStr">
        <is>
          <t>VÄSTERNORRLANDS LÄN</t>
        </is>
      </c>
      <c r="E9275" t="inlineStr">
        <is>
          <t>ÖRNSKÖLDSVIK</t>
        </is>
      </c>
      <c r="F9275" t="inlineStr">
        <is>
          <t>Kyrkan</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30492-2023</t>
        </is>
      </c>
      <c r="B9276" s="1" t="n">
        <v>45111</v>
      </c>
      <c r="C9276" s="1" t="n">
        <v>45657</v>
      </c>
      <c r="D9276" t="inlineStr">
        <is>
          <t>VÄSTERNORRLANDS LÄN</t>
        </is>
      </c>
      <c r="E9276" t="inlineStr">
        <is>
          <t>ÖRNSKÖLDSVIK</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30453-2023</t>
        </is>
      </c>
      <c r="B9277" s="1" t="n">
        <v>45111</v>
      </c>
      <c r="C9277" s="1" t="n">
        <v>45657</v>
      </c>
      <c r="D9277" t="inlineStr">
        <is>
          <t>VÄSTERNORRLANDS LÄN</t>
        </is>
      </c>
      <c r="E9277" t="inlineStr">
        <is>
          <t>ÖRNSKÖLDSVIK</t>
        </is>
      </c>
      <c r="F9277" t="inlineStr">
        <is>
          <t>Holmen skog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30366-2023</t>
        </is>
      </c>
      <c r="B9278" s="1" t="n">
        <v>45111</v>
      </c>
      <c r="C9278" s="1" t="n">
        <v>45657</v>
      </c>
      <c r="D9278" t="inlineStr">
        <is>
          <t>VÄSTERNORRLANDS LÄN</t>
        </is>
      </c>
      <c r="E9278" t="inlineStr">
        <is>
          <t>ÖRNSKÖLDSVIK</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30537-2023</t>
        </is>
      </c>
      <c r="B9279" s="1" t="n">
        <v>45111</v>
      </c>
      <c r="C9279" s="1" t="n">
        <v>45657</v>
      </c>
      <c r="D9279" t="inlineStr">
        <is>
          <t>VÄSTERNORRLANDS LÄN</t>
        </is>
      </c>
      <c r="E9279" t="inlineStr">
        <is>
          <t>SUNDSVALL</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30317-2023</t>
        </is>
      </c>
      <c r="B9280" s="1" t="n">
        <v>45111</v>
      </c>
      <c r="C9280" s="1" t="n">
        <v>45657</v>
      </c>
      <c r="D9280" t="inlineStr">
        <is>
          <t>VÄSTERNORRLANDS LÄN</t>
        </is>
      </c>
      <c r="E9280" t="inlineStr">
        <is>
          <t>ÖRNSKÖLDSVIK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30346-2023</t>
        </is>
      </c>
      <c r="B9281" s="1" t="n">
        <v>45111</v>
      </c>
      <c r="C9281" s="1" t="n">
        <v>45657</v>
      </c>
      <c r="D9281" t="inlineStr">
        <is>
          <t>VÄSTERNORRLANDS LÄN</t>
        </is>
      </c>
      <c r="E9281" t="inlineStr">
        <is>
          <t>ÖRNSKÖLDSVIK</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30557-2023</t>
        </is>
      </c>
      <c r="B9282" s="1" t="n">
        <v>45111</v>
      </c>
      <c r="C9282" s="1" t="n">
        <v>45657</v>
      </c>
      <c r="D9282" t="inlineStr">
        <is>
          <t>VÄSTERNORRLANDS LÄN</t>
        </is>
      </c>
      <c r="E9282" t="inlineStr">
        <is>
          <t>SUNDSVALL</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30316-2023</t>
        </is>
      </c>
      <c r="B9283" s="1" t="n">
        <v>45111</v>
      </c>
      <c r="C9283" s="1" t="n">
        <v>45657</v>
      </c>
      <c r="D9283" t="inlineStr">
        <is>
          <t>VÄSTERNORRLANDS LÄN</t>
        </is>
      </c>
      <c r="E9283" t="inlineStr">
        <is>
          <t>ÖRNSKÖLDSVIK</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30569-2023</t>
        </is>
      </c>
      <c r="B9284" s="1" t="n">
        <v>45111</v>
      </c>
      <c r="C9284" s="1" t="n">
        <v>45657</v>
      </c>
      <c r="D9284" t="inlineStr">
        <is>
          <t>VÄSTERNORRLANDS LÄN</t>
        </is>
      </c>
      <c r="E9284" t="inlineStr">
        <is>
          <t>SUNDSVALL</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32549-2023</t>
        </is>
      </c>
      <c r="B9285" s="1" t="n">
        <v>45111</v>
      </c>
      <c r="C9285" s="1" t="n">
        <v>45657</v>
      </c>
      <c r="D9285" t="inlineStr">
        <is>
          <t>VÄSTERNORRLANDS LÄN</t>
        </is>
      </c>
      <c r="E9285" t="inlineStr">
        <is>
          <t>ÖRNSKÖLDSVIK</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32582-2023</t>
        </is>
      </c>
      <c r="B9286" s="1" t="n">
        <v>45111</v>
      </c>
      <c r="C9286" s="1" t="n">
        <v>45657</v>
      </c>
      <c r="D9286" t="inlineStr">
        <is>
          <t>VÄSTERNORRLANDS LÄN</t>
        </is>
      </c>
      <c r="E9286" t="inlineStr">
        <is>
          <t>SUNDSVALL</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30376-2023</t>
        </is>
      </c>
      <c r="B9287" s="1" t="n">
        <v>45111</v>
      </c>
      <c r="C9287" s="1" t="n">
        <v>45657</v>
      </c>
      <c r="D9287" t="inlineStr">
        <is>
          <t>VÄSTERNORRLANDS LÄN</t>
        </is>
      </c>
      <c r="E9287" t="inlineStr">
        <is>
          <t>ÖRNSKÖLDSVIK</t>
        </is>
      </c>
      <c r="F9287" t="inlineStr">
        <is>
          <t>Holmen skog AB</t>
        </is>
      </c>
      <c r="G9287" t="n">
        <v>13.7</v>
      </c>
      <c r="H9287" t="n">
        <v>0</v>
      </c>
      <c r="I9287" t="n">
        <v>0</v>
      </c>
      <c r="J9287" t="n">
        <v>0</v>
      </c>
      <c r="K9287" t="n">
        <v>0</v>
      </c>
      <c r="L9287" t="n">
        <v>0</v>
      </c>
      <c r="M9287" t="n">
        <v>0</v>
      </c>
      <c r="N9287" t="n">
        <v>0</v>
      </c>
      <c r="O9287" t="n">
        <v>0</v>
      </c>
      <c r="P9287" t="n">
        <v>0</v>
      </c>
      <c r="Q9287" t="n">
        <v>0</v>
      </c>
      <c r="R9287" s="2" t="inlineStr"/>
    </row>
    <row r="9288" ht="15" customHeight="1">
      <c r="A9288" t="inlineStr">
        <is>
          <t>A 30381-2023</t>
        </is>
      </c>
      <c r="B9288" s="1" t="n">
        <v>45111</v>
      </c>
      <c r="C9288" s="1" t="n">
        <v>45657</v>
      </c>
      <c r="D9288" t="inlineStr">
        <is>
          <t>VÄSTERNORRLANDS LÄN</t>
        </is>
      </c>
      <c r="E9288" t="inlineStr">
        <is>
          <t>ÖRNSKÖLDSVIK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30395-2023</t>
        </is>
      </c>
      <c r="B9289" s="1" t="n">
        <v>45111</v>
      </c>
      <c r="C9289" s="1" t="n">
        <v>45657</v>
      </c>
      <c r="D9289" t="inlineStr">
        <is>
          <t>VÄSTERNORRLANDS LÄN</t>
        </is>
      </c>
      <c r="E9289" t="inlineStr">
        <is>
          <t>KRAMFORS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30421-2023</t>
        </is>
      </c>
      <c r="B9290" s="1" t="n">
        <v>45111</v>
      </c>
      <c r="C9290" s="1" t="n">
        <v>45657</v>
      </c>
      <c r="D9290" t="inlineStr">
        <is>
          <t>VÄSTERNORRLANDS LÄN</t>
        </is>
      </c>
      <c r="E9290" t="inlineStr">
        <is>
          <t>KRAMFORS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30444-2023</t>
        </is>
      </c>
      <c r="B9291" s="1" t="n">
        <v>45111</v>
      </c>
      <c r="C9291" s="1" t="n">
        <v>45657</v>
      </c>
      <c r="D9291" t="inlineStr">
        <is>
          <t>VÄSTERNORRLANDS LÄN</t>
        </is>
      </c>
      <c r="E9291" t="inlineStr">
        <is>
          <t>SUNDSVALL</t>
        </is>
      </c>
      <c r="G9291" t="n">
        <v>17.3</v>
      </c>
      <c r="H9291" t="n">
        <v>0</v>
      </c>
      <c r="I9291" t="n">
        <v>0</v>
      </c>
      <c r="J9291" t="n">
        <v>0</v>
      </c>
      <c r="K9291" t="n">
        <v>0</v>
      </c>
      <c r="L9291" t="n">
        <v>0</v>
      </c>
      <c r="M9291" t="n">
        <v>0</v>
      </c>
      <c r="N9291" t="n">
        <v>0</v>
      </c>
      <c r="O9291" t="n">
        <v>0</v>
      </c>
      <c r="P9291" t="n">
        <v>0</v>
      </c>
      <c r="Q9291" t="n">
        <v>0</v>
      </c>
      <c r="R9291" s="2" t="inlineStr"/>
    </row>
    <row r="9292" ht="15" customHeight="1">
      <c r="A9292" t="inlineStr">
        <is>
          <t>A 30559-2023</t>
        </is>
      </c>
      <c r="B9292" s="1" t="n">
        <v>45111</v>
      </c>
      <c r="C9292" s="1" t="n">
        <v>45657</v>
      </c>
      <c r="D9292" t="inlineStr">
        <is>
          <t>VÄSTERNORRLANDS LÄN</t>
        </is>
      </c>
      <c r="E9292" t="inlineStr">
        <is>
          <t>SUNDSVALL</t>
        </is>
      </c>
      <c r="G9292" t="n">
        <v>25.9</v>
      </c>
      <c r="H9292" t="n">
        <v>0</v>
      </c>
      <c r="I9292" t="n">
        <v>0</v>
      </c>
      <c r="J9292" t="n">
        <v>0</v>
      </c>
      <c r="K9292" t="n">
        <v>0</v>
      </c>
      <c r="L9292" t="n">
        <v>0</v>
      </c>
      <c r="M9292" t="n">
        <v>0</v>
      </c>
      <c r="N9292" t="n">
        <v>0</v>
      </c>
      <c r="O9292" t="n">
        <v>0</v>
      </c>
      <c r="P9292" t="n">
        <v>0</v>
      </c>
      <c r="Q9292" t="n">
        <v>0</v>
      </c>
      <c r="R9292" s="2" t="inlineStr"/>
    </row>
    <row r="9293" ht="15" customHeight="1">
      <c r="A9293" t="inlineStr">
        <is>
          <t>A 30567-2023</t>
        </is>
      </c>
      <c r="B9293" s="1" t="n">
        <v>45112</v>
      </c>
      <c r="C9293" s="1" t="n">
        <v>45657</v>
      </c>
      <c r="D9293" t="inlineStr">
        <is>
          <t>VÄSTERNORRLANDS LÄN</t>
        </is>
      </c>
      <c r="E9293" t="inlineStr">
        <is>
          <t>SOLLEFTEÅ</t>
        </is>
      </c>
      <c r="F9293" t="inlineStr">
        <is>
          <t>SCA</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32545-2023</t>
        </is>
      </c>
      <c r="B9294" s="1" t="n">
        <v>45111</v>
      </c>
      <c r="C9294" s="1" t="n">
        <v>45657</v>
      </c>
      <c r="D9294" t="inlineStr">
        <is>
          <t>VÄSTERNORRLANDS LÄN</t>
        </is>
      </c>
      <c r="E9294" t="inlineStr">
        <is>
          <t>KRAMFORS</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30544-2023</t>
        </is>
      </c>
      <c r="B9295" s="1" t="n">
        <v>45111</v>
      </c>
      <c r="C9295" s="1" t="n">
        <v>45657</v>
      </c>
      <c r="D9295" t="inlineStr">
        <is>
          <t>VÄSTERNORRLANDS LÄN</t>
        </is>
      </c>
      <c r="E9295" t="inlineStr">
        <is>
          <t>SUNDSVALL</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30556-2023</t>
        </is>
      </c>
      <c r="B9296" s="1" t="n">
        <v>45111</v>
      </c>
      <c r="C9296" s="1" t="n">
        <v>45657</v>
      </c>
      <c r="D9296" t="inlineStr">
        <is>
          <t>VÄSTERNORRLANDS LÄN</t>
        </is>
      </c>
      <c r="E9296" t="inlineStr">
        <is>
          <t>ÅNGE</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30449-2023</t>
        </is>
      </c>
      <c r="B9297" s="1" t="n">
        <v>45111</v>
      </c>
      <c r="C9297" s="1" t="n">
        <v>45657</v>
      </c>
      <c r="D9297" t="inlineStr">
        <is>
          <t>VÄSTERNORRLANDS LÄN</t>
        </is>
      </c>
      <c r="E9297" t="inlineStr">
        <is>
          <t>ÖRNSKÖLDSVIK</t>
        </is>
      </c>
      <c r="F9297" t="inlineStr">
        <is>
          <t>Holmen skog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30558-2023</t>
        </is>
      </c>
      <c r="B9298" s="1" t="n">
        <v>45111</v>
      </c>
      <c r="C9298" s="1" t="n">
        <v>45657</v>
      </c>
      <c r="D9298" t="inlineStr">
        <is>
          <t>VÄSTERNORRLANDS LÄN</t>
        </is>
      </c>
      <c r="E9298" t="inlineStr">
        <is>
          <t>ÅNGE</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30568-2023</t>
        </is>
      </c>
      <c r="B9299" s="1" t="n">
        <v>45112</v>
      </c>
      <c r="C9299" s="1" t="n">
        <v>45657</v>
      </c>
      <c r="D9299" t="inlineStr">
        <is>
          <t>VÄSTERNORRLANDS LÄN</t>
        </is>
      </c>
      <c r="E9299" t="inlineStr">
        <is>
          <t>SUNDSVALL</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32562-2023</t>
        </is>
      </c>
      <c r="B9300" s="1" t="n">
        <v>45111</v>
      </c>
      <c r="C9300" s="1" t="n">
        <v>45657</v>
      </c>
      <c r="D9300" t="inlineStr">
        <is>
          <t>VÄSTERNORRLANDS LÄN</t>
        </is>
      </c>
      <c r="E9300" t="inlineStr">
        <is>
          <t>SUNDSVALL</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32580-2023</t>
        </is>
      </c>
      <c r="B9301" s="1" t="n">
        <v>45111</v>
      </c>
      <c r="C9301" s="1" t="n">
        <v>45657</v>
      </c>
      <c r="D9301" t="inlineStr">
        <is>
          <t>VÄSTERNORRLANDS LÄN</t>
        </is>
      </c>
      <c r="E9301" t="inlineStr">
        <is>
          <t>KRAMFORS</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32571-2023</t>
        </is>
      </c>
      <c r="B9302" s="1" t="n">
        <v>45111</v>
      </c>
      <c r="C9302" s="1" t="n">
        <v>45657</v>
      </c>
      <c r="D9302" t="inlineStr">
        <is>
          <t>VÄSTERNORRLANDS LÄN</t>
        </is>
      </c>
      <c r="E9302" t="inlineStr">
        <is>
          <t>SUNDSVALL</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30579-2023</t>
        </is>
      </c>
      <c r="B9303" s="1" t="n">
        <v>45112</v>
      </c>
      <c r="C9303" s="1" t="n">
        <v>45657</v>
      </c>
      <c r="D9303" t="inlineStr">
        <is>
          <t>VÄSTERNORRLANDS LÄN</t>
        </is>
      </c>
      <c r="E9303" t="inlineStr">
        <is>
          <t>ÖRNSKÖLDSVIK</t>
        </is>
      </c>
      <c r="F9303" t="inlineStr">
        <is>
          <t>Holmen skog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30635-2023</t>
        </is>
      </c>
      <c r="B9304" s="1" t="n">
        <v>45112</v>
      </c>
      <c r="C9304" s="1" t="n">
        <v>45657</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30696-2023</t>
        </is>
      </c>
      <c r="B9305" s="1" t="n">
        <v>45112</v>
      </c>
      <c r="C9305" s="1" t="n">
        <v>45657</v>
      </c>
      <c r="D9305" t="inlineStr">
        <is>
          <t>VÄSTERNORRLANDS LÄN</t>
        </is>
      </c>
      <c r="E9305" t="inlineStr">
        <is>
          <t>ÖRNSKÖLDSVIK</t>
        </is>
      </c>
      <c r="F9305" t="inlineStr">
        <is>
          <t>Holmen skog AB</t>
        </is>
      </c>
      <c r="G9305" t="n">
        <v>14.9</v>
      </c>
      <c r="H9305" t="n">
        <v>0</v>
      </c>
      <c r="I9305" t="n">
        <v>0</v>
      </c>
      <c r="J9305" t="n">
        <v>0</v>
      </c>
      <c r="K9305" t="n">
        <v>0</v>
      </c>
      <c r="L9305" t="n">
        <v>0</v>
      </c>
      <c r="M9305" t="n">
        <v>0</v>
      </c>
      <c r="N9305" t="n">
        <v>0</v>
      </c>
      <c r="O9305" t="n">
        <v>0</v>
      </c>
      <c r="P9305" t="n">
        <v>0</v>
      </c>
      <c r="Q9305" t="n">
        <v>0</v>
      </c>
      <c r="R9305" s="2" t="inlineStr"/>
    </row>
    <row r="9306" ht="15" customHeight="1">
      <c r="A9306" t="inlineStr">
        <is>
          <t>A 30689-2023</t>
        </is>
      </c>
      <c r="B9306" s="1" t="n">
        <v>45112</v>
      </c>
      <c r="C9306" s="1" t="n">
        <v>45657</v>
      </c>
      <c r="D9306" t="inlineStr">
        <is>
          <t>VÄSTERNORRLANDS LÄN</t>
        </is>
      </c>
      <c r="E9306" t="inlineStr">
        <is>
          <t>ÖRNSKÖLDSVIK</t>
        </is>
      </c>
      <c r="F9306" t="inlineStr">
        <is>
          <t>Holmen skog AB</t>
        </is>
      </c>
      <c r="G9306" t="n">
        <v>8.4</v>
      </c>
      <c r="H9306" t="n">
        <v>0</v>
      </c>
      <c r="I9306" t="n">
        <v>0</v>
      </c>
      <c r="J9306" t="n">
        <v>0</v>
      </c>
      <c r="K9306" t="n">
        <v>0</v>
      </c>
      <c r="L9306" t="n">
        <v>0</v>
      </c>
      <c r="M9306" t="n">
        <v>0</v>
      </c>
      <c r="N9306" t="n">
        <v>0</v>
      </c>
      <c r="O9306" t="n">
        <v>0</v>
      </c>
      <c r="P9306" t="n">
        <v>0</v>
      </c>
      <c r="Q9306" t="n">
        <v>0</v>
      </c>
      <c r="R9306" s="2" t="inlineStr"/>
    </row>
    <row r="9307" ht="15" customHeight="1">
      <c r="A9307" t="inlineStr">
        <is>
          <t>A 30822-2023</t>
        </is>
      </c>
      <c r="B9307" s="1" t="n">
        <v>45113</v>
      </c>
      <c r="C9307" s="1" t="n">
        <v>45657</v>
      </c>
      <c r="D9307" t="inlineStr">
        <is>
          <t>VÄSTERNORRLANDS LÄN</t>
        </is>
      </c>
      <c r="E9307" t="inlineStr">
        <is>
          <t>SOLLEFTEÅ</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30850-2023</t>
        </is>
      </c>
      <c r="B9308" s="1" t="n">
        <v>45112</v>
      </c>
      <c r="C9308" s="1" t="n">
        <v>45657</v>
      </c>
      <c r="D9308" t="inlineStr">
        <is>
          <t>VÄSTERNORRLANDS LÄN</t>
        </is>
      </c>
      <c r="E9308" t="inlineStr">
        <is>
          <t>TIMRÅ</t>
        </is>
      </c>
      <c r="F9308" t="inlineStr">
        <is>
          <t>SCA</t>
        </is>
      </c>
      <c r="G9308" t="n">
        <v>16.1</v>
      </c>
      <c r="H9308" t="n">
        <v>0</v>
      </c>
      <c r="I9308" t="n">
        <v>0</v>
      </c>
      <c r="J9308" t="n">
        <v>0</v>
      </c>
      <c r="K9308" t="n">
        <v>0</v>
      </c>
      <c r="L9308" t="n">
        <v>0</v>
      </c>
      <c r="M9308" t="n">
        <v>0</v>
      </c>
      <c r="N9308" t="n">
        <v>0</v>
      </c>
      <c r="O9308" t="n">
        <v>0</v>
      </c>
      <c r="P9308" t="n">
        <v>0</v>
      </c>
      <c r="Q9308" t="n">
        <v>0</v>
      </c>
      <c r="R9308" s="2" t="inlineStr"/>
    </row>
    <row r="9309" ht="15" customHeight="1">
      <c r="A9309" t="inlineStr">
        <is>
          <t>A 30817-2023</t>
        </is>
      </c>
      <c r="B9309" s="1" t="n">
        <v>45112</v>
      </c>
      <c r="C9309" s="1" t="n">
        <v>45657</v>
      </c>
      <c r="D9309" t="inlineStr">
        <is>
          <t>VÄSTERNORRLANDS LÄN</t>
        </is>
      </c>
      <c r="E9309" t="inlineStr">
        <is>
          <t>ÅNGE</t>
        </is>
      </c>
      <c r="G9309" t="n">
        <v>8.5</v>
      </c>
      <c r="H9309" t="n">
        <v>0</v>
      </c>
      <c r="I9309" t="n">
        <v>0</v>
      </c>
      <c r="J9309" t="n">
        <v>0</v>
      </c>
      <c r="K9309" t="n">
        <v>0</v>
      </c>
      <c r="L9309" t="n">
        <v>0</v>
      </c>
      <c r="M9309" t="n">
        <v>0</v>
      </c>
      <c r="N9309" t="n">
        <v>0</v>
      </c>
      <c r="O9309" t="n">
        <v>0</v>
      </c>
      <c r="P9309" t="n">
        <v>0</v>
      </c>
      <c r="Q9309" t="n">
        <v>0</v>
      </c>
      <c r="R9309" s="2" t="inlineStr"/>
    </row>
    <row r="9310" ht="15" customHeight="1">
      <c r="A9310" t="inlineStr">
        <is>
          <t>A 30829-2023</t>
        </is>
      </c>
      <c r="B9310" s="1" t="n">
        <v>45113</v>
      </c>
      <c r="C9310" s="1" t="n">
        <v>45657</v>
      </c>
      <c r="D9310" t="inlineStr">
        <is>
          <t>VÄSTERNORRLANDS LÄN</t>
        </is>
      </c>
      <c r="E9310" t="inlineStr">
        <is>
          <t>SOLLEFTEÅ</t>
        </is>
      </c>
      <c r="F9310" t="inlineStr">
        <is>
          <t>SCA</t>
        </is>
      </c>
      <c r="G9310" t="n">
        <v>10.1</v>
      </c>
      <c r="H9310" t="n">
        <v>0</v>
      </c>
      <c r="I9310" t="n">
        <v>0</v>
      </c>
      <c r="J9310" t="n">
        <v>0</v>
      </c>
      <c r="K9310" t="n">
        <v>0</v>
      </c>
      <c r="L9310" t="n">
        <v>0</v>
      </c>
      <c r="M9310" t="n">
        <v>0</v>
      </c>
      <c r="N9310" t="n">
        <v>0</v>
      </c>
      <c r="O9310" t="n">
        <v>0</v>
      </c>
      <c r="P9310" t="n">
        <v>0</v>
      </c>
      <c r="Q9310" t="n">
        <v>0</v>
      </c>
      <c r="R9310" s="2" t="inlineStr"/>
    </row>
    <row r="9311" ht="15" customHeight="1">
      <c r="A9311" t="inlineStr">
        <is>
          <t>A 30853-2023</t>
        </is>
      </c>
      <c r="B9311" s="1" t="n">
        <v>45113</v>
      </c>
      <c r="C9311" s="1" t="n">
        <v>45657</v>
      </c>
      <c r="D9311" t="inlineStr">
        <is>
          <t>VÄSTERNORRLANDS LÄN</t>
        </is>
      </c>
      <c r="E9311" t="inlineStr">
        <is>
          <t>ÅNGE</t>
        </is>
      </c>
      <c r="F9311" t="inlineStr">
        <is>
          <t>SCA</t>
        </is>
      </c>
      <c r="G9311" t="n">
        <v>7.5</v>
      </c>
      <c r="H9311" t="n">
        <v>0</v>
      </c>
      <c r="I9311" t="n">
        <v>0</v>
      </c>
      <c r="J9311" t="n">
        <v>0</v>
      </c>
      <c r="K9311" t="n">
        <v>0</v>
      </c>
      <c r="L9311" t="n">
        <v>0</v>
      </c>
      <c r="M9311" t="n">
        <v>0</v>
      </c>
      <c r="N9311" t="n">
        <v>0</v>
      </c>
      <c r="O9311" t="n">
        <v>0</v>
      </c>
      <c r="P9311" t="n">
        <v>0</v>
      </c>
      <c r="Q9311" t="n">
        <v>0</v>
      </c>
      <c r="R9311" s="2" t="inlineStr"/>
    </row>
    <row r="9312" ht="15" customHeight="1">
      <c r="A9312" t="inlineStr">
        <is>
          <t>A 32634-2023</t>
        </is>
      </c>
      <c r="B9312" s="1" t="n">
        <v>45112</v>
      </c>
      <c r="C9312" s="1" t="n">
        <v>45657</v>
      </c>
      <c r="D9312" t="inlineStr">
        <is>
          <t>VÄSTERNORRLANDS LÄN</t>
        </is>
      </c>
      <c r="E9312" t="inlineStr">
        <is>
          <t>ÖRNSKÖLDSVIK</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30631-2023</t>
        </is>
      </c>
      <c r="B9313" s="1" t="n">
        <v>45112</v>
      </c>
      <c r="C9313" s="1" t="n">
        <v>45657</v>
      </c>
      <c r="D9313" t="inlineStr">
        <is>
          <t>VÄSTERNORRLANDS LÄN</t>
        </is>
      </c>
      <c r="E9313" t="inlineStr">
        <is>
          <t>ÖRNSKÖLDSVIK</t>
        </is>
      </c>
      <c r="F9313" t="inlineStr">
        <is>
          <t>Holmen skog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30644-2023</t>
        </is>
      </c>
      <c r="B9314" s="1" t="n">
        <v>45112</v>
      </c>
      <c r="C9314" s="1" t="n">
        <v>45657</v>
      </c>
      <c r="D9314" t="inlineStr">
        <is>
          <t>VÄSTERNORRLANDS LÄN</t>
        </is>
      </c>
      <c r="E9314" t="inlineStr">
        <is>
          <t>ÖRNSKÖLDSVIK</t>
        </is>
      </c>
      <c r="F9314" t="inlineStr">
        <is>
          <t>Holmen skog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30835-2023</t>
        </is>
      </c>
      <c r="B9315" s="1" t="n">
        <v>45113</v>
      </c>
      <c r="C9315" s="1" t="n">
        <v>45657</v>
      </c>
      <c r="D9315" t="inlineStr">
        <is>
          <t>VÄSTERNORRLANDS LÄN</t>
        </is>
      </c>
      <c r="E9315" t="inlineStr">
        <is>
          <t>TIMRÅ</t>
        </is>
      </c>
      <c r="F9315" t="inlineStr">
        <is>
          <t>SCA</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30843-2023</t>
        </is>
      </c>
      <c r="B9316" s="1" t="n">
        <v>45112</v>
      </c>
      <c r="C9316" s="1" t="n">
        <v>45657</v>
      </c>
      <c r="D9316" t="inlineStr">
        <is>
          <t>VÄSTERNORRLANDS LÄN</t>
        </is>
      </c>
      <c r="E9316" t="inlineStr">
        <is>
          <t>HÄRNÖSAND</t>
        </is>
      </c>
      <c r="F9316" t="inlineStr">
        <is>
          <t>SCA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30755-2023</t>
        </is>
      </c>
      <c r="B9317" s="1" t="n">
        <v>45112</v>
      </c>
      <c r="C9317" s="1" t="n">
        <v>45657</v>
      </c>
      <c r="D9317" t="inlineStr">
        <is>
          <t>VÄSTERNORRLANDS LÄN</t>
        </is>
      </c>
      <c r="E9317" t="inlineStr">
        <is>
          <t>ÖRNSKÖLDSVIK</t>
        </is>
      </c>
      <c r="F9317" t="inlineStr">
        <is>
          <t>Holmen skog AB</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30844-2023</t>
        </is>
      </c>
      <c r="B9318" s="1" t="n">
        <v>45112</v>
      </c>
      <c r="C9318" s="1" t="n">
        <v>45657</v>
      </c>
      <c r="D9318" t="inlineStr">
        <is>
          <t>VÄSTERNORRLANDS LÄN</t>
        </is>
      </c>
      <c r="E9318" t="inlineStr">
        <is>
          <t>ÅNGE</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30852-2023</t>
        </is>
      </c>
      <c r="B9319" s="1" t="n">
        <v>45113</v>
      </c>
      <c r="C9319" s="1" t="n">
        <v>45657</v>
      </c>
      <c r="D9319" t="inlineStr">
        <is>
          <t>VÄSTERNORRLANDS LÄN</t>
        </is>
      </c>
      <c r="E9319" t="inlineStr">
        <is>
          <t>ÅNGE</t>
        </is>
      </c>
      <c r="F9319" t="inlineStr">
        <is>
          <t>SCA</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32630-2023</t>
        </is>
      </c>
      <c r="B9320" s="1" t="n">
        <v>45112</v>
      </c>
      <c r="C9320" s="1" t="n">
        <v>45657</v>
      </c>
      <c r="D9320" t="inlineStr">
        <is>
          <t>VÄSTERNORRLANDS LÄN</t>
        </is>
      </c>
      <c r="E9320" t="inlineStr">
        <is>
          <t>ÖRNSKÖLDSVIK</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30993-2023</t>
        </is>
      </c>
      <c r="B9321" s="1" t="n">
        <v>45113</v>
      </c>
      <c r="C9321" s="1" t="n">
        <v>45657</v>
      </c>
      <c r="D9321" t="inlineStr">
        <is>
          <t>VÄSTERNORRLANDS LÄN</t>
        </is>
      </c>
      <c r="E9321" t="inlineStr">
        <is>
          <t>ÖRNSKÖLDSVIK</t>
        </is>
      </c>
      <c r="F9321" t="inlineStr">
        <is>
          <t>Holmen skog AB</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30929-2023</t>
        </is>
      </c>
      <c r="B9322" s="1" t="n">
        <v>45113</v>
      </c>
      <c r="C9322" s="1" t="n">
        <v>45657</v>
      </c>
      <c r="D9322" t="inlineStr">
        <is>
          <t>VÄSTERNORRLANDS LÄN</t>
        </is>
      </c>
      <c r="E9322" t="inlineStr">
        <is>
          <t>HÄRNÖSAND</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30948-2023</t>
        </is>
      </c>
      <c r="B9323" s="1" t="n">
        <v>45113</v>
      </c>
      <c r="C9323" s="1" t="n">
        <v>45657</v>
      </c>
      <c r="D9323" t="inlineStr">
        <is>
          <t>VÄSTERNORRLANDS LÄN</t>
        </is>
      </c>
      <c r="E9323" t="inlineStr">
        <is>
          <t>ÖRNSKÖLDSVIK</t>
        </is>
      </c>
      <c r="F9323" t="inlineStr">
        <is>
          <t>Holmen skog AB</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31177-2023</t>
        </is>
      </c>
      <c r="B9324" s="1" t="n">
        <v>45113</v>
      </c>
      <c r="C9324" s="1" t="n">
        <v>45657</v>
      </c>
      <c r="D9324" t="inlineStr">
        <is>
          <t>VÄSTERNORRLANDS LÄN</t>
        </is>
      </c>
      <c r="E9324" t="inlineStr">
        <is>
          <t>SOLLEFTEÅ</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31202-2023</t>
        </is>
      </c>
      <c r="B9325" s="1" t="n">
        <v>45113</v>
      </c>
      <c r="C9325" s="1" t="n">
        <v>45657</v>
      </c>
      <c r="D9325" t="inlineStr">
        <is>
          <t>VÄSTERNORRLANDS LÄN</t>
        </is>
      </c>
      <c r="E9325" t="inlineStr">
        <is>
          <t>SUNDSVALL</t>
        </is>
      </c>
      <c r="F9325" t="inlineStr">
        <is>
          <t>SCA</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31207-2023</t>
        </is>
      </c>
      <c r="B9326" s="1" t="n">
        <v>45114</v>
      </c>
      <c r="C9326" s="1" t="n">
        <v>45657</v>
      </c>
      <c r="D9326" t="inlineStr">
        <is>
          <t>VÄSTERNORRLANDS LÄN</t>
        </is>
      </c>
      <c r="E9326" t="inlineStr">
        <is>
          <t>SUNDSVALL</t>
        </is>
      </c>
      <c r="F9326" t="inlineStr">
        <is>
          <t>SCA</t>
        </is>
      </c>
      <c r="G9326" t="n">
        <v>14.9</v>
      </c>
      <c r="H9326" t="n">
        <v>0</v>
      </c>
      <c r="I9326" t="n">
        <v>0</v>
      </c>
      <c r="J9326" t="n">
        <v>0</v>
      </c>
      <c r="K9326" t="n">
        <v>0</v>
      </c>
      <c r="L9326" t="n">
        <v>0</v>
      </c>
      <c r="M9326" t="n">
        <v>0</v>
      </c>
      <c r="N9326" t="n">
        <v>0</v>
      </c>
      <c r="O9326" t="n">
        <v>0</v>
      </c>
      <c r="P9326" t="n">
        <v>0</v>
      </c>
      <c r="Q9326" t="n">
        <v>0</v>
      </c>
      <c r="R9326" s="2" t="inlineStr"/>
    </row>
    <row r="9327" ht="15" customHeight="1">
      <c r="A9327" t="inlineStr">
        <is>
          <t>A 31211-2023</t>
        </is>
      </c>
      <c r="B9327" s="1" t="n">
        <v>45114</v>
      </c>
      <c r="C9327" s="1" t="n">
        <v>45657</v>
      </c>
      <c r="D9327" t="inlineStr">
        <is>
          <t>VÄSTERNORRLANDS LÄN</t>
        </is>
      </c>
      <c r="E9327" t="inlineStr">
        <is>
          <t>SUNDSVALL</t>
        </is>
      </c>
      <c r="F9327" t="inlineStr">
        <is>
          <t>SCA</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31179-2023</t>
        </is>
      </c>
      <c r="B9328" s="1" t="n">
        <v>45114</v>
      </c>
      <c r="C9328" s="1" t="n">
        <v>45657</v>
      </c>
      <c r="D9328" t="inlineStr">
        <is>
          <t>VÄSTERNORRLANDS LÄN</t>
        </is>
      </c>
      <c r="E9328" t="inlineStr">
        <is>
          <t>SOLLEFTEÅ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31188-2023</t>
        </is>
      </c>
      <c r="B9329" s="1" t="n">
        <v>45114</v>
      </c>
      <c r="C9329" s="1" t="n">
        <v>45657</v>
      </c>
      <c r="D9329" t="inlineStr">
        <is>
          <t>VÄSTERNORRLANDS LÄN</t>
        </is>
      </c>
      <c r="E9329" t="inlineStr">
        <is>
          <t>ÖRNSKÖLDSVIK</t>
        </is>
      </c>
      <c r="F9329" t="inlineStr">
        <is>
          <t>SCA</t>
        </is>
      </c>
      <c r="G9329" t="n">
        <v>8.699999999999999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31192-2023</t>
        </is>
      </c>
      <c r="B9330" s="1" t="n">
        <v>45113</v>
      </c>
      <c r="C9330" s="1" t="n">
        <v>45657</v>
      </c>
      <c r="D9330" t="inlineStr">
        <is>
          <t>VÄSTERNORRLANDS LÄN</t>
        </is>
      </c>
      <c r="E9330" t="inlineStr">
        <is>
          <t>ÖRNSKÖLDSVIK</t>
        </is>
      </c>
      <c r="F9330" t="inlineStr">
        <is>
          <t>SCA</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31204-2023</t>
        </is>
      </c>
      <c r="B9331" s="1" t="n">
        <v>45114</v>
      </c>
      <c r="C9331" s="1" t="n">
        <v>45657</v>
      </c>
      <c r="D9331" t="inlineStr">
        <is>
          <t>VÄSTERNORRLANDS LÄN</t>
        </is>
      </c>
      <c r="E9331" t="inlineStr">
        <is>
          <t>SUNDSVALL</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31178-2023</t>
        </is>
      </c>
      <c r="B9332" s="1" t="n">
        <v>45114</v>
      </c>
      <c r="C9332" s="1" t="n">
        <v>45657</v>
      </c>
      <c r="D9332" t="inlineStr">
        <is>
          <t>VÄSTERNORRLANDS LÄN</t>
        </is>
      </c>
      <c r="E9332" t="inlineStr">
        <is>
          <t>SOLLEFTEÅ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32970-2023</t>
        </is>
      </c>
      <c r="B9333" s="1" t="n">
        <v>45113</v>
      </c>
      <c r="C9333" s="1" t="n">
        <v>45657</v>
      </c>
      <c r="D9333" t="inlineStr">
        <is>
          <t>VÄSTERNORRLANDS LÄN</t>
        </is>
      </c>
      <c r="E9333" t="inlineStr">
        <is>
          <t>SUNDSVALL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32975-2023</t>
        </is>
      </c>
      <c r="B9334" s="1" t="n">
        <v>45113</v>
      </c>
      <c r="C9334" s="1" t="n">
        <v>45657</v>
      </c>
      <c r="D9334" t="inlineStr">
        <is>
          <t>VÄSTERNORRLANDS LÄN</t>
        </is>
      </c>
      <c r="E9334" t="inlineStr">
        <is>
          <t>KRAMFORS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32981-2023</t>
        </is>
      </c>
      <c r="B9335" s="1" t="n">
        <v>45113</v>
      </c>
      <c r="C9335" s="1" t="n">
        <v>45657</v>
      </c>
      <c r="D9335" t="inlineStr">
        <is>
          <t>VÄSTERNORRLANDS LÄN</t>
        </is>
      </c>
      <c r="E9335" t="inlineStr">
        <is>
          <t>HÄRNÖSAND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32953-2023</t>
        </is>
      </c>
      <c r="B9336" s="1" t="n">
        <v>45113</v>
      </c>
      <c r="C9336" s="1" t="n">
        <v>45657</v>
      </c>
      <c r="D9336" t="inlineStr">
        <is>
          <t>VÄSTERNORRLANDS LÄN</t>
        </is>
      </c>
      <c r="E9336" t="inlineStr">
        <is>
          <t>SUNDSVALL</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32972-2023</t>
        </is>
      </c>
      <c r="B9337" s="1" t="n">
        <v>45113</v>
      </c>
      <c r="C9337" s="1" t="n">
        <v>45657</v>
      </c>
      <c r="D9337" t="inlineStr">
        <is>
          <t>VÄSTERNORRLANDS LÄN</t>
        </is>
      </c>
      <c r="E9337" t="inlineStr">
        <is>
          <t>HÄRNÖSAND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32979-2023</t>
        </is>
      </c>
      <c r="B9338" s="1" t="n">
        <v>45113</v>
      </c>
      <c r="C9338" s="1" t="n">
        <v>45657</v>
      </c>
      <c r="D9338" t="inlineStr">
        <is>
          <t>VÄSTERNORRLANDS LÄN</t>
        </is>
      </c>
      <c r="E9338" t="inlineStr">
        <is>
          <t>HÄRNÖSAND</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33016-2023</t>
        </is>
      </c>
      <c r="B9339" s="1" t="n">
        <v>45113</v>
      </c>
      <c r="C9339" s="1" t="n">
        <v>45657</v>
      </c>
      <c r="D9339" t="inlineStr">
        <is>
          <t>VÄSTERNORRLANDS LÄN</t>
        </is>
      </c>
      <c r="E9339" t="inlineStr">
        <is>
          <t>KRAMFORS</t>
        </is>
      </c>
      <c r="G9339" t="n">
        <v>9.9</v>
      </c>
      <c r="H9339" t="n">
        <v>0</v>
      </c>
      <c r="I9339" t="n">
        <v>0</v>
      </c>
      <c r="J9339" t="n">
        <v>0</v>
      </c>
      <c r="K9339" t="n">
        <v>0</v>
      </c>
      <c r="L9339" t="n">
        <v>0</v>
      </c>
      <c r="M9339" t="n">
        <v>0</v>
      </c>
      <c r="N9339" t="n">
        <v>0</v>
      </c>
      <c r="O9339" t="n">
        <v>0</v>
      </c>
      <c r="P9339" t="n">
        <v>0</v>
      </c>
      <c r="Q9339" t="n">
        <v>0</v>
      </c>
      <c r="R9339" s="2" t="inlineStr"/>
    </row>
    <row r="9340" ht="15" customHeight="1">
      <c r="A9340" t="inlineStr">
        <is>
          <t>A 31224-2023</t>
        </is>
      </c>
      <c r="B9340" s="1" t="n">
        <v>45114</v>
      </c>
      <c r="C9340" s="1" t="n">
        <v>45657</v>
      </c>
      <c r="D9340" t="inlineStr">
        <is>
          <t>VÄSTERNORRLANDS LÄN</t>
        </is>
      </c>
      <c r="E9340" t="inlineStr">
        <is>
          <t>ÅNGE</t>
        </is>
      </c>
      <c r="F9340" t="inlineStr">
        <is>
          <t>Sveaskog</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31225-2023</t>
        </is>
      </c>
      <c r="B9341" s="1" t="n">
        <v>45114</v>
      </c>
      <c r="C9341" s="1" t="n">
        <v>45657</v>
      </c>
      <c r="D9341" t="inlineStr">
        <is>
          <t>VÄSTERNORRLANDS LÄN</t>
        </is>
      </c>
      <c r="E9341" t="inlineStr">
        <is>
          <t>ÅNGE</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31229-2023</t>
        </is>
      </c>
      <c r="B9342" s="1" t="n">
        <v>45114</v>
      </c>
      <c r="C9342" s="1" t="n">
        <v>45657</v>
      </c>
      <c r="D9342" t="inlineStr">
        <is>
          <t>VÄSTERNORRLANDS LÄN</t>
        </is>
      </c>
      <c r="E9342" t="inlineStr">
        <is>
          <t>ÅNGE</t>
        </is>
      </c>
      <c r="F9342" t="inlineStr">
        <is>
          <t>Sveaskog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31244-2023</t>
        </is>
      </c>
      <c r="B9343" s="1" t="n">
        <v>45114</v>
      </c>
      <c r="C9343" s="1" t="n">
        <v>45657</v>
      </c>
      <c r="D9343" t="inlineStr">
        <is>
          <t>VÄSTERNORRLANDS LÄN</t>
        </is>
      </c>
      <c r="E9343" t="inlineStr">
        <is>
          <t>ÖRNSKÖLDSVIK</t>
        </is>
      </c>
      <c r="F9343" t="inlineStr">
        <is>
          <t>Holmen skog AB</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31274-2023</t>
        </is>
      </c>
      <c r="B9344" s="1" t="n">
        <v>45114</v>
      </c>
      <c r="C9344" s="1" t="n">
        <v>45657</v>
      </c>
      <c r="D9344" t="inlineStr">
        <is>
          <t>VÄSTERNORRLANDS LÄN</t>
        </is>
      </c>
      <c r="E9344" t="inlineStr">
        <is>
          <t>SUNDSVALL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31278-2023</t>
        </is>
      </c>
      <c r="B9345" s="1" t="n">
        <v>45114</v>
      </c>
      <c r="C9345" s="1" t="n">
        <v>45657</v>
      </c>
      <c r="D9345" t="inlineStr">
        <is>
          <t>VÄSTERNORRLANDS LÄN</t>
        </is>
      </c>
      <c r="E9345" t="inlineStr">
        <is>
          <t>SUNDSVALL</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31344-2023</t>
        </is>
      </c>
      <c r="B9346" s="1" t="n">
        <v>45114</v>
      </c>
      <c r="C9346" s="1" t="n">
        <v>45657</v>
      </c>
      <c r="D9346" t="inlineStr">
        <is>
          <t>VÄSTERNORRLANDS LÄN</t>
        </is>
      </c>
      <c r="E9346" t="inlineStr">
        <is>
          <t>ÖRNSKÖLDSVIK</t>
        </is>
      </c>
      <c r="F9346" t="inlineStr">
        <is>
          <t>Holmen skog AB</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31387-2023</t>
        </is>
      </c>
      <c r="B9347" s="1" t="n">
        <v>45114</v>
      </c>
      <c r="C9347" s="1" t="n">
        <v>45657</v>
      </c>
      <c r="D9347" t="inlineStr">
        <is>
          <t>VÄSTERNORRLANDS LÄN</t>
        </is>
      </c>
      <c r="E9347" t="inlineStr">
        <is>
          <t>SOLLEFTEÅ</t>
        </is>
      </c>
      <c r="F9347" t="inlineStr">
        <is>
          <t>Övriga statliga verk och myndigheter</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31285-2023</t>
        </is>
      </c>
      <c r="B9348" s="1" t="n">
        <v>45114</v>
      </c>
      <c r="C9348" s="1" t="n">
        <v>45657</v>
      </c>
      <c r="D9348" t="inlineStr">
        <is>
          <t>VÄSTERNORRLANDS LÄN</t>
        </is>
      </c>
      <c r="E9348" t="inlineStr">
        <is>
          <t>ÖRNSKÖLDSVIK</t>
        </is>
      </c>
      <c r="F9348" t="inlineStr">
        <is>
          <t>Holmen skog AB</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31415-2023</t>
        </is>
      </c>
      <c r="B9349" s="1" t="n">
        <v>45114</v>
      </c>
      <c r="C9349" s="1" t="n">
        <v>45657</v>
      </c>
      <c r="D9349" t="inlineStr">
        <is>
          <t>VÄSTERNORRLANDS LÄN</t>
        </is>
      </c>
      <c r="E9349" t="inlineStr">
        <is>
          <t>ÖRNSKÖLDSVIK</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31305-2023</t>
        </is>
      </c>
      <c r="B9350" s="1" t="n">
        <v>45114</v>
      </c>
      <c r="C9350" s="1" t="n">
        <v>45657</v>
      </c>
      <c r="D9350" t="inlineStr">
        <is>
          <t>VÄSTERNORRLANDS LÄN</t>
        </is>
      </c>
      <c r="E9350" t="inlineStr">
        <is>
          <t>SUNDSVALL</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31312-2023</t>
        </is>
      </c>
      <c r="B9351" s="1" t="n">
        <v>45114</v>
      </c>
      <c r="C9351" s="1" t="n">
        <v>45657</v>
      </c>
      <c r="D9351" t="inlineStr">
        <is>
          <t>VÄSTERNORRLANDS LÄN</t>
        </is>
      </c>
      <c r="E9351" t="inlineStr">
        <is>
          <t>SUNDSVALL</t>
        </is>
      </c>
      <c r="G9351" t="n">
        <v>9</v>
      </c>
      <c r="H9351" t="n">
        <v>0</v>
      </c>
      <c r="I9351" t="n">
        <v>0</v>
      </c>
      <c r="J9351" t="n">
        <v>0</v>
      </c>
      <c r="K9351" t="n">
        <v>0</v>
      </c>
      <c r="L9351" t="n">
        <v>0</v>
      </c>
      <c r="M9351" t="n">
        <v>0</v>
      </c>
      <c r="N9351" t="n">
        <v>0</v>
      </c>
      <c r="O9351" t="n">
        <v>0</v>
      </c>
      <c r="P9351" t="n">
        <v>0</v>
      </c>
      <c r="Q9351" t="n">
        <v>0</v>
      </c>
      <c r="R9351" s="2" t="inlineStr"/>
    </row>
    <row r="9352" ht="15" customHeight="1">
      <c r="A9352" t="inlineStr">
        <is>
          <t>A 31492-2023</t>
        </is>
      </c>
      <c r="B9352" s="1" t="n">
        <v>45115</v>
      </c>
      <c r="C9352" s="1" t="n">
        <v>45657</v>
      </c>
      <c r="D9352" t="inlineStr">
        <is>
          <t>VÄSTERNORRLANDS LÄN</t>
        </is>
      </c>
      <c r="E9352" t="inlineStr">
        <is>
          <t>SUNDSVALL</t>
        </is>
      </c>
      <c r="F9352" t="inlineStr">
        <is>
          <t>SCA</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33203-2023</t>
        </is>
      </c>
      <c r="B9353" s="1" t="n">
        <v>45114</v>
      </c>
      <c r="C9353" s="1" t="n">
        <v>45657</v>
      </c>
      <c r="D9353" t="inlineStr">
        <is>
          <t>VÄSTERNORRLANDS LÄN</t>
        </is>
      </c>
      <c r="E9353" t="inlineStr">
        <is>
          <t>SOLLEFTEÅ</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31256-2023</t>
        </is>
      </c>
      <c r="B9354" s="1" t="n">
        <v>45114</v>
      </c>
      <c r="C9354" s="1" t="n">
        <v>45657</v>
      </c>
      <c r="D9354" t="inlineStr">
        <is>
          <t>VÄSTERNORRLANDS LÄN</t>
        </is>
      </c>
      <c r="E9354" t="inlineStr">
        <is>
          <t>ÖRNSKÖLDSVIK</t>
        </is>
      </c>
      <c r="F9354" t="inlineStr">
        <is>
          <t>Holmen skog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31308-2023</t>
        </is>
      </c>
      <c r="B9355" s="1" t="n">
        <v>45114</v>
      </c>
      <c r="C9355" s="1" t="n">
        <v>45657</v>
      </c>
      <c r="D9355" t="inlineStr">
        <is>
          <t>VÄSTERNORRLANDS LÄN</t>
        </is>
      </c>
      <c r="E9355" t="inlineStr">
        <is>
          <t>ÖRNSKÖLDSVIK</t>
        </is>
      </c>
      <c r="F9355" t="inlineStr">
        <is>
          <t>Holmen skog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31399-2023</t>
        </is>
      </c>
      <c r="B9356" s="1" t="n">
        <v>45114</v>
      </c>
      <c r="C9356" s="1" t="n">
        <v>45657</v>
      </c>
      <c r="D9356" t="inlineStr">
        <is>
          <t>VÄSTERNORRLANDS LÄN</t>
        </is>
      </c>
      <c r="E9356" t="inlineStr">
        <is>
          <t>ÖRNSKÖLDSVIK</t>
        </is>
      </c>
      <c r="F9356" t="inlineStr">
        <is>
          <t>Holmen skog AB</t>
        </is>
      </c>
      <c r="G9356" t="n">
        <v>10.3</v>
      </c>
      <c r="H9356" t="n">
        <v>0</v>
      </c>
      <c r="I9356" t="n">
        <v>0</v>
      </c>
      <c r="J9356" t="n">
        <v>0</v>
      </c>
      <c r="K9356" t="n">
        <v>0</v>
      </c>
      <c r="L9356" t="n">
        <v>0</v>
      </c>
      <c r="M9356" t="n">
        <v>0</v>
      </c>
      <c r="N9356" t="n">
        <v>0</v>
      </c>
      <c r="O9356" t="n">
        <v>0</v>
      </c>
      <c r="P9356" t="n">
        <v>0</v>
      </c>
      <c r="Q9356" t="n">
        <v>0</v>
      </c>
      <c r="R9356" s="2" t="inlineStr"/>
    </row>
    <row r="9357" ht="15" customHeight="1">
      <c r="A9357" t="inlineStr">
        <is>
          <t>A 31493-2023</t>
        </is>
      </c>
      <c r="B9357" s="1" t="n">
        <v>45114</v>
      </c>
      <c r="C9357" s="1" t="n">
        <v>45657</v>
      </c>
      <c r="D9357" t="inlineStr">
        <is>
          <t>VÄSTERNORRLANDS LÄN</t>
        </is>
      </c>
      <c r="E9357" t="inlineStr">
        <is>
          <t>SUNDSVALL</t>
        </is>
      </c>
      <c r="F9357" t="inlineStr">
        <is>
          <t>SCA</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33233-2023</t>
        </is>
      </c>
      <c r="B9358" s="1" t="n">
        <v>45114</v>
      </c>
      <c r="C9358" s="1" t="n">
        <v>45657</v>
      </c>
      <c r="D9358" t="inlineStr">
        <is>
          <t>VÄSTERNORRLANDS LÄN</t>
        </is>
      </c>
      <c r="E9358" t="inlineStr">
        <is>
          <t>ÖRNSKÖLDSVIK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33244-2023</t>
        </is>
      </c>
      <c r="B9359" s="1" t="n">
        <v>45114</v>
      </c>
      <c r="C9359" s="1" t="n">
        <v>45657</v>
      </c>
      <c r="D9359" t="inlineStr">
        <is>
          <t>VÄSTERNORRLANDS LÄN</t>
        </is>
      </c>
      <c r="E9359" t="inlineStr">
        <is>
          <t>ÖRNSKÖLDSVIK</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33239-2023</t>
        </is>
      </c>
      <c r="B9360" s="1" t="n">
        <v>45114</v>
      </c>
      <c r="C9360" s="1" t="n">
        <v>45657</v>
      </c>
      <c r="D9360" t="inlineStr">
        <is>
          <t>VÄSTERNORRLANDS LÄN</t>
        </is>
      </c>
      <c r="E9360" t="inlineStr">
        <is>
          <t>KRAMFORS</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33248-2023</t>
        </is>
      </c>
      <c r="B9361" s="1" t="n">
        <v>45114</v>
      </c>
      <c r="C9361" s="1" t="n">
        <v>45657</v>
      </c>
      <c r="D9361" t="inlineStr">
        <is>
          <t>VÄSTERNORRLANDS LÄN</t>
        </is>
      </c>
      <c r="E9361" t="inlineStr">
        <is>
          <t>ÖRNSKÖLDSVIK</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33258-2023</t>
        </is>
      </c>
      <c r="B9362" s="1" t="n">
        <v>45114</v>
      </c>
      <c r="C9362" s="1" t="n">
        <v>45657</v>
      </c>
      <c r="D9362" t="inlineStr">
        <is>
          <t>VÄSTERNORRLANDS LÄN</t>
        </is>
      </c>
      <c r="E9362" t="inlineStr">
        <is>
          <t>ÖRNSKÖLDSVIK</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33242-2023</t>
        </is>
      </c>
      <c r="B9363" s="1" t="n">
        <v>45114</v>
      </c>
      <c r="C9363" s="1" t="n">
        <v>45657</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33261-2023</t>
        </is>
      </c>
      <c r="B9364" s="1" t="n">
        <v>45114</v>
      </c>
      <c r="C9364" s="1" t="n">
        <v>45657</v>
      </c>
      <c r="D9364" t="inlineStr">
        <is>
          <t>VÄSTERNORRLANDS LÄN</t>
        </is>
      </c>
      <c r="E9364" t="inlineStr">
        <is>
          <t>ÖRNSKÖLDSVIK</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31515-2023</t>
        </is>
      </c>
      <c r="B9365" s="1" t="n">
        <v>45116</v>
      </c>
      <c r="C9365" s="1" t="n">
        <v>45657</v>
      </c>
      <c r="D9365" t="inlineStr">
        <is>
          <t>VÄSTERNORRLANDS LÄN</t>
        </is>
      </c>
      <c r="E9365" t="inlineStr">
        <is>
          <t>KRAMFORS</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31562-2023</t>
        </is>
      </c>
      <c r="B9366" s="1" t="n">
        <v>45117</v>
      </c>
      <c r="C9366" s="1" t="n">
        <v>45657</v>
      </c>
      <c r="D9366" t="inlineStr">
        <is>
          <t>VÄSTERNORRLANDS LÄN</t>
        </is>
      </c>
      <c r="E9366" t="inlineStr">
        <is>
          <t>TIMRÅ</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31609-2023</t>
        </is>
      </c>
      <c r="B9367" s="1" t="n">
        <v>45117</v>
      </c>
      <c r="C9367" s="1" t="n">
        <v>45657</v>
      </c>
      <c r="D9367" t="inlineStr">
        <is>
          <t>VÄSTERNORRLANDS LÄN</t>
        </is>
      </c>
      <c r="E9367" t="inlineStr">
        <is>
          <t>ÖRNSKÖLDSVIK</t>
        </is>
      </c>
      <c r="F9367" t="inlineStr">
        <is>
          <t>Holmen skog AB</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31736-2023</t>
        </is>
      </c>
      <c r="B9368" s="1" t="n">
        <v>45117</v>
      </c>
      <c r="C9368" s="1" t="n">
        <v>45657</v>
      </c>
      <c r="D9368" t="inlineStr">
        <is>
          <t>VÄSTERNORRLANDS LÄN</t>
        </is>
      </c>
      <c r="E9368" t="inlineStr">
        <is>
          <t>TIMRÅ</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31740-2023</t>
        </is>
      </c>
      <c r="B9369" s="1" t="n">
        <v>45118</v>
      </c>
      <c r="C9369" s="1" t="n">
        <v>45657</v>
      </c>
      <c r="D9369" t="inlineStr">
        <is>
          <t>VÄSTERNORRLANDS LÄN</t>
        </is>
      </c>
      <c r="E9369" t="inlineStr">
        <is>
          <t>ÅNGE</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31741-2023</t>
        </is>
      </c>
      <c r="B9370" s="1" t="n">
        <v>45117</v>
      </c>
      <c r="C9370" s="1" t="n">
        <v>45657</v>
      </c>
      <c r="D9370" t="inlineStr">
        <is>
          <t>VÄSTERNORRLANDS LÄN</t>
        </is>
      </c>
      <c r="E9370" t="inlineStr">
        <is>
          <t>TIMRÅ</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33311-2023</t>
        </is>
      </c>
      <c r="B9371" s="1" t="n">
        <v>45117</v>
      </c>
      <c r="C9371" s="1" t="n">
        <v>45657</v>
      </c>
      <c r="D9371" t="inlineStr">
        <is>
          <t>VÄSTERNORRLANDS LÄN</t>
        </is>
      </c>
      <c r="E9371" t="inlineStr">
        <is>
          <t>KRAMFORS</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33402-2023</t>
        </is>
      </c>
      <c r="B9372" s="1" t="n">
        <v>45117</v>
      </c>
      <c r="C9372" s="1" t="n">
        <v>45657</v>
      </c>
      <c r="D9372" t="inlineStr">
        <is>
          <t>VÄSTERNORRLANDS LÄN</t>
        </is>
      </c>
      <c r="E9372" t="inlineStr">
        <is>
          <t>HÄRNÖSAND</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31735-2023</t>
        </is>
      </c>
      <c r="B9373" s="1" t="n">
        <v>45117</v>
      </c>
      <c r="C9373" s="1" t="n">
        <v>45657</v>
      </c>
      <c r="D9373" t="inlineStr">
        <is>
          <t>VÄSTERNORRLANDS LÄN</t>
        </is>
      </c>
      <c r="E9373" t="inlineStr">
        <is>
          <t>ÅNGE</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31739-2023</t>
        </is>
      </c>
      <c r="B9374" s="1" t="n">
        <v>45117</v>
      </c>
      <c r="C9374" s="1" t="n">
        <v>45657</v>
      </c>
      <c r="D9374" t="inlineStr">
        <is>
          <t>VÄSTERNORRLANDS LÄN</t>
        </is>
      </c>
      <c r="E9374" t="inlineStr">
        <is>
          <t>SUNDSVALL</t>
        </is>
      </c>
      <c r="F9374" t="inlineStr">
        <is>
          <t>SCA</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33399-2023</t>
        </is>
      </c>
      <c r="B9375" s="1" t="n">
        <v>45117</v>
      </c>
      <c r="C9375" s="1" t="n">
        <v>45657</v>
      </c>
      <c r="D9375" t="inlineStr">
        <is>
          <t>VÄSTERNORRLANDS LÄN</t>
        </is>
      </c>
      <c r="E9375" t="inlineStr">
        <is>
          <t>HÄRNÖSAND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31913-2023</t>
        </is>
      </c>
      <c r="B9376" s="1" t="n">
        <v>45118</v>
      </c>
      <c r="C9376" s="1" t="n">
        <v>45657</v>
      </c>
      <c r="D9376" t="inlineStr">
        <is>
          <t>VÄSTERNORRLANDS LÄN</t>
        </is>
      </c>
      <c r="E9376" t="inlineStr">
        <is>
          <t>SOLLEFTEÅ</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31917-2023</t>
        </is>
      </c>
      <c r="B9377" s="1" t="n">
        <v>45119</v>
      </c>
      <c r="C9377" s="1" t="n">
        <v>45657</v>
      </c>
      <c r="D9377" t="inlineStr">
        <is>
          <t>VÄSTERNORRLANDS LÄN</t>
        </is>
      </c>
      <c r="E9377" t="inlineStr">
        <is>
          <t>SOLLEFTEÅ</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31911-2023</t>
        </is>
      </c>
      <c r="B9378" s="1" t="n">
        <v>45118</v>
      </c>
      <c r="C9378" s="1" t="n">
        <v>45657</v>
      </c>
      <c r="D9378" t="inlineStr">
        <is>
          <t>VÄSTERNORRLANDS LÄN</t>
        </is>
      </c>
      <c r="E9378" t="inlineStr">
        <is>
          <t>SUNDSVALL</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31915-2023</t>
        </is>
      </c>
      <c r="B9379" s="1" t="n">
        <v>45119</v>
      </c>
      <c r="C9379" s="1" t="n">
        <v>45657</v>
      </c>
      <c r="D9379" t="inlineStr">
        <is>
          <t>VÄSTERNORRLANDS LÄN</t>
        </is>
      </c>
      <c r="E9379" t="inlineStr">
        <is>
          <t>SOLLEFTEÅ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31919-2023</t>
        </is>
      </c>
      <c r="B9380" s="1" t="n">
        <v>45118</v>
      </c>
      <c r="C9380" s="1" t="n">
        <v>45657</v>
      </c>
      <c r="D9380" t="inlineStr">
        <is>
          <t>VÄSTERNORRLANDS LÄN</t>
        </is>
      </c>
      <c r="E9380" t="inlineStr">
        <is>
          <t>SOLLEFTEÅ</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31923-2023</t>
        </is>
      </c>
      <c r="B9381" s="1" t="n">
        <v>45118</v>
      </c>
      <c r="C9381" s="1" t="n">
        <v>45657</v>
      </c>
      <c r="D9381" t="inlineStr">
        <is>
          <t>VÄSTERNORRLANDS LÄN</t>
        </is>
      </c>
      <c r="E9381" t="inlineStr">
        <is>
          <t>SOLLEFTEÅ</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31805-2023</t>
        </is>
      </c>
      <c r="B9382" s="1" t="n">
        <v>45118</v>
      </c>
      <c r="C9382" s="1" t="n">
        <v>45657</v>
      </c>
      <c r="D9382" t="inlineStr">
        <is>
          <t>VÄSTERNORRLANDS LÄN</t>
        </is>
      </c>
      <c r="E9382" t="inlineStr">
        <is>
          <t>ÖRNSKÖLDSVIK</t>
        </is>
      </c>
      <c r="F9382" t="inlineStr">
        <is>
          <t>Holmen skog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31914-2023</t>
        </is>
      </c>
      <c r="B9383" s="1" t="n">
        <v>45118</v>
      </c>
      <c r="C9383" s="1" t="n">
        <v>45657</v>
      </c>
      <c r="D9383" t="inlineStr">
        <is>
          <t>VÄSTERNORRLANDS LÄN</t>
        </is>
      </c>
      <c r="E9383" t="inlineStr">
        <is>
          <t>SOLLEFTEÅ</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31918-2023</t>
        </is>
      </c>
      <c r="B9384" s="1" t="n">
        <v>45118</v>
      </c>
      <c r="C9384" s="1" t="n">
        <v>45657</v>
      </c>
      <c r="D9384" t="inlineStr">
        <is>
          <t>VÄSTERNORRLANDS LÄN</t>
        </is>
      </c>
      <c r="E9384" t="inlineStr">
        <is>
          <t>SOLLEFTEÅ</t>
        </is>
      </c>
      <c r="F9384" t="inlineStr">
        <is>
          <t>SCA</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31922-2023</t>
        </is>
      </c>
      <c r="B9385" s="1" t="n">
        <v>45119</v>
      </c>
      <c r="C9385" s="1" t="n">
        <v>45657</v>
      </c>
      <c r="D9385" t="inlineStr">
        <is>
          <t>VÄSTERNORRLANDS LÄN</t>
        </is>
      </c>
      <c r="E9385" t="inlineStr">
        <is>
          <t>SOLLEFTEÅ</t>
        </is>
      </c>
      <c r="F9385" t="inlineStr">
        <is>
          <t>SCA</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31930-2023</t>
        </is>
      </c>
      <c r="B9386" s="1" t="n">
        <v>45118</v>
      </c>
      <c r="C9386" s="1" t="n">
        <v>45657</v>
      </c>
      <c r="D9386" t="inlineStr">
        <is>
          <t>VÄSTERNORRLANDS LÄN</t>
        </is>
      </c>
      <c r="E9386" t="inlineStr">
        <is>
          <t>ÖRNSKÖLDSVIK</t>
        </is>
      </c>
      <c r="F9386" t="inlineStr">
        <is>
          <t>SCA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31934-2023</t>
        </is>
      </c>
      <c r="B9387" s="1" t="n">
        <v>45119</v>
      </c>
      <c r="C9387" s="1" t="n">
        <v>45657</v>
      </c>
      <c r="D9387" t="inlineStr">
        <is>
          <t>VÄSTERNORRLANDS LÄN</t>
        </is>
      </c>
      <c r="E9387" t="inlineStr">
        <is>
          <t>ÖRNSKÖLDSVIK</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31916-2023</t>
        </is>
      </c>
      <c r="B9388" s="1" t="n">
        <v>45119</v>
      </c>
      <c r="C9388" s="1" t="n">
        <v>45657</v>
      </c>
      <c r="D9388" t="inlineStr">
        <is>
          <t>VÄSTERNORRLANDS LÄN</t>
        </is>
      </c>
      <c r="E9388" t="inlineStr">
        <is>
          <t>SOLLEFTEÅ</t>
        </is>
      </c>
      <c r="F9388" t="inlineStr">
        <is>
          <t>SCA</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31924-2023</t>
        </is>
      </c>
      <c r="B9389" s="1" t="n">
        <v>45118</v>
      </c>
      <c r="C9389" s="1" t="n">
        <v>45657</v>
      </c>
      <c r="D9389" t="inlineStr">
        <is>
          <t>VÄSTERNORRLANDS LÄN</t>
        </is>
      </c>
      <c r="E9389" t="inlineStr">
        <is>
          <t>SOLLEFTEÅ</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31928-2023</t>
        </is>
      </c>
      <c r="B9390" s="1" t="n">
        <v>45118</v>
      </c>
      <c r="C9390" s="1" t="n">
        <v>45657</v>
      </c>
      <c r="D9390" t="inlineStr">
        <is>
          <t>VÄSTERNORRLANDS LÄN</t>
        </is>
      </c>
      <c r="E9390" t="inlineStr">
        <is>
          <t>SUNDSVALL</t>
        </is>
      </c>
      <c r="F9390" t="inlineStr">
        <is>
          <t>SCA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31932-2023</t>
        </is>
      </c>
      <c r="B9391" s="1" t="n">
        <v>45119</v>
      </c>
      <c r="C9391" s="1" t="n">
        <v>45657</v>
      </c>
      <c r="D9391" t="inlineStr">
        <is>
          <t>VÄSTERNORRLANDS LÄN</t>
        </is>
      </c>
      <c r="E9391" t="inlineStr">
        <is>
          <t>ÖRNSKÖLDSVIK</t>
        </is>
      </c>
      <c r="F9391" t="inlineStr">
        <is>
          <t>SCA</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31921-2023</t>
        </is>
      </c>
      <c r="B9392" s="1" t="n">
        <v>45119</v>
      </c>
      <c r="C9392" s="1" t="n">
        <v>45657</v>
      </c>
      <c r="D9392" t="inlineStr">
        <is>
          <t>VÄSTERNORRLANDS LÄN</t>
        </is>
      </c>
      <c r="E9392" t="inlineStr">
        <is>
          <t>SOLLEFTEÅ</t>
        </is>
      </c>
      <c r="F9392" t="inlineStr">
        <is>
          <t>SCA</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31925-2023</t>
        </is>
      </c>
      <c r="B9393" s="1" t="n">
        <v>45118</v>
      </c>
      <c r="C9393" s="1" t="n">
        <v>45657</v>
      </c>
      <c r="D9393" t="inlineStr">
        <is>
          <t>VÄSTERNORRLANDS LÄN</t>
        </is>
      </c>
      <c r="E9393" t="inlineStr">
        <is>
          <t>SOLLEFTEÅ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31931-2023</t>
        </is>
      </c>
      <c r="B9394" s="1" t="n">
        <v>45119</v>
      </c>
      <c r="C9394" s="1" t="n">
        <v>45657</v>
      </c>
      <c r="D9394" t="inlineStr">
        <is>
          <t>VÄSTERNORRLANDS LÄN</t>
        </is>
      </c>
      <c r="E9394" t="inlineStr">
        <is>
          <t>ÖRNSKÖLDSVIK</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32030-2023</t>
        </is>
      </c>
      <c r="B9395" s="1" t="n">
        <v>45119</v>
      </c>
      <c r="C9395" s="1" t="n">
        <v>45657</v>
      </c>
      <c r="D9395" t="inlineStr">
        <is>
          <t>VÄSTERNORRLANDS LÄN</t>
        </is>
      </c>
      <c r="E9395" t="inlineStr">
        <is>
          <t>ÖRNSKÖLDSVIK</t>
        </is>
      </c>
      <c r="F9395" t="inlineStr">
        <is>
          <t>Holmen skog AB</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32202-2023</t>
        </is>
      </c>
      <c r="B9396" s="1" t="n">
        <v>45120</v>
      </c>
      <c r="C9396" s="1" t="n">
        <v>45657</v>
      </c>
      <c r="D9396" t="inlineStr">
        <is>
          <t>VÄSTERNORRLANDS LÄN</t>
        </is>
      </c>
      <c r="E9396" t="inlineStr">
        <is>
          <t>SUNDSVALL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32203-2023</t>
        </is>
      </c>
      <c r="B9397" s="1" t="n">
        <v>45120</v>
      </c>
      <c r="C9397" s="1" t="n">
        <v>45657</v>
      </c>
      <c r="D9397" t="inlineStr">
        <is>
          <t>VÄSTERNORRLANDS LÄN</t>
        </is>
      </c>
      <c r="E9397" t="inlineStr">
        <is>
          <t>SUNDSVALL</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32224-2023</t>
        </is>
      </c>
      <c r="B9398" s="1" t="n">
        <v>45119</v>
      </c>
      <c r="C9398" s="1" t="n">
        <v>45657</v>
      </c>
      <c r="D9398" t="inlineStr">
        <is>
          <t>VÄSTERNORRLANDS LÄN</t>
        </is>
      </c>
      <c r="E9398" t="inlineStr">
        <is>
          <t>TIMRÅ</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32233-2023</t>
        </is>
      </c>
      <c r="B9399" s="1" t="n">
        <v>45120</v>
      </c>
      <c r="C9399" s="1" t="n">
        <v>45657</v>
      </c>
      <c r="D9399" t="inlineStr">
        <is>
          <t>VÄSTERNORRLANDS LÄN</t>
        </is>
      </c>
      <c r="E9399" t="inlineStr">
        <is>
          <t>SUNDSVALL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32225-2023</t>
        </is>
      </c>
      <c r="B9400" s="1" t="n">
        <v>45119</v>
      </c>
      <c r="C9400" s="1" t="n">
        <v>45657</v>
      </c>
      <c r="D9400" t="inlineStr">
        <is>
          <t>VÄSTERNORRLANDS LÄN</t>
        </is>
      </c>
      <c r="E9400" t="inlineStr">
        <is>
          <t>TIMRÅ</t>
        </is>
      </c>
      <c r="F9400" t="inlineStr">
        <is>
          <t>SCA</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32185-2023</t>
        </is>
      </c>
      <c r="B9401" s="1" t="n">
        <v>45119</v>
      </c>
      <c r="C9401" s="1" t="n">
        <v>45657</v>
      </c>
      <c r="D9401" t="inlineStr">
        <is>
          <t>VÄSTERNORRLANDS LÄN</t>
        </is>
      </c>
      <c r="E9401" t="inlineStr">
        <is>
          <t>ÖRNSKÖLDSVIK</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32189-2023</t>
        </is>
      </c>
      <c r="B9402" s="1" t="n">
        <v>45119</v>
      </c>
      <c r="C9402" s="1" t="n">
        <v>45657</v>
      </c>
      <c r="D9402" t="inlineStr">
        <is>
          <t>VÄSTERNORRLANDS LÄN</t>
        </is>
      </c>
      <c r="E9402" t="inlineStr">
        <is>
          <t>ÖRNSKÖLDSVIK</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32201-2023</t>
        </is>
      </c>
      <c r="B9403" s="1" t="n">
        <v>45119</v>
      </c>
      <c r="C9403" s="1" t="n">
        <v>45657</v>
      </c>
      <c r="D9403" t="inlineStr">
        <is>
          <t>VÄSTERNORRLANDS LÄN</t>
        </is>
      </c>
      <c r="E9403" t="inlineStr">
        <is>
          <t>SUNDSVALL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32213-2023</t>
        </is>
      </c>
      <c r="B9404" s="1" t="n">
        <v>45120</v>
      </c>
      <c r="C9404" s="1" t="n">
        <v>45657</v>
      </c>
      <c r="D9404" t="inlineStr">
        <is>
          <t>VÄSTERNORRLANDS LÄN</t>
        </is>
      </c>
      <c r="E9404" t="inlineStr">
        <is>
          <t>ÖRNSKÖLDSVIK</t>
        </is>
      </c>
      <c r="F9404" t="inlineStr">
        <is>
          <t>SCA</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32223-2023</t>
        </is>
      </c>
      <c r="B9405" s="1" t="n">
        <v>45119</v>
      </c>
      <c r="C9405" s="1" t="n">
        <v>45657</v>
      </c>
      <c r="D9405" t="inlineStr">
        <is>
          <t>VÄSTERNORRLANDS LÄN</t>
        </is>
      </c>
      <c r="E9405" t="inlineStr">
        <is>
          <t>TIMRÅ</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32227-2023</t>
        </is>
      </c>
      <c r="B9406" s="1" t="n">
        <v>45120</v>
      </c>
      <c r="C9406" s="1" t="n">
        <v>45657</v>
      </c>
      <c r="D9406" t="inlineStr">
        <is>
          <t>VÄSTERNORRLANDS LÄN</t>
        </is>
      </c>
      <c r="E9406" t="inlineStr">
        <is>
          <t>ÅNGE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33642-2023</t>
        </is>
      </c>
      <c r="B9407" s="1" t="n">
        <v>45119</v>
      </c>
      <c r="C9407" s="1" t="n">
        <v>45657</v>
      </c>
      <c r="D9407" t="inlineStr">
        <is>
          <t>VÄSTERNORRLANDS LÄN</t>
        </is>
      </c>
      <c r="E9407" t="inlineStr">
        <is>
          <t>SOLLEFTEÅ</t>
        </is>
      </c>
      <c r="F9407" t="inlineStr">
        <is>
          <t>SCA</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32188-2023</t>
        </is>
      </c>
      <c r="B9408" s="1" t="n">
        <v>45119</v>
      </c>
      <c r="C9408" s="1" t="n">
        <v>45657</v>
      </c>
      <c r="D9408" t="inlineStr">
        <is>
          <t>VÄSTERNORRLANDS LÄN</t>
        </is>
      </c>
      <c r="E9408" t="inlineStr">
        <is>
          <t>ÖRNSKÖLDSVIK</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32204-2023</t>
        </is>
      </c>
      <c r="B9409" s="1" t="n">
        <v>45120</v>
      </c>
      <c r="C9409" s="1" t="n">
        <v>45657</v>
      </c>
      <c r="D9409" t="inlineStr">
        <is>
          <t>VÄSTERNORRLANDS LÄN</t>
        </is>
      </c>
      <c r="E9409" t="inlineStr">
        <is>
          <t>SUNDSVALL</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32222-2023</t>
        </is>
      </c>
      <c r="B9410" s="1" t="n">
        <v>45120</v>
      </c>
      <c r="C9410" s="1" t="n">
        <v>45657</v>
      </c>
      <c r="D9410" t="inlineStr">
        <is>
          <t>VÄSTERNORRLANDS LÄN</t>
        </is>
      </c>
      <c r="E9410" t="inlineStr">
        <is>
          <t>SUNDSVALL</t>
        </is>
      </c>
      <c r="F9410" t="inlineStr">
        <is>
          <t>SCA</t>
        </is>
      </c>
      <c r="G9410" t="n">
        <v>25.6</v>
      </c>
      <c r="H9410" t="n">
        <v>0</v>
      </c>
      <c r="I9410" t="n">
        <v>0</v>
      </c>
      <c r="J9410" t="n">
        <v>0</v>
      </c>
      <c r="K9410" t="n">
        <v>0</v>
      </c>
      <c r="L9410" t="n">
        <v>0</v>
      </c>
      <c r="M9410" t="n">
        <v>0</v>
      </c>
      <c r="N9410" t="n">
        <v>0</v>
      </c>
      <c r="O9410" t="n">
        <v>0</v>
      </c>
      <c r="P9410" t="n">
        <v>0</v>
      </c>
      <c r="Q9410" t="n">
        <v>0</v>
      </c>
      <c r="R9410" s="2" t="inlineStr"/>
    </row>
    <row r="9411" ht="15" customHeight="1">
      <c r="A9411" t="inlineStr">
        <is>
          <t>A 32226-2023</t>
        </is>
      </c>
      <c r="B9411" s="1" t="n">
        <v>45119</v>
      </c>
      <c r="C9411" s="1" t="n">
        <v>45657</v>
      </c>
      <c r="D9411" t="inlineStr">
        <is>
          <t>VÄSTERNORRLANDS LÄN</t>
        </is>
      </c>
      <c r="E9411" t="inlineStr">
        <is>
          <t>TIMRÅ</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32230-2023</t>
        </is>
      </c>
      <c r="B9412" s="1" t="n">
        <v>45120</v>
      </c>
      <c r="C9412" s="1" t="n">
        <v>45657</v>
      </c>
      <c r="D9412" t="inlineStr">
        <is>
          <t>VÄSTERNORRLANDS LÄN</t>
        </is>
      </c>
      <c r="E9412" t="inlineStr">
        <is>
          <t>TIMRÅ</t>
        </is>
      </c>
      <c r="F9412" t="inlineStr">
        <is>
          <t>SCA</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33667-2023</t>
        </is>
      </c>
      <c r="B9413" s="1" t="n">
        <v>45119</v>
      </c>
      <c r="C9413" s="1" t="n">
        <v>45657</v>
      </c>
      <c r="D9413" t="inlineStr">
        <is>
          <t>VÄSTERNORRLANDS LÄN</t>
        </is>
      </c>
      <c r="E9413" t="inlineStr">
        <is>
          <t>TIMRÅ</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32356-2023</t>
        </is>
      </c>
      <c r="B9414" s="1" t="n">
        <v>45120</v>
      </c>
      <c r="C9414" s="1" t="n">
        <v>45657</v>
      </c>
      <c r="D9414" t="inlineStr">
        <is>
          <t>VÄSTERNORRLANDS LÄN</t>
        </is>
      </c>
      <c r="E9414" t="inlineStr">
        <is>
          <t>ÖRNSKÖLDSVIK</t>
        </is>
      </c>
      <c r="F9414" t="inlineStr">
        <is>
          <t>Holmen skog AB</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32380-2023</t>
        </is>
      </c>
      <c r="B9415" s="1" t="n">
        <v>45120</v>
      </c>
      <c r="C9415" s="1" t="n">
        <v>45657</v>
      </c>
      <c r="D9415" t="inlineStr">
        <is>
          <t>VÄSTERNORRLANDS LÄN</t>
        </is>
      </c>
      <c r="E9415" t="inlineStr">
        <is>
          <t>SUNDSVALL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32466-2023</t>
        </is>
      </c>
      <c r="B9416" s="1" t="n">
        <v>45120</v>
      </c>
      <c r="C9416" s="1" t="n">
        <v>45657</v>
      </c>
      <c r="D9416" t="inlineStr">
        <is>
          <t>VÄSTERNORRLANDS LÄN</t>
        </is>
      </c>
      <c r="E9416" t="inlineStr">
        <is>
          <t>SOLLEFTEÅ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32465-2023</t>
        </is>
      </c>
      <c r="B9417" s="1" t="n">
        <v>45121</v>
      </c>
      <c r="C9417" s="1" t="n">
        <v>45657</v>
      </c>
      <c r="D9417" t="inlineStr">
        <is>
          <t>VÄSTERNORRLANDS LÄN</t>
        </is>
      </c>
      <c r="E9417" t="inlineStr">
        <is>
          <t>KRAMFORS</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32469-2023</t>
        </is>
      </c>
      <c r="B9418" s="1" t="n">
        <v>45121</v>
      </c>
      <c r="C9418" s="1" t="n">
        <v>45657</v>
      </c>
      <c r="D9418" t="inlineStr">
        <is>
          <t>VÄSTERNORRLANDS LÄN</t>
        </is>
      </c>
      <c r="E9418" t="inlineStr">
        <is>
          <t>SUNDSVALL</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33756-2023</t>
        </is>
      </c>
      <c r="B9419" s="1" t="n">
        <v>45120</v>
      </c>
      <c r="C9419" s="1" t="n">
        <v>45657</v>
      </c>
      <c r="D9419" t="inlineStr">
        <is>
          <t>VÄSTERNORRLANDS LÄN</t>
        </is>
      </c>
      <c r="E9419" t="inlineStr">
        <is>
          <t>TIMRÅ</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32468-2023</t>
        </is>
      </c>
      <c r="B9420" s="1" t="n">
        <v>45121</v>
      </c>
      <c r="C9420" s="1" t="n">
        <v>45657</v>
      </c>
      <c r="D9420" t="inlineStr">
        <is>
          <t>VÄSTERNORRLANDS LÄN</t>
        </is>
      </c>
      <c r="E9420" t="inlineStr">
        <is>
          <t>SUNDSVALL</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32587-2023</t>
        </is>
      </c>
      <c r="B9421" s="1" t="n">
        <v>45121</v>
      </c>
      <c r="C9421" s="1" t="n">
        <v>45657</v>
      </c>
      <c r="D9421" t="inlineStr">
        <is>
          <t>VÄSTERNORRLANDS LÄN</t>
        </is>
      </c>
      <c r="E9421" t="inlineStr">
        <is>
          <t>ÅNGE</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32726-2023</t>
        </is>
      </c>
      <c r="B9422" s="1" t="n">
        <v>45121</v>
      </c>
      <c r="C9422" s="1" t="n">
        <v>45657</v>
      </c>
      <c r="D9422" t="inlineStr">
        <is>
          <t>VÄSTERNORRLANDS LÄN</t>
        </is>
      </c>
      <c r="E9422" t="inlineStr">
        <is>
          <t>SOLLEFTEÅ</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32728-2023</t>
        </is>
      </c>
      <c r="B9423" s="1" t="n">
        <v>45121</v>
      </c>
      <c r="C9423" s="1" t="n">
        <v>45657</v>
      </c>
      <c r="D9423" t="inlineStr">
        <is>
          <t>VÄSTERNORRLANDS LÄN</t>
        </is>
      </c>
      <c r="E9423" t="inlineStr">
        <is>
          <t>SOLLEFTEÅ</t>
        </is>
      </c>
      <c r="F9423" t="inlineStr">
        <is>
          <t>SCA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32733-2023</t>
        </is>
      </c>
      <c r="B9424" s="1" t="n">
        <v>45121</v>
      </c>
      <c r="C9424" s="1" t="n">
        <v>45657</v>
      </c>
      <c r="D9424" t="inlineStr">
        <is>
          <t>VÄSTERNORRLANDS LÄN</t>
        </is>
      </c>
      <c r="E9424" t="inlineStr">
        <is>
          <t>SOLLEFTEÅ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32727-2023</t>
        </is>
      </c>
      <c r="B9425" s="1" t="n">
        <v>45121</v>
      </c>
      <c r="C9425" s="1" t="n">
        <v>45657</v>
      </c>
      <c r="D9425" t="inlineStr">
        <is>
          <t>VÄSTERNORRLANDS LÄN</t>
        </is>
      </c>
      <c r="E9425" t="inlineStr">
        <is>
          <t>SOLLEFTEÅ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32735-2023</t>
        </is>
      </c>
      <c r="B9426" s="1" t="n">
        <v>45121</v>
      </c>
      <c r="C9426" s="1" t="n">
        <v>45657</v>
      </c>
      <c r="D9426" t="inlineStr">
        <is>
          <t>VÄSTERNORRLANDS LÄN</t>
        </is>
      </c>
      <c r="E9426" t="inlineStr">
        <is>
          <t>SOLLEFTEÅ</t>
        </is>
      </c>
      <c r="F9426" t="inlineStr">
        <is>
          <t>SCA</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33920-2023</t>
        </is>
      </c>
      <c r="B9427" s="1" t="n">
        <v>45122</v>
      </c>
      <c r="C9427" s="1" t="n">
        <v>45657</v>
      </c>
      <c r="D9427" t="inlineStr">
        <is>
          <t>VÄSTERNORRLANDS LÄN</t>
        </is>
      </c>
      <c r="E9427" t="inlineStr">
        <is>
          <t>ÖRNSKÖLDSVIK</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33901-2023</t>
        </is>
      </c>
      <c r="B9428" s="1" t="n">
        <v>45122</v>
      </c>
      <c r="C9428" s="1" t="n">
        <v>45657</v>
      </c>
      <c r="D9428" t="inlineStr">
        <is>
          <t>VÄSTERNORRLANDS LÄN</t>
        </is>
      </c>
      <c r="E9428" t="inlineStr">
        <is>
          <t>ÖRNSKÖLDSVIK</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33924-2023</t>
        </is>
      </c>
      <c r="B9429" s="1" t="n">
        <v>45122</v>
      </c>
      <c r="C9429" s="1" t="n">
        <v>45657</v>
      </c>
      <c r="D9429" t="inlineStr">
        <is>
          <t>VÄSTERNORRLANDS LÄN</t>
        </is>
      </c>
      <c r="E9429" t="inlineStr">
        <is>
          <t>ÖRNSKÖLDSVIK</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32751-2023</t>
        </is>
      </c>
      <c r="B9430" s="1" t="n">
        <v>45122</v>
      </c>
      <c r="C9430" s="1" t="n">
        <v>45657</v>
      </c>
      <c r="D9430" t="inlineStr">
        <is>
          <t>VÄSTERNORRLANDS LÄN</t>
        </is>
      </c>
      <c r="E9430" t="inlineStr">
        <is>
          <t>ÖRNSKÖLDSVIK</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33922-2023</t>
        </is>
      </c>
      <c r="B9431" s="1" t="n">
        <v>45122</v>
      </c>
      <c r="C9431" s="1" t="n">
        <v>45657</v>
      </c>
      <c r="D9431" t="inlineStr">
        <is>
          <t>VÄSTERNORRLANDS LÄN</t>
        </is>
      </c>
      <c r="E9431" t="inlineStr">
        <is>
          <t>ÖRNSKÖLDSVIK</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32780-2023</t>
        </is>
      </c>
      <c r="B9432" s="1" t="n">
        <v>45123</v>
      </c>
      <c r="C9432" s="1" t="n">
        <v>45657</v>
      </c>
      <c r="D9432" t="inlineStr">
        <is>
          <t>VÄSTERNORRLANDS LÄN</t>
        </is>
      </c>
      <c r="E9432" t="inlineStr">
        <is>
          <t>SOLLEFTEÅ</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32844-2023</t>
        </is>
      </c>
      <c r="B9433" s="1" t="n">
        <v>45124</v>
      </c>
      <c r="C9433" s="1" t="n">
        <v>45657</v>
      </c>
      <c r="D9433" t="inlineStr">
        <is>
          <t>VÄSTERNORRLANDS LÄN</t>
        </is>
      </c>
      <c r="E9433" t="inlineStr">
        <is>
          <t>ÖRNSKÖLDSVIK</t>
        </is>
      </c>
      <c r="F9433" t="inlineStr">
        <is>
          <t>Holmen skog AB</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32791-2023</t>
        </is>
      </c>
      <c r="B9434" s="1" t="n">
        <v>45124</v>
      </c>
      <c r="C9434" s="1" t="n">
        <v>45657</v>
      </c>
      <c r="D9434" t="inlineStr">
        <is>
          <t>VÄSTERNORRLANDS LÄN</t>
        </is>
      </c>
      <c r="E9434" t="inlineStr">
        <is>
          <t>KRAMFORS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32903-2023</t>
        </is>
      </c>
      <c r="B9435" s="1" t="n">
        <v>45125</v>
      </c>
      <c r="C9435" s="1" t="n">
        <v>45657</v>
      </c>
      <c r="D9435" t="inlineStr">
        <is>
          <t>VÄSTERNORRLANDS LÄN</t>
        </is>
      </c>
      <c r="E9435" t="inlineStr">
        <is>
          <t>SUNDSVALL</t>
        </is>
      </c>
      <c r="F9435" t="inlineStr">
        <is>
          <t>SCA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32790-2023</t>
        </is>
      </c>
      <c r="B9436" s="1" t="n">
        <v>45124</v>
      </c>
      <c r="C9436" s="1" t="n">
        <v>45657</v>
      </c>
      <c r="D9436" t="inlineStr">
        <is>
          <t>VÄSTERNORRLANDS LÄN</t>
        </is>
      </c>
      <c r="E9436" t="inlineStr">
        <is>
          <t>SUNDSVALL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32799-2023</t>
        </is>
      </c>
      <c r="B9437" s="1" t="n">
        <v>45124</v>
      </c>
      <c r="C9437" s="1" t="n">
        <v>45657</v>
      </c>
      <c r="D9437" t="inlineStr">
        <is>
          <t>VÄSTERNORRLANDS LÄN</t>
        </is>
      </c>
      <c r="E9437" t="inlineStr">
        <is>
          <t>KRAMFORS</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34016-2023</t>
        </is>
      </c>
      <c r="B9438" s="1" t="n">
        <v>45124</v>
      </c>
      <c r="C9438" s="1" t="n">
        <v>45657</v>
      </c>
      <c r="D9438" t="inlineStr">
        <is>
          <t>VÄSTERNORRLANDS LÄN</t>
        </is>
      </c>
      <c r="E9438" t="inlineStr">
        <is>
          <t>ÖRNSKÖLDSVIK</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34028-2023</t>
        </is>
      </c>
      <c r="B9439" s="1" t="n">
        <v>45124</v>
      </c>
      <c r="C9439" s="1" t="n">
        <v>45657</v>
      </c>
      <c r="D9439" t="inlineStr">
        <is>
          <t>VÄSTERNORRLANDS LÄN</t>
        </is>
      </c>
      <c r="E9439" t="inlineStr">
        <is>
          <t>ÖRNSKÖLDSVIK</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32904-2023</t>
        </is>
      </c>
      <c r="B9440" s="1" t="n">
        <v>45125</v>
      </c>
      <c r="C9440" s="1" t="n">
        <v>45657</v>
      </c>
      <c r="D9440" t="inlineStr">
        <is>
          <t>VÄSTERNORRLANDS LÄN</t>
        </is>
      </c>
      <c r="E9440" t="inlineStr">
        <is>
          <t>SUNDSVALL</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34017-2023</t>
        </is>
      </c>
      <c r="B9441" s="1" t="n">
        <v>45124</v>
      </c>
      <c r="C9441" s="1" t="n">
        <v>45657</v>
      </c>
      <c r="D9441" t="inlineStr">
        <is>
          <t>VÄSTERNORRLANDS LÄN</t>
        </is>
      </c>
      <c r="E9441" t="inlineStr">
        <is>
          <t>ÖRNSKÖLDSVIK</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34030-2023</t>
        </is>
      </c>
      <c r="B9442" s="1" t="n">
        <v>45124</v>
      </c>
      <c r="C9442" s="1" t="n">
        <v>45657</v>
      </c>
      <c r="D9442" t="inlineStr">
        <is>
          <t>VÄSTERNORRLANDS LÄN</t>
        </is>
      </c>
      <c r="E9442" t="inlineStr">
        <is>
          <t>ÖRNSKÖLDSVIK</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32901-2023</t>
        </is>
      </c>
      <c r="B9443" s="1" t="n">
        <v>45125</v>
      </c>
      <c r="C9443" s="1" t="n">
        <v>45657</v>
      </c>
      <c r="D9443" t="inlineStr">
        <is>
          <t>VÄSTERNORRLANDS LÄN</t>
        </is>
      </c>
      <c r="E9443" t="inlineStr">
        <is>
          <t>ÅNGE</t>
        </is>
      </c>
      <c r="F9443" t="inlineStr">
        <is>
          <t>SCA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32905-2023</t>
        </is>
      </c>
      <c r="B9444" s="1" t="n">
        <v>45125</v>
      </c>
      <c r="C9444" s="1" t="n">
        <v>45657</v>
      </c>
      <c r="D9444" t="inlineStr">
        <is>
          <t>VÄSTERNORRLANDS LÄN</t>
        </is>
      </c>
      <c r="E9444" t="inlineStr">
        <is>
          <t>SUNDSVALL</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33964-2023</t>
        </is>
      </c>
      <c r="B9445" s="1" t="n">
        <v>45124</v>
      </c>
      <c r="C9445" s="1" t="n">
        <v>45657</v>
      </c>
      <c r="D9445" t="inlineStr">
        <is>
          <t>VÄSTERNORRLANDS LÄN</t>
        </is>
      </c>
      <c r="E9445" t="inlineStr">
        <is>
          <t>SOLLEFTEÅ</t>
        </is>
      </c>
      <c r="F9445" t="inlineStr">
        <is>
          <t>SCA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34015-2023</t>
        </is>
      </c>
      <c r="B9446" s="1" t="n">
        <v>45124</v>
      </c>
      <c r="C9446" s="1" t="n">
        <v>45657</v>
      </c>
      <c r="D9446" t="inlineStr">
        <is>
          <t>VÄSTERNORRLANDS LÄN</t>
        </is>
      </c>
      <c r="E9446" t="inlineStr">
        <is>
          <t>ÖRNSKÖLDSVIK</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34026-2023</t>
        </is>
      </c>
      <c r="B9447" s="1" t="n">
        <v>45124</v>
      </c>
      <c r="C9447" s="1" t="n">
        <v>45657</v>
      </c>
      <c r="D9447" t="inlineStr">
        <is>
          <t>VÄSTERNORRLANDS LÄN</t>
        </is>
      </c>
      <c r="E9447" t="inlineStr">
        <is>
          <t>ÖRNSKÖLDSVIK</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34014-2023</t>
        </is>
      </c>
      <c r="B9448" s="1" t="n">
        <v>45124</v>
      </c>
      <c r="C9448" s="1" t="n">
        <v>45657</v>
      </c>
      <c r="D9448" t="inlineStr">
        <is>
          <t>VÄSTERNORRLANDS LÄN</t>
        </is>
      </c>
      <c r="E9448" t="inlineStr">
        <is>
          <t>ÖRNSKÖLDSVIK</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34023-2023</t>
        </is>
      </c>
      <c r="B9449" s="1" t="n">
        <v>45124</v>
      </c>
      <c r="C9449" s="1" t="n">
        <v>45657</v>
      </c>
      <c r="D9449" t="inlineStr">
        <is>
          <t>VÄSTERNORRLANDS LÄN</t>
        </is>
      </c>
      <c r="E9449" t="inlineStr">
        <is>
          <t>ÖRNSKÖLDSVIK</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34031-2023</t>
        </is>
      </c>
      <c r="B9450" s="1" t="n">
        <v>45124</v>
      </c>
      <c r="C9450" s="1" t="n">
        <v>45657</v>
      </c>
      <c r="D9450" t="inlineStr">
        <is>
          <t>VÄSTERNORRLANDS LÄN</t>
        </is>
      </c>
      <c r="E9450" t="inlineStr">
        <is>
          <t>ÖRNSKÖLDSVIK</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32976-2023</t>
        </is>
      </c>
      <c r="B9451" s="1" t="n">
        <v>45125</v>
      </c>
      <c r="C9451" s="1" t="n">
        <v>45657</v>
      </c>
      <c r="D9451" t="inlineStr">
        <is>
          <t>VÄSTERNORRLANDS LÄN</t>
        </is>
      </c>
      <c r="E9451" t="inlineStr">
        <is>
          <t>ÖRNSKÖLDSVIK</t>
        </is>
      </c>
      <c r="F9451" t="inlineStr">
        <is>
          <t>Holmen skog AB</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33043-2023</t>
        </is>
      </c>
      <c r="B9452" s="1" t="n">
        <v>45125</v>
      </c>
      <c r="C9452" s="1" t="n">
        <v>45657</v>
      </c>
      <c r="D9452" t="inlineStr">
        <is>
          <t>VÄSTERNORRLANDS LÄN</t>
        </is>
      </c>
      <c r="E9452" t="inlineStr">
        <is>
          <t>TIMRÅ</t>
        </is>
      </c>
      <c r="F9452" t="inlineStr">
        <is>
          <t>SCA</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33040-2023</t>
        </is>
      </c>
      <c r="B9453" s="1" t="n">
        <v>45126</v>
      </c>
      <c r="C9453" s="1" t="n">
        <v>45657</v>
      </c>
      <c r="D9453" t="inlineStr">
        <is>
          <t>VÄSTERNORRLANDS LÄN</t>
        </is>
      </c>
      <c r="E9453" t="inlineStr">
        <is>
          <t>SUNDSVALL</t>
        </is>
      </c>
      <c r="F9453" t="inlineStr">
        <is>
          <t>SCA</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33044-2023</t>
        </is>
      </c>
      <c r="B9454" s="1" t="n">
        <v>45125</v>
      </c>
      <c r="C9454" s="1" t="n">
        <v>45657</v>
      </c>
      <c r="D9454" t="inlineStr">
        <is>
          <t>VÄSTERNORRLANDS LÄN</t>
        </is>
      </c>
      <c r="E9454" t="inlineStr">
        <is>
          <t>SUNDSVALL</t>
        </is>
      </c>
      <c r="F9454" t="inlineStr">
        <is>
          <t>SCA</t>
        </is>
      </c>
      <c r="G9454" t="n">
        <v>7.3</v>
      </c>
      <c r="H9454" t="n">
        <v>0</v>
      </c>
      <c r="I9454" t="n">
        <v>0</v>
      </c>
      <c r="J9454" t="n">
        <v>0</v>
      </c>
      <c r="K9454" t="n">
        <v>0</v>
      </c>
      <c r="L9454" t="n">
        <v>0</v>
      </c>
      <c r="M9454" t="n">
        <v>0</v>
      </c>
      <c r="N9454" t="n">
        <v>0</v>
      </c>
      <c r="O9454" t="n">
        <v>0</v>
      </c>
      <c r="P9454" t="n">
        <v>0</v>
      </c>
      <c r="Q9454" t="n">
        <v>0</v>
      </c>
      <c r="R9454" s="2" t="inlineStr"/>
    </row>
    <row r="9455" ht="15" customHeight="1">
      <c r="A9455" t="inlineStr">
        <is>
          <t>A 33037-2023</t>
        </is>
      </c>
      <c r="B9455" s="1" t="n">
        <v>45126</v>
      </c>
      <c r="C9455" s="1" t="n">
        <v>45657</v>
      </c>
      <c r="D9455" t="inlineStr">
        <is>
          <t>VÄSTERNORRLANDS LÄN</t>
        </is>
      </c>
      <c r="E9455" t="inlineStr">
        <is>
          <t>SOLLEFTEÅ</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33041-2023</t>
        </is>
      </c>
      <c r="B9456" s="1" t="n">
        <v>45125</v>
      </c>
      <c r="C9456" s="1" t="n">
        <v>45657</v>
      </c>
      <c r="D9456" t="inlineStr">
        <is>
          <t>VÄSTERNORRLANDS LÄN</t>
        </is>
      </c>
      <c r="E9456" t="inlineStr">
        <is>
          <t>SUNDSVALL</t>
        </is>
      </c>
      <c r="F9456" t="inlineStr">
        <is>
          <t>SCA</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34100-2023</t>
        </is>
      </c>
      <c r="B9457" s="1" t="n">
        <v>45125</v>
      </c>
      <c r="C9457" s="1" t="n">
        <v>45657</v>
      </c>
      <c r="D9457" t="inlineStr">
        <is>
          <t>VÄSTERNORRLANDS LÄN</t>
        </is>
      </c>
      <c r="E9457" t="inlineStr">
        <is>
          <t>SOLLEFTEÅ</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33115-2023</t>
        </is>
      </c>
      <c r="B9458" s="1" t="n">
        <v>45126</v>
      </c>
      <c r="C9458" s="1" t="n">
        <v>45657</v>
      </c>
      <c r="D9458" t="inlineStr">
        <is>
          <t>VÄSTERNORRLANDS LÄN</t>
        </is>
      </c>
      <c r="E9458" t="inlineStr">
        <is>
          <t>HÄRNÖSAND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33169-2023</t>
        </is>
      </c>
      <c r="B9459" s="1" t="n">
        <v>45127</v>
      </c>
      <c r="C9459" s="1" t="n">
        <v>45657</v>
      </c>
      <c r="D9459" t="inlineStr">
        <is>
          <t>VÄSTERNORRLANDS LÄN</t>
        </is>
      </c>
      <c r="E9459" t="inlineStr">
        <is>
          <t>ÖRNSKÖLDSVIK</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33175-2023</t>
        </is>
      </c>
      <c r="B9460" s="1" t="n">
        <v>45126</v>
      </c>
      <c r="C9460" s="1" t="n">
        <v>45657</v>
      </c>
      <c r="D9460" t="inlineStr">
        <is>
          <t>VÄSTERNORRLANDS LÄN</t>
        </is>
      </c>
      <c r="E9460" t="inlineStr">
        <is>
          <t>SOLLEFTEÅ</t>
        </is>
      </c>
      <c r="F9460" t="inlineStr">
        <is>
          <t>SCA</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34172-2023</t>
        </is>
      </c>
      <c r="B9461" s="1" t="n">
        <v>45126</v>
      </c>
      <c r="C9461" s="1" t="n">
        <v>45657</v>
      </c>
      <c r="D9461" t="inlineStr">
        <is>
          <t>VÄSTERNORRLANDS LÄN</t>
        </is>
      </c>
      <c r="E9461" t="inlineStr">
        <is>
          <t>TIMRÅ</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34224-2023</t>
        </is>
      </c>
      <c r="B9462" s="1" t="n">
        <v>45126</v>
      </c>
      <c r="C9462" s="1" t="n">
        <v>45657</v>
      </c>
      <c r="D9462" t="inlineStr">
        <is>
          <t>VÄSTERNORRLANDS LÄN</t>
        </is>
      </c>
      <c r="E9462" t="inlineStr">
        <is>
          <t>HÄRNÖSAND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34185-2023</t>
        </is>
      </c>
      <c r="B9463" s="1" t="n">
        <v>45126</v>
      </c>
      <c r="C9463" s="1" t="n">
        <v>45657</v>
      </c>
      <c r="D9463" t="inlineStr">
        <is>
          <t>VÄSTERNORRLANDS LÄN</t>
        </is>
      </c>
      <c r="E9463" t="inlineStr">
        <is>
          <t>HÄRNÖSAND</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34226-2023</t>
        </is>
      </c>
      <c r="B9464" s="1" t="n">
        <v>45126</v>
      </c>
      <c r="C9464" s="1" t="n">
        <v>45657</v>
      </c>
      <c r="D9464" t="inlineStr">
        <is>
          <t>VÄSTERNORRLANDS LÄN</t>
        </is>
      </c>
      <c r="E9464" t="inlineStr">
        <is>
          <t>HÄRNÖSAND</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34180-2023</t>
        </is>
      </c>
      <c r="B9465" s="1" t="n">
        <v>45126</v>
      </c>
      <c r="C9465" s="1" t="n">
        <v>45657</v>
      </c>
      <c r="D9465" t="inlineStr">
        <is>
          <t>VÄSTERNORRLANDS LÄN</t>
        </is>
      </c>
      <c r="E9465" t="inlineStr">
        <is>
          <t>HÄRNÖSAND</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33285-2023</t>
        </is>
      </c>
      <c r="B9466" s="1" t="n">
        <v>45127</v>
      </c>
      <c r="C9466" s="1" t="n">
        <v>45657</v>
      </c>
      <c r="D9466" t="inlineStr">
        <is>
          <t>VÄSTERNORRLANDS LÄN</t>
        </is>
      </c>
      <c r="E9466" t="inlineStr">
        <is>
          <t>ÖRNSKÖLDSVIK</t>
        </is>
      </c>
      <c r="F9466" t="inlineStr">
        <is>
          <t>Holmen skog AB</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33288-2023</t>
        </is>
      </c>
      <c r="B9467" s="1" t="n">
        <v>45127</v>
      </c>
      <c r="C9467" s="1" t="n">
        <v>45657</v>
      </c>
      <c r="D9467" t="inlineStr">
        <is>
          <t>VÄSTERNORRLANDS LÄN</t>
        </is>
      </c>
      <c r="E9467" t="inlineStr">
        <is>
          <t>ÖRNSKÖLDSVIK</t>
        </is>
      </c>
      <c r="F9467" t="inlineStr">
        <is>
          <t>Holmen skog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33328-2023</t>
        </is>
      </c>
      <c r="B9468" s="1" t="n">
        <v>45127</v>
      </c>
      <c r="C9468" s="1" t="n">
        <v>45657</v>
      </c>
      <c r="D9468" t="inlineStr">
        <is>
          <t>VÄSTERNORRLANDS LÄN</t>
        </is>
      </c>
      <c r="E9468" t="inlineStr">
        <is>
          <t>SOLLEFTEÅ</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33286-2023</t>
        </is>
      </c>
      <c r="B9469" s="1" t="n">
        <v>45127</v>
      </c>
      <c r="C9469" s="1" t="n">
        <v>45657</v>
      </c>
      <c r="D9469" t="inlineStr">
        <is>
          <t>VÄSTERNORRLANDS LÄN</t>
        </is>
      </c>
      <c r="E9469" t="inlineStr">
        <is>
          <t>KRAMFORS</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33327-2023</t>
        </is>
      </c>
      <c r="B9470" s="1" t="n">
        <v>45128</v>
      </c>
      <c r="C9470" s="1" t="n">
        <v>45657</v>
      </c>
      <c r="D9470" t="inlineStr">
        <is>
          <t>VÄSTERNORRLANDS LÄN</t>
        </is>
      </c>
      <c r="E9470" t="inlineStr">
        <is>
          <t>SUNDSVALL</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33321-2023</t>
        </is>
      </c>
      <c r="B9471" s="1" t="n">
        <v>45127</v>
      </c>
      <c r="C9471" s="1" t="n">
        <v>45657</v>
      </c>
      <c r="D9471" t="inlineStr">
        <is>
          <t>VÄSTERNORRLANDS LÄN</t>
        </is>
      </c>
      <c r="E9471" t="inlineStr">
        <is>
          <t>KRAMFORS</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33430-2023</t>
        </is>
      </c>
      <c r="B9472" s="1" t="n">
        <v>45129</v>
      </c>
      <c r="C9472" s="1" t="n">
        <v>45657</v>
      </c>
      <c r="D9472" t="inlineStr">
        <is>
          <t>VÄSTERNORRLANDS LÄN</t>
        </is>
      </c>
      <c r="E9472" t="inlineStr">
        <is>
          <t>SUNDSVALL</t>
        </is>
      </c>
      <c r="F9472" t="inlineStr">
        <is>
          <t>SCA</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33363-2023</t>
        </is>
      </c>
      <c r="B9473" s="1" t="n">
        <v>45128</v>
      </c>
      <c r="C9473" s="1" t="n">
        <v>45657</v>
      </c>
      <c r="D9473" t="inlineStr">
        <is>
          <t>VÄSTERNORRLANDS LÄN</t>
        </is>
      </c>
      <c r="E9473" t="inlineStr">
        <is>
          <t>ÖRNSKÖLDSVIK</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33431-2023</t>
        </is>
      </c>
      <c r="B9474" s="1" t="n">
        <v>45128</v>
      </c>
      <c r="C9474" s="1" t="n">
        <v>45657</v>
      </c>
      <c r="D9474" t="inlineStr">
        <is>
          <t>VÄSTERNORRLANDS LÄN</t>
        </is>
      </c>
      <c r="E9474" t="inlineStr">
        <is>
          <t>SUNDSVALL</t>
        </is>
      </c>
      <c r="F9474" t="inlineStr">
        <is>
          <t>SCA</t>
        </is>
      </c>
      <c r="G9474" t="n">
        <v>20.9</v>
      </c>
      <c r="H9474" t="n">
        <v>0</v>
      </c>
      <c r="I9474" t="n">
        <v>0</v>
      </c>
      <c r="J9474" t="n">
        <v>0</v>
      </c>
      <c r="K9474" t="n">
        <v>0</v>
      </c>
      <c r="L9474" t="n">
        <v>0</v>
      </c>
      <c r="M9474" t="n">
        <v>0</v>
      </c>
      <c r="N9474" t="n">
        <v>0</v>
      </c>
      <c r="O9474" t="n">
        <v>0</v>
      </c>
      <c r="P9474" t="n">
        <v>0</v>
      </c>
      <c r="Q9474" t="n">
        <v>0</v>
      </c>
      <c r="R9474" s="2" t="inlineStr"/>
    </row>
    <row r="9475" ht="15" customHeight="1">
      <c r="A9475" t="inlineStr">
        <is>
          <t>A 33429-2023</t>
        </is>
      </c>
      <c r="B9475" s="1" t="n">
        <v>45129</v>
      </c>
      <c r="C9475" s="1" t="n">
        <v>45657</v>
      </c>
      <c r="D9475" t="inlineStr">
        <is>
          <t>VÄSTERNORRLANDS LÄN</t>
        </is>
      </c>
      <c r="E9475" t="inlineStr">
        <is>
          <t>ÅNGE</t>
        </is>
      </c>
      <c r="F9475" t="inlineStr">
        <is>
          <t>SCA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34284-2023</t>
        </is>
      </c>
      <c r="B9476" s="1" t="n">
        <v>45128</v>
      </c>
      <c r="C9476" s="1" t="n">
        <v>45657</v>
      </c>
      <c r="D9476" t="inlineStr">
        <is>
          <t>VÄSTERNORRLANDS LÄN</t>
        </is>
      </c>
      <c r="E9476" t="inlineStr">
        <is>
          <t>SOLLEFTEÅ</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33428-2023</t>
        </is>
      </c>
      <c r="B9477" s="1" t="n">
        <v>45129</v>
      </c>
      <c r="C9477" s="1" t="n">
        <v>45657</v>
      </c>
      <c r="D9477" t="inlineStr">
        <is>
          <t>VÄSTERNORRLANDS LÄN</t>
        </is>
      </c>
      <c r="E9477" t="inlineStr">
        <is>
          <t>ÅNGE</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33444-2023</t>
        </is>
      </c>
      <c r="B9478" s="1" t="n">
        <v>45129</v>
      </c>
      <c r="C9478" s="1" t="n">
        <v>45657</v>
      </c>
      <c r="D9478" t="inlineStr">
        <is>
          <t>VÄSTERNORRLANDS LÄN</t>
        </is>
      </c>
      <c r="E9478" t="inlineStr">
        <is>
          <t>SUNDSVALL</t>
        </is>
      </c>
      <c r="F9478" t="inlineStr">
        <is>
          <t>SCA</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33479-2023</t>
        </is>
      </c>
      <c r="B9479" s="1" t="n">
        <v>45131</v>
      </c>
      <c r="C9479" s="1" t="n">
        <v>45657</v>
      </c>
      <c r="D9479" t="inlineStr">
        <is>
          <t>VÄSTERNORRLANDS LÄN</t>
        </is>
      </c>
      <c r="E9479" t="inlineStr">
        <is>
          <t>ÖRNSKÖLDSVIK</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33547-2023</t>
        </is>
      </c>
      <c r="B9480" s="1" t="n">
        <v>45131</v>
      </c>
      <c r="C9480" s="1" t="n">
        <v>45657</v>
      </c>
      <c r="D9480" t="inlineStr">
        <is>
          <t>VÄSTERNORRLANDS LÄN</t>
        </is>
      </c>
      <c r="E9480" t="inlineStr">
        <is>
          <t>ÖRNSKÖLDSVIK</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33586-2023</t>
        </is>
      </c>
      <c r="B9481" s="1" t="n">
        <v>45132</v>
      </c>
      <c r="C9481" s="1" t="n">
        <v>45657</v>
      </c>
      <c r="D9481" t="inlineStr">
        <is>
          <t>VÄSTERNORRLANDS LÄN</t>
        </is>
      </c>
      <c r="E9481" t="inlineStr">
        <is>
          <t>ÅNGE</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33587-2023</t>
        </is>
      </c>
      <c r="B9482" s="1" t="n">
        <v>45132</v>
      </c>
      <c r="C9482" s="1" t="n">
        <v>45657</v>
      </c>
      <c r="D9482" t="inlineStr">
        <is>
          <t>VÄSTERNORRLANDS LÄN</t>
        </is>
      </c>
      <c r="E9482" t="inlineStr">
        <is>
          <t>ÅNGE</t>
        </is>
      </c>
      <c r="F9482" t="inlineStr">
        <is>
          <t>SCA</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33591-2023</t>
        </is>
      </c>
      <c r="B9483" s="1" t="n">
        <v>45131</v>
      </c>
      <c r="C9483" s="1" t="n">
        <v>45657</v>
      </c>
      <c r="D9483" t="inlineStr">
        <is>
          <t>VÄSTERNORRLANDS LÄN</t>
        </is>
      </c>
      <c r="E9483" t="inlineStr">
        <is>
          <t>SOLLEFTEÅ</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34355-2023</t>
        </is>
      </c>
      <c r="B9484" s="1" t="n">
        <v>45131</v>
      </c>
      <c r="C9484" s="1" t="n">
        <v>45657</v>
      </c>
      <c r="D9484" t="inlineStr">
        <is>
          <t>VÄSTERNORRLANDS LÄN</t>
        </is>
      </c>
      <c r="E9484" t="inlineStr">
        <is>
          <t>ÅNGE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33662-2023</t>
        </is>
      </c>
      <c r="B9485" s="1" t="n">
        <v>45132</v>
      </c>
      <c r="C9485" s="1" t="n">
        <v>45657</v>
      </c>
      <c r="D9485" t="inlineStr">
        <is>
          <t>VÄSTERNORRLANDS LÄN</t>
        </is>
      </c>
      <c r="E9485" t="inlineStr">
        <is>
          <t>ÖRNSKÖLDSVIK</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33714-2023</t>
        </is>
      </c>
      <c r="B9486" s="1" t="n">
        <v>45132</v>
      </c>
      <c r="C9486" s="1" t="n">
        <v>45657</v>
      </c>
      <c r="D9486" t="inlineStr">
        <is>
          <t>VÄSTERNORRLANDS LÄN</t>
        </is>
      </c>
      <c r="E9486" t="inlineStr">
        <is>
          <t>SUNDSVALL</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33716-2023</t>
        </is>
      </c>
      <c r="B9487" s="1" t="n">
        <v>45133</v>
      </c>
      <c r="C9487" s="1" t="n">
        <v>45657</v>
      </c>
      <c r="D9487" t="inlineStr">
        <is>
          <t>VÄSTERNORRLANDS LÄN</t>
        </is>
      </c>
      <c r="E9487" t="inlineStr">
        <is>
          <t>SUNDSVALL</t>
        </is>
      </c>
      <c r="F9487" t="inlineStr">
        <is>
          <t>SCA</t>
        </is>
      </c>
      <c r="G9487" t="n">
        <v>17.4</v>
      </c>
      <c r="H9487" t="n">
        <v>0</v>
      </c>
      <c r="I9487" t="n">
        <v>0</v>
      </c>
      <c r="J9487" t="n">
        <v>0</v>
      </c>
      <c r="K9487" t="n">
        <v>0</v>
      </c>
      <c r="L9487" t="n">
        <v>0</v>
      </c>
      <c r="M9487" t="n">
        <v>0</v>
      </c>
      <c r="N9487" t="n">
        <v>0</v>
      </c>
      <c r="O9487" t="n">
        <v>0</v>
      </c>
      <c r="P9487" t="n">
        <v>0</v>
      </c>
      <c r="Q9487" t="n">
        <v>0</v>
      </c>
      <c r="R9487" s="2" t="inlineStr"/>
    </row>
    <row r="9488" ht="15" customHeight="1">
      <c r="A9488" t="inlineStr">
        <is>
          <t>A 33709-2023</t>
        </is>
      </c>
      <c r="B9488" s="1" t="n">
        <v>45133</v>
      </c>
      <c r="C9488" s="1" t="n">
        <v>45657</v>
      </c>
      <c r="D9488" t="inlineStr">
        <is>
          <t>VÄSTERNORRLANDS LÄN</t>
        </is>
      </c>
      <c r="E9488" t="inlineStr">
        <is>
          <t>SOLLEFTEÅ</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33713-2023</t>
        </is>
      </c>
      <c r="B9489" s="1" t="n">
        <v>45133</v>
      </c>
      <c r="C9489" s="1" t="n">
        <v>45657</v>
      </c>
      <c r="D9489" t="inlineStr">
        <is>
          <t>VÄSTERNORRLANDS LÄN</t>
        </is>
      </c>
      <c r="E9489" t="inlineStr">
        <is>
          <t>SOLLEFTEÅ</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33715-2023</t>
        </is>
      </c>
      <c r="B9490" s="1" t="n">
        <v>45133</v>
      </c>
      <c r="C9490" s="1" t="n">
        <v>45657</v>
      </c>
      <c r="D9490" t="inlineStr">
        <is>
          <t>VÄSTERNORRLANDS LÄN</t>
        </is>
      </c>
      <c r="E9490" t="inlineStr">
        <is>
          <t>SUNDSVALL</t>
        </is>
      </c>
      <c r="F9490" t="inlineStr">
        <is>
          <t>SCA</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33864-2023</t>
        </is>
      </c>
      <c r="B9491" s="1" t="n">
        <v>45133</v>
      </c>
      <c r="C9491" s="1" t="n">
        <v>45657</v>
      </c>
      <c r="D9491" t="inlineStr">
        <is>
          <t>VÄSTERNORRLANDS LÄN</t>
        </is>
      </c>
      <c r="E9491" t="inlineStr">
        <is>
          <t>ÅNGE</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33876-2023</t>
        </is>
      </c>
      <c r="B9492" s="1" t="n">
        <v>45133</v>
      </c>
      <c r="C9492" s="1" t="n">
        <v>45657</v>
      </c>
      <c r="D9492" t="inlineStr">
        <is>
          <t>VÄSTERNORRLANDS LÄN</t>
        </is>
      </c>
      <c r="E9492" t="inlineStr">
        <is>
          <t>SUNDSVALL</t>
        </is>
      </c>
      <c r="F9492" t="inlineStr">
        <is>
          <t>SCA</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34421-2023</t>
        </is>
      </c>
      <c r="B9493" s="1" t="n">
        <v>45133</v>
      </c>
      <c r="C9493" s="1" t="n">
        <v>45657</v>
      </c>
      <c r="D9493" t="inlineStr">
        <is>
          <t>VÄSTERNORRLANDS LÄN</t>
        </is>
      </c>
      <c r="E9493" t="inlineStr">
        <is>
          <t>HÄRNÖSAND</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33871-2023</t>
        </is>
      </c>
      <c r="B9494" s="1" t="n">
        <v>45134</v>
      </c>
      <c r="C9494" s="1" t="n">
        <v>45657</v>
      </c>
      <c r="D9494" t="inlineStr">
        <is>
          <t>VÄSTERNORRLANDS LÄN</t>
        </is>
      </c>
      <c r="E9494" t="inlineStr">
        <is>
          <t>KRAMFORS</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33866-2023</t>
        </is>
      </c>
      <c r="B9495" s="1" t="n">
        <v>45133</v>
      </c>
      <c r="C9495" s="1" t="n">
        <v>45657</v>
      </c>
      <c r="D9495" t="inlineStr">
        <is>
          <t>VÄSTERNORRLANDS LÄN</t>
        </is>
      </c>
      <c r="E9495" t="inlineStr">
        <is>
          <t>ÅNGE</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33906-2023</t>
        </is>
      </c>
      <c r="B9496" s="1" t="n">
        <v>45134</v>
      </c>
      <c r="C9496" s="1" t="n">
        <v>45657</v>
      </c>
      <c r="D9496" t="inlineStr">
        <is>
          <t>VÄSTERNORRLANDS LÄN</t>
        </is>
      </c>
      <c r="E9496" t="inlineStr">
        <is>
          <t>ÖRNSKÖLDSVIK</t>
        </is>
      </c>
      <c r="F9496" t="inlineStr">
        <is>
          <t>Holmen skog AB</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33926-2023</t>
        </is>
      </c>
      <c r="B9497" s="1" t="n">
        <v>45134</v>
      </c>
      <c r="C9497" s="1" t="n">
        <v>45657</v>
      </c>
      <c r="D9497" t="inlineStr">
        <is>
          <t>VÄSTERNORRLANDS LÄN</t>
        </is>
      </c>
      <c r="E9497" t="inlineStr">
        <is>
          <t>ÖRNSKÖLDSVIK</t>
        </is>
      </c>
      <c r="F9497" t="inlineStr">
        <is>
          <t>Holmen skog AB</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33936-2023</t>
        </is>
      </c>
      <c r="B9498" s="1" t="n">
        <v>45134</v>
      </c>
      <c r="C9498" s="1" t="n">
        <v>45657</v>
      </c>
      <c r="D9498" t="inlineStr">
        <is>
          <t>VÄSTERNORRLANDS LÄN</t>
        </is>
      </c>
      <c r="E9498" t="inlineStr">
        <is>
          <t>ÅNGE</t>
        </is>
      </c>
      <c r="G9498" t="n">
        <v>7.7</v>
      </c>
      <c r="H9498" t="n">
        <v>0</v>
      </c>
      <c r="I9498" t="n">
        <v>0</v>
      </c>
      <c r="J9498" t="n">
        <v>0</v>
      </c>
      <c r="K9498" t="n">
        <v>0</v>
      </c>
      <c r="L9498" t="n">
        <v>0</v>
      </c>
      <c r="M9498" t="n">
        <v>0</v>
      </c>
      <c r="N9498" t="n">
        <v>0</v>
      </c>
      <c r="O9498" t="n">
        <v>0</v>
      </c>
      <c r="P9498" t="n">
        <v>0</v>
      </c>
      <c r="Q9498" t="n">
        <v>0</v>
      </c>
      <c r="R9498" s="2" t="inlineStr"/>
    </row>
    <row r="9499" ht="15" customHeight="1">
      <c r="A9499" t="inlineStr">
        <is>
          <t>A 34011-2023</t>
        </is>
      </c>
      <c r="B9499" s="1" t="n">
        <v>45135</v>
      </c>
      <c r="C9499" s="1" t="n">
        <v>45657</v>
      </c>
      <c r="D9499" t="inlineStr">
        <is>
          <t>VÄSTERNORRLANDS LÄN</t>
        </is>
      </c>
      <c r="E9499" t="inlineStr">
        <is>
          <t>SUNDSVALL</t>
        </is>
      </c>
      <c r="F9499" t="inlineStr">
        <is>
          <t>SCA</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33999-2023</t>
        </is>
      </c>
      <c r="B9500" s="1" t="n">
        <v>45134</v>
      </c>
      <c r="C9500" s="1" t="n">
        <v>45657</v>
      </c>
      <c r="D9500" t="inlineStr">
        <is>
          <t>VÄSTERNORRLANDS LÄN</t>
        </is>
      </c>
      <c r="E9500" t="inlineStr">
        <is>
          <t>SOLLEFTEÅ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34020-2023</t>
        </is>
      </c>
      <c r="B9501" s="1" t="n">
        <v>45135</v>
      </c>
      <c r="C9501" s="1" t="n">
        <v>45657</v>
      </c>
      <c r="D9501" t="inlineStr">
        <is>
          <t>VÄSTERNORRLANDS LÄN</t>
        </is>
      </c>
      <c r="E9501" t="inlineStr">
        <is>
          <t>ÖRNSKÖLDSVIK</t>
        </is>
      </c>
      <c r="F9501" t="inlineStr">
        <is>
          <t>Holmen skog AB</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34129-2023</t>
        </is>
      </c>
      <c r="B9502" s="1" t="n">
        <v>45135</v>
      </c>
      <c r="C9502" s="1" t="n">
        <v>45657</v>
      </c>
      <c r="D9502" t="inlineStr">
        <is>
          <t>VÄSTERNORRLANDS LÄN</t>
        </is>
      </c>
      <c r="E9502" t="inlineStr">
        <is>
          <t>ÖRNSKÖLDSVIK</t>
        </is>
      </c>
      <c r="F9502" t="inlineStr">
        <is>
          <t>Holmen skog AB</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34586-2023</t>
        </is>
      </c>
      <c r="B9503" s="1" t="n">
        <v>45135</v>
      </c>
      <c r="C9503" s="1" t="n">
        <v>45657</v>
      </c>
      <c r="D9503" t="inlineStr">
        <is>
          <t>VÄSTERNORRLANDS LÄN</t>
        </is>
      </c>
      <c r="E9503" t="inlineStr">
        <is>
          <t>KRAMFORS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34123-2023</t>
        </is>
      </c>
      <c r="B9504" s="1" t="n">
        <v>45135</v>
      </c>
      <c r="C9504" s="1" t="n">
        <v>45657</v>
      </c>
      <c r="D9504" t="inlineStr">
        <is>
          <t>VÄSTERNORRLANDS LÄN</t>
        </is>
      </c>
      <c r="E9504" t="inlineStr">
        <is>
          <t>ÖRNSKÖLDSVIK</t>
        </is>
      </c>
      <c r="F9504" t="inlineStr">
        <is>
          <t>Holmen skog AB</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34127-2023</t>
        </is>
      </c>
      <c r="B9505" s="1" t="n">
        <v>45135</v>
      </c>
      <c r="C9505" s="1" t="n">
        <v>45657</v>
      </c>
      <c r="D9505" t="inlineStr">
        <is>
          <t>VÄSTERNORRLANDS LÄN</t>
        </is>
      </c>
      <c r="E9505" t="inlineStr">
        <is>
          <t>ÖRNSKÖLDSVIK</t>
        </is>
      </c>
      <c r="F9505" t="inlineStr">
        <is>
          <t>Holmen skog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34135-2023</t>
        </is>
      </c>
      <c r="B9506" s="1" t="n">
        <v>45135</v>
      </c>
      <c r="C9506" s="1" t="n">
        <v>45657</v>
      </c>
      <c r="D9506" t="inlineStr">
        <is>
          <t>VÄSTERNORRLANDS LÄN</t>
        </is>
      </c>
      <c r="E9506" t="inlineStr">
        <is>
          <t>SUNDSVALL</t>
        </is>
      </c>
      <c r="F9506" t="inlineStr">
        <is>
          <t>SCA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34592-2023</t>
        </is>
      </c>
      <c r="B9507" s="1" t="n">
        <v>45137</v>
      </c>
      <c r="C9507" s="1" t="n">
        <v>45657</v>
      </c>
      <c r="D9507" t="inlineStr">
        <is>
          <t>VÄSTERNORRLANDS LÄN</t>
        </is>
      </c>
      <c r="E9507" t="inlineStr">
        <is>
          <t>ÖRNSKÖLDSVIK</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34588-2023</t>
        </is>
      </c>
      <c r="B9508" s="1" t="n">
        <v>45137</v>
      </c>
      <c r="C9508" s="1" t="n">
        <v>45657</v>
      </c>
      <c r="D9508" t="inlineStr">
        <is>
          <t>VÄSTERNORRLANDS LÄN</t>
        </is>
      </c>
      <c r="E9508" t="inlineStr">
        <is>
          <t>ÖRNSKÖLDSVIK</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34175-2023</t>
        </is>
      </c>
      <c r="B9509" s="1" t="n">
        <v>45138</v>
      </c>
      <c r="C9509" s="1" t="n">
        <v>45657</v>
      </c>
      <c r="D9509" t="inlineStr">
        <is>
          <t>VÄSTERNORRLANDS LÄN</t>
        </is>
      </c>
      <c r="E9509" t="inlineStr">
        <is>
          <t>ÖRNSKÖLDSVIK</t>
        </is>
      </c>
      <c r="F9509" t="inlineStr">
        <is>
          <t>Holmen skog AB</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34192-2023</t>
        </is>
      </c>
      <c r="B9510" s="1" t="n">
        <v>45138</v>
      </c>
      <c r="C9510" s="1" t="n">
        <v>45657</v>
      </c>
      <c r="D9510" t="inlineStr">
        <is>
          <t>VÄSTERNORRLANDS LÄN</t>
        </is>
      </c>
      <c r="E9510" t="inlineStr">
        <is>
          <t>SUNDSVALL</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34243-2023</t>
        </is>
      </c>
      <c r="B9511" s="1" t="n">
        <v>45138</v>
      </c>
      <c r="C9511" s="1" t="n">
        <v>45657</v>
      </c>
      <c r="D9511" t="inlineStr">
        <is>
          <t>VÄSTERNORRLANDS LÄN</t>
        </is>
      </c>
      <c r="E9511" t="inlineStr">
        <is>
          <t>ÖRNSKÖLDSVIK</t>
        </is>
      </c>
      <c r="F9511" t="inlineStr">
        <is>
          <t>Holmen skog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34309-2023</t>
        </is>
      </c>
      <c r="B9512" s="1" t="n">
        <v>45139</v>
      </c>
      <c r="C9512" s="1" t="n">
        <v>45657</v>
      </c>
      <c r="D9512" t="inlineStr">
        <is>
          <t>VÄSTERNORRLANDS LÄN</t>
        </is>
      </c>
      <c r="E9512" t="inlineStr">
        <is>
          <t>SOLLEFTEÅ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34306-2023</t>
        </is>
      </c>
      <c r="B9513" s="1" t="n">
        <v>45138</v>
      </c>
      <c r="C9513" s="1" t="n">
        <v>45657</v>
      </c>
      <c r="D9513" t="inlineStr">
        <is>
          <t>VÄSTERNORRLANDS LÄN</t>
        </is>
      </c>
      <c r="E9513" t="inlineStr">
        <is>
          <t>SOLLEFTEÅ</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34310-2023</t>
        </is>
      </c>
      <c r="B9514" s="1" t="n">
        <v>45139</v>
      </c>
      <c r="C9514" s="1" t="n">
        <v>45657</v>
      </c>
      <c r="D9514" t="inlineStr">
        <is>
          <t>VÄSTERNORRLANDS LÄN</t>
        </is>
      </c>
      <c r="E9514" t="inlineStr">
        <is>
          <t>SOLLEFTEÅ</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34318-2023</t>
        </is>
      </c>
      <c r="B9515" s="1" t="n">
        <v>45138</v>
      </c>
      <c r="C9515" s="1" t="n">
        <v>45657</v>
      </c>
      <c r="D9515" t="inlineStr">
        <is>
          <t>VÄSTERNORRLANDS LÄN</t>
        </is>
      </c>
      <c r="E9515" t="inlineStr">
        <is>
          <t>ÅNGE</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34308-2023</t>
        </is>
      </c>
      <c r="B9516" s="1" t="n">
        <v>45138</v>
      </c>
      <c r="C9516" s="1" t="n">
        <v>45657</v>
      </c>
      <c r="D9516" t="inlineStr">
        <is>
          <t>VÄSTERNORRLANDS LÄN</t>
        </is>
      </c>
      <c r="E9516" t="inlineStr">
        <is>
          <t>SOLLEFTEÅ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34316-2023</t>
        </is>
      </c>
      <c r="B9517" s="1" t="n">
        <v>45138</v>
      </c>
      <c r="C9517" s="1" t="n">
        <v>45657</v>
      </c>
      <c r="D9517" t="inlineStr">
        <is>
          <t>VÄSTERNORRLANDS LÄN</t>
        </is>
      </c>
      <c r="E9517" t="inlineStr">
        <is>
          <t>ÅNGE</t>
        </is>
      </c>
      <c r="F9517" t="inlineStr">
        <is>
          <t>SCA</t>
        </is>
      </c>
      <c r="G9517" t="n">
        <v>14.3</v>
      </c>
      <c r="H9517" t="n">
        <v>0</v>
      </c>
      <c r="I9517" t="n">
        <v>0</v>
      </c>
      <c r="J9517" t="n">
        <v>0</v>
      </c>
      <c r="K9517" t="n">
        <v>0</v>
      </c>
      <c r="L9517" t="n">
        <v>0</v>
      </c>
      <c r="M9517" t="n">
        <v>0</v>
      </c>
      <c r="N9517" t="n">
        <v>0</v>
      </c>
      <c r="O9517" t="n">
        <v>0</v>
      </c>
      <c r="P9517" t="n">
        <v>0</v>
      </c>
      <c r="Q9517" t="n">
        <v>0</v>
      </c>
      <c r="R9517" s="2" t="inlineStr"/>
    </row>
    <row r="9518" ht="15" customHeight="1">
      <c r="A9518" t="inlineStr">
        <is>
          <t>A 34317-2023</t>
        </is>
      </c>
      <c r="B9518" s="1" t="n">
        <v>45138</v>
      </c>
      <c r="C9518" s="1" t="n">
        <v>45657</v>
      </c>
      <c r="D9518" t="inlineStr">
        <is>
          <t>VÄSTERNORRLANDS LÄN</t>
        </is>
      </c>
      <c r="E9518" t="inlineStr">
        <is>
          <t>ÅNGE</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34325-2023</t>
        </is>
      </c>
      <c r="B9519" s="1" t="n">
        <v>45139</v>
      </c>
      <c r="C9519" s="1" t="n">
        <v>45657</v>
      </c>
      <c r="D9519" t="inlineStr">
        <is>
          <t>VÄSTERNORRLANDS LÄN</t>
        </is>
      </c>
      <c r="E9519" t="inlineStr">
        <is>
          <t>KRAMFORS</t>
        </is>
      </c>
      <c r="F9519" t="inlineStr">
        <is>
          <t>SCA</t>
        </is>
      </c>
      <c r="G9519" t="n">
        <v>15.4</v>
      </c>
      <c r="H9519" t="n">
        <v>0</v>
      </c>
      <c r="I9519" t="n">
        <v>0</v>
      </c>
      <c r="J9519" t="n">
        <v>0</v>
      </c>
      <c r="K9519" t="n">
        <v>0</v>
      </c>
      <c r="L9519" t="n">
        <v>0</v>
      </c>
      <c r="M9519" t="n">
        <v>0</v>
      </c>
      <c r="N9519" t="n">
        <v>0</v>
      </c>
      <c r="O9519" t="n">
        <v>0</v>
      </c>
      <c r="P9519" t="n">
        <v>0</v>
      </c>
      <c r="Q9519" t="n">
        <v>0</v>
      </c>
      <c r="R9519" s="2" t="inlineStr"/>
    </row>
    <row r="9520" ht="15" customHeight="1">
      <c r="A9520" t="inlineStr">
        <is>
          <t>A 34329-2023</t>
        </is>
      </c>
      <c r="B9520" s="1" t="n">
        <v>45139</v>
      </c>
      <c r="C9520" s="1" t="n">
        <v>45657</v>
      </c>
      <c r="D9520" t="inlineStr">
        <is>
          <t>VÄSTERNORRLANDS LÄN</t>
        </is>
      </c>
      <c r="E9520" t="inlineStr">
        <is>
          <t>SOLLEFTEÅ</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34620-2023</t>
        </is>
      </c>
      <c r="B9521" s="1" t="n">
        <v>45138</v>
      </c>
      <c r="C9521" s="1" t="n">
        <v>45657</v>
      </c>
      <c r="D9521" t="inlineStr">
        <is>
          <t>VÄSTERNORRLANDS LÄN</t>
        </is>
      </c>
      <c r="E9521" t="inlineStr">
        <is>
          <t>ÅNGE</t>
        </is>
      </c>
      <c r="F9521" t="inlineStr">
        <is>
          <t>SCA</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34326-2023</t>
        </is>
      </c>
      <c r="B9522" s="1" t="n">
        <v>45138</v>
      </c>
      <c r="C9522" s="1" t="n">
        <v>45657</v>
      </c>
      <c r="D9522" t="inlineStr">
        <is>
          <t>VÄSTERNORRLANDS LÄN</t>
        </is>
      </c>
      <c r="E9522" t="inlineStr">
        <is>
          <t>SUNDSVALL</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34330-2023</t>
        </is>
      </c>
      <c r="B9523" s="1" t="n">
        <v>45138</v>
      </c>
      <c r="C9523" s="1" t="n">
        <v>45657</v>
      </c>
      <c r="D9523" t="inlineStr">
        <is>
          <t>VÄSTERNORRLANDS LÄN</t>
        </is>
      </c>
      <c r="E9523" t="inlineStr">
        <is>
          <t>SOLLEFTEÅ</t>
        </is>
      </c>
      <c r="F9523" t="inlineStr">
        <is>
          <t>SCA</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34623-2023</t>
        </is>
      </c>
      <c r="B9524" s="1" t="n">
        <v>45138</v>
      </c>
      <c r="C9524" s="1" t="n">
        <v>45657</v>
      </c>
      <c r="D9524" t="inlineStr">
        <is>
          <t>VÄSTERNORRLANDS LÄN</t>
        </is>
      </c>
      <c r="E9524" t="inlineStr">
        <is>
          <t>HÄRNÖSAND</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34269-2023</t>
        </is>
      </c>
      <c r="B9525" s="1" t="n">
        <v>45138</v>
      </c>
      <c r="C9525" s="1" t="n">
        <v>45657</v>
      </c>
      <c r="D9525" t="inlineStr">
        <is>
          <t>VÄSTERNORRLANDS LÄN</t>
        </is>
      </c>
      <c r="E9525" t="inlineStr">
        <is>
          <t>ÅNGE</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34324-2023</t>
        </is>
      </c>
      <c r="B9526" s="1" t="n">
        <v>45138</v>
      </c>
      <c r="C9526" s="1" t="n">
        <v>45657</v>
      </c>
      <c r="D9526" t="inlineStr">
        <is>
          <t>VÄSTERNORRLANDS LÄN</t>
        </is>
      </c>
      <c r="E9526" t="inlineStr">
        <is>
          <t>HÄRNÖSAND</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34328-2023</t>
        </is>
      </c>
      <c r="B9527" s="1" t="n">
        <v>45139</v>
      </c>
      <c r="C9527" s="1" t="n">
        <v>45657</v>
      </c>
      <c r="D9527" t="inlineStr">
        <is>
          <t>VÄSTERNORRLANDS LÄN</t>
        </is>
      </c>
      <c r="E9527" t="inlineStr">
        <is>
          <t>SOLLEFTEÅ</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34619-2023</t>
        </is>
      </c>
      <c r="B9528" s="1" t="n">
        <v>45138</v>
      </c>
      <c r="C9528" s="1" t="n">
        <v>45657</v>
      </c>
      <c r="D9528" t="inlineStr">
        <is>
          <t>VÄSTERNORRLANDS LÄN</t>
        </is>
      </c>
      <c r="E9528" t="inlineStr">
        <is>
          <t>HÄRNÖSAND</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34307-2023</t>
        </is>
      </c>
      <c r="B9529" s="1" t="n">
        <v>45138</v>
      </c>
      <c r="C9529" s="1" t="n">
        <v>45657</v>
      </c>
      <c r="D9529" t="inlineStr">
        <is>
          <t>VÄSTERNORRLANDS LÄN</t>
        </is>
      </c>
      <c r="E9529" t="inlineStr">
        <is>
          <t>SOLLEFTEÅ</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34311-2023</t>
        </is>
      </c>
      <c r="B9530" s="1" t="n">
        <v>45139</v>
      </c>
      <c r="C9530" s="1" t="n">
        <v>45657</v>
      </c>
      <c r="D9530" t="inlineStr">
        <is>
          <t>VÄSTERNORRLANDS LÄN</t>
        </is>
      </c>
      <c r="E9530" t="inlineStr">
        <is>
          <t>SOLLEFTEÅ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34315-2023</t>
        </is>
      </c>
      <c r="B9531" s="1" t="n">
        <v>45138</v>
      </c>
      <c r="C9531" s="1" t="n">
        <v>45657</v>
      </c>
      <c r="D9531" t="inlineStr">
        <is>
          <t>VÄSTERNORRLANDS LÄN</t>
        </is>
      </c>
      <c r="E9531" t="inlineStr">
        <is>
          <t>ÅNGE</t>
        </is>
      </c>
      <c r="F9531" t="inlineStr">
        <is>
          <t>SCA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34319-2023</t>
        </is>
      </c>
      <c r="B9532" s="1" t="n">
        <v>45138</v>
      </c>
      <c r="C9532" s="1" t="n">
        <v>45657</v>
      </c>
      <c r="D9532" t="inlineStr">
        <is>
          <t>VÄSTERNORRLANDS LÄN</t>
        </is>
      </c>
      <c r="E9532" t="inlineStr">
        <is>
          <t>ÅNGE</t>
        </is>
      </c>
      <c r="F9532" t="inlineStr">
        <is>
          <t>SCA</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34327-2023</t>
        </is>
      </c>
      <c r="B9533" s="1" t="n">
        <v>45139</v>
      </c>
      <c r="C9533" s="1" t="n">
        <v>45657</v>
      </c>
      <c r="D9533" t="inlineStr">
        <is>
          <t>VÄSTERNORRLANDS LÄN</t>
        </is>
      </c>
      <c r="E9533" t="inlineStr">
        <is>
          <t>SOLLEFTEÅ</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34411-2023</t>
        </is>
      </c>
      <c r="B9534" s="1" t="n">
        <v>45139</v>
      </c>
      <c r="C9534" s="1" t="n">
        <v>45657</v>
      </c>
      <c r="D9534" t="inlineStr">
        <is>
          <t>VÄSTERNORRLANDS LÄN</t>
        </is>
      </c>
      <c r="E9534" t="inlineStr">
        <is>
          <t>ÖRNSKÖLDSVIK</t>
        </is>
      </c>
      <c r="F9534" t="inlineStr">
        <is>
          <t>Holmen skog AB</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34423-2023</t>
        </is>
      </c>
      <c r="B9535" s="1" t="n">
        <v>45139</v>
      </c>
      <c r="C9535" s="1" t="n">
        <v>45657</v>
      </c>
      <c r="D9535" t="inlineStr">
        <is>
          <t>VÄSTERNORRLANDS LÄN</t>
        </is>
      </c>
      <c r="E9535" t="inlineStr">
        <is>
          <t>SUNDSVALL</t>
        </is>
      </c>
      <c r="F9535" t="inlineStr">
        <is>
          <t>Holmen skog AB</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34428-2023</t>
        </is>
      </c>
      <c r="B9536" s="1" t="n">
        <v>45139</v>
      </c>
      <c r="C9536" s="1" t="n">
        <v>45657</v>
      </c>
      <c r="D9536" t="inlineStr">
        <is>
          <t>VÄSTERNORRLANDS LÄN</t>
        </is>
      </c>
      <c r="E9536" t="inlineStr">
        <is>
          <t>SUNDSVALL</t>
        </is>
      </c>
      <c r="F9536" t="inlineStr">
        <is>
          <t>Holmen skog AB</t>
        </is>
      </c>
      <c r="G9536" t="n">
        <v>18.5</v>
      </c>
      <c r="H9536" t="n">
        <v>0</v>
      </c>
      <c r="I9536" t="n">
        <v>0</v>
      </c>
      <c r="J9536" t="n">
        <v>0</v>
      </c>
      <c r="K9536" t="n">
        <v>0</v>
      </c>
      <c r="L9536" t="n">
        <v>0</v>
      </c>
      <c r="M9536" t="n">
        <v>0</v>
      </c>
      <c r="N9536" t="n">
        <v>0</v>
      </c>
      <c r="O9536" t="n">
        <v>0</v>
      </c>
      <c r="P9536" t="n">
        <v>0</v>
      </c>
      <c r="Q9536" t="n">
        <v>0</v>
      </c>
      <c r="R9536" s="2" t="inlineStr"/>
    </row>
    <row r="9537" ht="15" customHeight="1">
      <c r="A9537" t="inlineStr">
        <is>
          <t>A 34487-2023</t>
        </is>
      </c>
      <c r="B9537" s="1" t="n">
        <v>45140</v>
      </c>
      <c r="C9537" s="1" t="n">
        <v>45657</v>
      </c>
      <c r="D9537" t="inlineStr">
        <is>
          <t>VÄSTERNORRLANDS LÄN</t>
        </is>
      </c>
      <c r="E9537" t="inlineStr">
        <is>
          <t>SOLLEFTEÅ</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34491-2023</t>
        </is>
      </c>
      <c r="B9538" s="1" t="n">
        <v>45140</v>
      </c>
      <c r="C9538" s="1" t="n">
        <v>45657</v>
      </c>
      <c r="D9538" t="inlineStr">
        <is>
          <t>VÄSTERNORRLANDS LÄN</t>
        </is>
      </c>
      <c r="E9538" t="inlineStr">
        <is>
          <t>ÅNGE</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34741-2023</t>
        </is>
      </c>
      <c r="B9539" s="1" t="n">
        <v>45139</v>
      </c>
      <c r="C9539" s="1" t="n">
        <v>45657</v>
      </c>
      <c r="D9539" t="inlineStr">
        <is>
          <t>VÄSTERNORRLANDS LÄN</t>
        </is>
      </c>
      <c r="E9539" t="inlineStr">
        <is>
          <t>SOLLEFTEÅ</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34737-2023</t>
        </is>
      </c>
      <c r="B9540" s="1" t="n">
        <v>45139</v>
      </c>
      <c r="C9540" s="1" t="n">
        <v>45657</v>
      </c>
      <c r="D9540" t="inlineStr">
        <is>
          <t>VÄSTERNORRLANDS LÄN</t>
        </is>
      </c>
      <c r="E9540" t="inlineStr">
        <is>
          <t>SOLLEFTEÅ</t>
        </is>
      </c>
      <c r="F9540" t="inlineStr">
        <is>
          <t>SCA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34755-2023</t>
        </is>
      </c>
      <c r="B9541" s="1" t="n">
        <v>45139</v>
      </c>
      <c r="C9541" s="1" t="n">
        <v>45657</v>
      </c>
      <c r="D9541" t="inlineStr">
        <is>
          <t>VÄSTERNORRLANDS LÄN</t>
        </is>
      </c>
      <c r="E9541" t="inlineStr">
        <is>
          <t>ÅNGE</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34490-2023</t>
        </is>
      </c>
      <c r="B9542" s="1" t="n">
        <v>45139</v>
      </c>
      <c r="C9542" s="1" t="n">
        <v>45657</v>
      </c>
      <c r="D9542" t="inlineStr">
        <is>
          <t>VÄSTERNORRLANDS LÄN</t>
        </is>
      </c>
      <c r="E9542" t="inlineStr">
        <is>
          <t>ÅNGE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34716-2023</t>
        </is>
      </c>
      <c r="B9543" s="1" t="n">
        <v>45139</v>
      </c>
      <c r="C9543" s="1" t="n">
        <v>45657</v>
      </c>
      <c r="D9543" t="inlineStr">
        <is>
          <t>VÄSTERNORRLANDS LÄN</t>
        </is>
      </c>
      <c r="E9543" t="inlineStr">
        <is>
          <t>KRAMFORS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34740-2023</t>
        </is>
      </c>
      <c r="B9544" s="1" t="n">
        <v>45139</v>
      </c>
      <c r="C9544" s="1" t="n">
        <v>45657</v>
      </c>
      <c r="D9544" t="inlineStr">
        <is>
          <t>VÄSTERNORRLANDS LÄN</t>
        </is>
      </c>
      <c r="E9544" t="inlineStr">
        <is>
          <t>KRAMFORS</t>
        </is>
      </c>
      <c r="G9544" t="n">
        <v>13.4</v>
      </c>
      <c r="H9544" t="n">
        <v>0</v>
      </c>
      <c r="I9544" t="n">
        <v>0</v>
      </c>
      <c r="J9544" t="n">
        <v>0</v>
      </c>
      <c r="K9544" t="n">
        <v>0</v>
      </c>
      <c r="L9544" t="n">
        <v>0</v>
      </c>
      <c r="M9544" t="n">
        <v>0</v>
      </c>
      <c r="N9544" t="n">
        <v>0</v>
      </c>
      <c r="O9544" t="n">
        <v>0</v>
      </c>
      <c r="P9544" t="n">
        <v>0</v>
      </c>
      <c r="Q9544" t="n">
        <v>0</v>
      </c>
      <c r="R9544" s="2" t="inlineStr"/>
    </row>
    <row r="9545" ht="15" customHeight="1">
      <c r="A9545" t="inlineStr">
        <is>
          <t>A 34750-2023</t>
        </is>
      </c>
      <c r="B9545" s="1" t="n">
        <v>45139</v>
      </c>
      <c r="C9545" s="1" t="n">
        <v>45657</v>
      </c>
      <c r="D9545" t="inlineStr">
        <is>
          <t>VÄSTERNORRLANDS LÄN</t>
        </is>
      </c>
      <c r="E9545" t="inlineStr">
        <is>
          <t>ÅNGE</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34745-2023</t>
        </is>
      </c>
      <c r="B9546" s="1" t="n">
        <v>45139</v>
      </c>
      <c r="C9546" s="1" t="n">
        <v>45657</v>
      </c>
      <c r="D9546" t="inlineStr">
        <is>
          <t>VÄSTERNORRLANDS LÄN</t>
        </is>
      </c>
      <c r="E9546" t="inlineStr">
        <is>
          <t>HÄRNÖSAND</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34754-2023</t>
        </is>
      </c>
      <c r="B9547" s="1" t="n">
        <v>45139</v>
      </c>
      <c r="C9547" s="1" t="n">
        <v>45657</v>
      </c>
      <c r="D9547" t="inlineStr">
        <is>
          <t>VÄSTERNORRLANDS LÄN</t>
        </is>
      </c>
      <c r="E9547" t="inlineStr">
        <is>
          <t>ÅNGE</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34705-2023</t>
        </is>
      </c>
      <c r="B9548" s="1" t="n">
        <v>45141</v>
      </c>
      <c r="C9548" s="1" t="n">
        <v>45657</v>
      </c>
      <c r="D9548" t="inlineStr">
        <is>
          <t>VÄSTERNORRLANDS LÄN</t>
        </is>
      </c>
      <c r="E9548" t="inlineStr">
        <is>
          <t>ÅNGE</t>
        </is>
      </c>
      <c r="F9548" t="inlineStr">
        <is>
          <t>SCA</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34687-2023</t>
        </is>
      </c>
      <c r="B9549" s="1" t="n">
        <v>45141</v>
      </c>
      <c r="C9549" s="1" t="n">
        <v>45657</v>
      </c>
      <c r="D9549" t="inlineStr">
        <is>
          <t>VÄSTERNORRLANDS LÄN</t>
        </is>
      </c>
      <c r="E9549" t="inlineStr">
        <is>
          <t>SOLLEFTEÅ</t>
        </is>
      </c>
      <c r="F9549" t="inlineStr">
        <is>
          <t>SCA</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34695-2023</t>
        </is>
      </c>
      <c r="B9550" s="1" t="n">
        <v>45141</v>
      </c>
      <c r="C9550" s="1" t="n">
        <v>45657</v>
      </c>
      <c r="D9550" t="inlineStr">
        <is>
          <t>VÄSTERNORRLANDS LÄN</t>
        </is>
      </c>
      <c r="E9550" t="inlineStr">
        <is>
          <t>SUNDSVALL</t>
        </is>
      </c>
      <c r="F9550" t="inlineStr">
        <is>
          <t>SCA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34632-2023</t>
        </is>
      </c>
      <c r="B9551" s="1" t="n">
        <v>45140</v>
      </c>
      <c r="C9551" s="1" t="n">
        <v>45657</v>
      </c>
      <c r="D9551" t="inlineStr">
        <is>
          <t>VÄSTERNORRLANDS LÄN</t>
        </is>
      </c>
      <c r="E9551" t="inlineStr">
        <is>
          <t>ÖRNSKÖLDSVIK</t>
        </is>
      </c>
      <c r="F9551" t="inlineStr">
        <is>
          <t>Holmen skog AB</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34640-2023</t>
        </is>
      </c>
      <c r="B9552" s="1" t="n">
        <v>45140</v>
      </c>
      <c r="C9552" s="1" t="n">
        <v>45657</v>
      </c>
      <c r="D9552" t="inlineStr">
        <is>
          <t>VÄSTERNORRLANDS LÄN</t>
        </is>
      </c>
      <c r="E9552" t="inlineStr">
        <is>
          <t>ÖRNSKÖLDSVIK</t>
        </is>
      </c>
      <c r="F9552" t="inlineStr">
        <is>
          <t>Holmen skog AB</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34703-2023</t>
        </is>
      </c>
      <c r="B9553" s="1" t="n">
        <v>45141</v>
      </c>
      <c r="C9553" s="1" t="n">
        <v>45657</v>
      </c>
      <c r="D9553" t="inlineStr">
        <is>
          <t>VÄSTERNORRLANDS LÄN</t>
        </is>
      </c>
      <c r="E9553" t="inlineStr">
        <is>
          <t>ÅNGE</t>
        </is>
      </c>
      <c r="F9553" t="inlineStr">
        <is>
          <t>SCA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34686-2023</t>
        </is>
      </c>
      <c r="B9554" s="1" t="n">
        <v>45141</v>
      </c>
      <c r="C9554" s="1" t="n">
        <v>45657</v>
      </c>
      <c r="D9554" t="inlineStr">
        <is>
          <t>VÄSTERNORRLANDS LÄN</t>
        </is>
      </c>
      <c r="E9554" t="inlineStr">
        <is>
          <t>SOLLEFTEÅ</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34690-2023</t>
        </is>
      </c>
      <c r="B9555" s="1" t="n">
        <v>45141</v>
      </c>
      <c r="C9555" s="1" t="n">
        <v>45657</v>
      </c>
      <c r="D9555" t="inlineStr">
        <is>
          <t>VÄSTERNORRLANDS LÄN</t>
        </is>
      </c>
      <c r="E9555" t="inlineStr">
        <is>
          <t>ÅNGE</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34698-2023</t>
        </is>
      </c>
      <c r="B9556" s="1" t="n">
        <v>45140</v>
      </c>
      <c r="C9556" s="1" t="n">
        <v>45657</v>
      </c>
      <c r="D9556" t="inlineStr">
        <is>
          <t>VÄSTERNORRLANDS LÄN</t>
        </is>
      </c>
      <c r="E9556" t="inlineStr">
        <is>
          <t>ÅNGE</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34692-2023</t>
        </is>
      </c>
      <c r="B9557" s="1" t="n">
        <v>45140</v>
      </c>
      <c r="C9557" s="1" t="n">
        <v>45657</v>
      </c>
      <c r="D9557" t="inlineStr">
        <is>
          <t>VÄSTERNORRLANDS LÄN</t>
        </is>
      </c>
      <c r="E9557" t="inlineStr">
        <is>
          <t>ÅNGE</t>
        </is>
      </c>
      <c r="F9557" t="inlineStr">
        <is>
          <t>SCA</t>
        </is>
      </c>
      <c r="G9557" t="n">
        <v>12.8</v>
      </c>
      <c r="H9557" t="n">
        <v>0</v>
      </c>
      <c r="I9557" t="n">
        <v>0</v>
      </c>
      <c r="J9557" t="n">
        <v>0</v>
      </c>
      <c r="K9557" t="n">
        <v>0</v>
      </c>
      <c r="L9557" t="n">
        <v>0</v>
      </c>
      <c r="M9557" t="n">
        <v>0</v>
      </c>
      <c r="N9557" t="n">
        <v>0</v>
      </c>
      <c r="O9557" t="n">
        <v>0</v>
      </c>
      <c r="P9557" t="n">
        <v>0</v>
      </c>
      <c r="Q9557" t="n">
        <v>0</v>
      </c>
      <c r="R9557" s="2" t="inlineStr"/>
    </row>
    <row r="9558" ht="15" customHeight="1">
      <c r="A9558" t="inlineStr">
        <is>
          <t>A 34696-2023</t>
        </is>
      </c>
      <c r="B9558" s="1" t="n">
        <v>45141</v>
      </c>
      <c r="C9558" s="1" t="n">
        <v>45657</v>
      </c>
      <c r="D9558" t="inlineStr">
        <is>
          <t>VÄSTERNORRLANDS LÄN</t>
        </is>
      </c>
      <c r="E9558" t="inlineStr">
        <is>
          <t>SOLLEFTEÅ</t>
        </is>
      </c>
      <c r="F9558" t="inlineStr">
        <is>
          <t>SCA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34787-2023</t>
        </is>
      </c>
      <c r="B9559" s="1" t="n">
        <v>45140</v>
      </c>
      <c r="C9559" s="1" t="n">
        <v>45657</v>
      </c>
      <c r="D9559" t="inlineStr">
        <is>
          <t>VÄSTERNORRLANDS LÄN</t>
        </is>
      </c>
      <c r="E9559" t="inlineStr">
        <is>
          <t>HÄRNÖSAND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34782-2023</t>
        </is>
      </c>
      <c r="B9560" s="1" t="n">
        <v>45140</v>
      </c>
      <c r="C9560" s="1" t="n">
        <v>45657</v>
      </c>
      <c r="D9560" t="inlineStr">
        <is>
          <t>VÄSTERNORRLANDS LÄN</t>
        </is>
      </c>
      <c r="E9560" t="inlineStr">
        <is>
          <t>HÄRNÖSAND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34796-2023</t>
        </is>
      </c>
      <c r="B9561" s="1" t="n">
        <v>45141</v>
      </c>
      <c r="C9561" s="1" t="n">
        <v>45657</v>
      </c>
      <c r="D9561" t="inlineStr">
        <is>
          <t>VÄSTERNORRLANDS LÄN</t>
        </is>
      </c>
      <c r="E9561" t="inlineStr">
        <is>
          <t>ÖRNSKÖLDSVIK</t>
        </is>
      </c>
      <c r="F9561" t="inlineStr">
        <is>
          <t>Holmen skog AB</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34847-2023</t>
        </is>
      </c>
      <c r="B9562" s="1" t="n">
        <v>45142</v>
      </c>
      <c r="C9562" s="1" t="n">
        <v>45657</v>
      </c>
      <c r="D9562" t="inlineStr">
        <is>
          <t>VÄSTERNORRLANDS LÄN</t>
        </is>
      </c>
      <c r="E9562" t="inlineStr">
        <is>
          <t>ÖRNSKÖLDSVIK</t>
        </is>
      </c>
      <c r="F9562" t="inlineStr">
        <is>
          <t>SCA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34851-2023</t>
        </is>
      </c>
      <c r="B9563" s="1" t="n">
        <v>45141</v>
      </c>
      <c r="C9563" s="1" t="n">
        <v>45657</v>
      </c>
      <c r="D9563" t="inlineStr">
        <is>
          <t>VÄSTERNORRLANDS LÄN</t>
        </is>
      </c>
      <c r="E9563" t="inlineStr">
        <is>
          <t>ÅNGE</t>
        </is>
      </c>
      <c r="F9563" t="inlineStr">
        <is>
          <t>SCA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34855-2023</t>
        </is>
      </c>
      <c r="B9564" s="1" t="n">
        <v>45141</v>
      </c>
      <c r="C9564" s="1" t="n">
        <v>45657</v>
      </c>
      <c r="D9564" t="inlineStr">
        <is>
          <t>VÄSTERNORRLANDS LÄN</t>
        </is>
      </c>
      <c r="E9564" t="inlineStr">
        <is>
          <t>SUNDSVALL</t>
        </is>
      </c>
      <c r="F9564" t="inlineStr">
        <is>
          <t>SCA</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34983-2023</t>
        </is>
      </c>
      <c r="B9565" s="1" t="n">
        <v>45141</v>
      </c>
      <c r="C9565" s="1" t="n">
        <v>45657</v>
      </c>
      <c r="D9565" t="inlineStr">
        <is>
          <t>VÄSTERNORRLANDS LÄN</t>
        </is>
      </c>
      <c r="E9565" t="inlineStr">
        <is>
          <t>SOLLEFTEÅ</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34795-2023</t>
        </is>
      </c>
      <c r="B9566" s="1" t="n">
        <v>45141</v>
      </c>
      <c r="C9566" s="1" t="n">
        <v>45657</v>
      </c>
      <c r="D9566" t="inlineStr">
        <is>
          <t>VÄSTERNORRLANDS LÄN</t>
        </is>
      </c>
      <c r="E9566" t="inlineStr">
        <is>
          <t>ÖRNSKÖLDSVIK</t>
        </is>
      </c>
      <c r="F9566" t="inlineStr">
        <is>
          <t>Holmen skog AB</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34846-2023</t>
        </is>
      </c>
      <c r="B9567" s="1" t="n">
        <v>45142</v>
      </c>
      <c r="C9567" s="1" t="n">
        <v>45657</v>
      </c>
      <c r="D9567" t="inlineStr">
        <is>
          <t>VÄSTERNORRLANDS LÄN</t>
        </is>
      </c>
      <c r="E9567" t="inlineStr">
        <is>
          <t>ÖRNSKÖLDSVIK</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34850-2023</t>
        </is>
      </c>
      <c r="B9568" s="1" t="n">
        <v>45141</v>
      </c>
      <c r="C9568" s="1" t="n">
        <v>45657</v>
      </c>
      <c r="D9568" t="inlineStr">
        <is>
          <t>VÄSTERNORRLANDS LÄN</t>
        </is>
      </c>
      <c r="E9568" t="inlineStr">
        <is>
          <t>ÅNGE</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34848-2023</t>
        </is>
      </c>
      <c r="B9569" s="1" t="n">
        <v>45142</v>
      </c>
      <c r="C9569" s="1" t="n">
        <v>45657</v>
      </c>
      <c r="D9569" t="inlineStr">
        <is>
          <t>VÄSTERNORRLANDS LÄN</t>
        </is>
      </c>
      <c r="E9569" t="inlineStr">
        <is>
          <t>SOLLEFTEÅ</t>
        </is>
      </c>
      <c r="F9569" t="inlineStr">
        <is>
          <t>SCA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34852-2023</t>
        </is>
      </c>
      <c r="B9570" s="1" t="n">
        <v>45141</v>
      </c>
      <c r="C9570" s="1" t="n">
        <v>45657</v>
      </c>
      <c r="D9570" t="inlineStr">
        <is>
          <t>VÄSTERNORRLANDS LÄN</t>
        </is>
      </c>
      <c r="E9570" t="inlineStr">
        <is>
          <t>ÅNGE</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34908-2023</t>
        </is>
      </c>
      <c r="B9571" s="1" t="n">
        <v>45142</v>
      </c>
      <c r="C9571" s="1" t="n">
        <v>45657</v>
      </c>
      <c r="D9571" t="inlineStr">
        <is>
          <t>VÄSTERNORRLANDS LÄN</t>
        </is>
      </c>
      <c r="E9571" t="inlineStr">
        <is>
          <t>ÖRNSKÖLDSVIK</t>
        </is>
      </c>
      <c r="F9571" t="inlineStr">
        <is>
          <t>Holmen skog AB</t>
        </is>
      </c>
      <c r="G9571" t="n">
        <v>16.4</v>
      </c>
      <c r="H9571" t="n">
        <v>0</v>
      </c>
      <c r="I9571" t="n">
        <v>0</v>
      </c>
      <c r="J9571" t="n">
        <v>0</v>
      </c>
      <c r="K9571" t="n">
        <v>0</v>
      </c>
      <c r="L9571" t="n">
        <v>0</v>
      </c>
      <c r="M9571" t="n">
        <v>0</v>
      </c>
      <c r="N9571" t="n">
        <v>0</v>
      </c>
      <c r="O9571" t="n">
        <v>0</v>
      </c>
      <c r="P9571" t="n">
        <v>0</v>
      </c>
      <c r="Q9571" t="n">
        <v>0</v>
      </c>
      <c r="R9571" s="2" t="inlineStr"/>
    </row>
    <row r="9572" ht="15" customHeight="1">
      <c r="A9572" t="inlineStr">
        <is>
          <t>A 35005-2023</t>
        </is>
      </c>
      <c r="B9572" s="1" t="n">
        <v>45143</v>
      </c>
      <c r="C9572" s="1" t="n">
        <v>45657</v>
      </c>
      <c r="D9572" t="inlineStr">
        <is>
          <t>VÄSTERNORRLANDS LÄN</t>
        </is>
      </c>
      <c r="E9572" t="inlineStr">
        <is>
          <t>KRAMFORS</t>
        </is>
      </c>
      <c r="F9572" t="inlineStr">
        <is>
          <t>SCA</t>
        </is>
      </c>
      <c r="G9572" t="n">
        <v>9.4</v>
      </c>
      <c r="H9572" t="n">
        <v>0</v>
      </c>
      <c r="I9572" t="n">
        <v>0</v>
      </c>
      <c r="J9572" t="n">
        <v>0</v>
      </c>
      <c r="K9572" t="n">
        <v>0</v>
      </c>
      <c r="L9572" t="n">
        <v>0</v>
      </c>
      <c r="M9572" t="n">
        <v>0</v>
      </c>
      <c r="N9572" t="n">
        <v>0</v>
      </c>
      <c r="O9572" t="n">
        <v>0</v>
      </c>
      <c r="P9572" t="n">
        <v>0</v>
      </c>
      <c r="Q9572" t="n">
        <v>0</v>
      </c>
      <c r="R9572" s="2" t="inlineStr"/>
    </row>
    <row r="9573" ht="15" customHeight="1">
      <c r="A9573" t="inlineStr">
        <is>
          <t>A 34959-2023</t>
        </is>
      </c>
      <c r="B9573" s="1" t="n">
        <v>45142</v>
      </c>
      <c r="C9573" s="1" t="n">
        <v>45657</v>
      </c>
      <c r="D9573" t="inlineStr">
        <is>
          <t>VÄSTERNORRLANDS LÄN</t>
        </is>
      </c>
      <c r="E9573" t="inlineStr">
        <is>
          <t>ÅNGE</t>
        </is>
      </c>
      <c r="F9573" t="inlineStr">
        <is>
          <t>Sveaskog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34965-2023</t>
        </is>
      </c>
      <c r="B9574" s="1" t="n">
        <v>45142</v>
      </c>
      <c r="C9574" s="1" t="n">
        <v>45657</v>
      </c>
      <c r="D9574" t="inlineStr">
        <is>
          <t>VÄSTERNORRLANDS LÄN</t>
        </is>
      </c>
      <c r="E9574" t="inlineStr">
        <is>
          <t>ÅNGE</t>
        </is>
      </c>
      <c r="F9574" t="inlineStr">
        <is>
          <t>Sveaskog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34971-2023</t>
        </is>
      </c>
      <c r="B9575" s="1" t="n">
        <v>45142</v>
      </c>
      <c r="C9575" s="1" t="n">
        <v>45657</v>
      </c>
      <c r="D9575" t="inlineStr">
        <is>
          <t>VÄSTERNORRLANDS LÄN</t>
        </is>
      </c>
      <c r="E9575" t="inlineStr">
        <is>
          <t>ÅNGE</t>
        </is>
      </c>
      <c r="F9575" t="inlineStr">
        <is>
          <t>Sveaskog</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35010-2023</t>
        </is>
      </c>
      <c r="B9576" s="1" t="n">
        <v>45142</v>
      </c>
      <c r="C9576" s="1" t="n">
        <v>45657</v>
      </c>
      <c r="D9576" t="inlineStr">
        <is>
          <t>VÄSTERNORRLANDS LÄN</t>
        </is>
      </c>
      <c r="E9576" t="inlineStr">
        <is>
          <t>SUNDSVALL</t>
        </is>
      </c>
      <c r="F9576" t="inlineStr">
        <is>
          <t>SCA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34954-2023</t>
        </is>
      </c>
      <c r="B9577" s="1" t="n">
        <v>45142</v>
      </c>
      <c r="C9577" s="1" t="n">
        <v>45657</v>
      </c>
      <c r="D9577" t="inlineStr">
        <is>
          <t>VÄSTERNORRLANDS LÄN</t>
        </is>
      </c>
      <c r="E9577" t="inlineStr">
        <is>
          <t>ÅNGE</t>
        </is>
      </c>
      <c r="G9577" t="n">
        <v>9.300000000000001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34962-2023</t>
        </is>
      </c>
      <c r="B9578" s="1" t="n">
        <v>45142</v>
      </c>
      <c r="C9578" s="1" t="n">
        <v>45657</v>
      </c>
      <c r="D9578" t="inlineStr">
        <is>
          <t>VÄSTERNORRLANDS LÄN</t>
        </is>
      </c>
      <c r="E9578" t="inlineStr">
        <is>
          <t>ÅNGE</t>
        </is>
      </c>
      <c r="F9578" t="inlineStr">
        <is>
          <t>Sveaskog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35016-2023</t>
        </is>
      </c>
      <c r="B9579" s="1" t="n">
        <v>45143</v>
      </c>
      <c r="C9579" s="1" t="n">
        <v>45657</v>
      </c>
      <c r="D9579" t="inlineStr">
        <is>
          <t>VÄSTERNORRLANDS LÄN</t>
        </is>
      </c>
      <c r="E9579" t="inlineStr">
        <is>
          <t>SUNDSVALL</t>
        </is>
      </c>
      <c r="F9579" t="inlineStr">
        <is>
          <t>Naturvårdsverket</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35100-2023</t>
        </is>
      </c>
      <c r="B9580" s="1" t="n">
        <v>45142</v>
      </c>
      <c r="C9580" s="1" t="n">
        <v>45657</v>
      </c>
      <c r="D9580" t="inlineStr">
        <is>
          <t>VÄSTERNORRLANDS LÄN</t>
        </is>
      </c>
      <c r="E9580" t="inlineStr">
        <is>
          <t>ÅNGE</t>
        </is>
      </c>
      <c r="F9580" t="inlineStr">
        <is>
          <t>SCA</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35147-2023</t>
        </is>
      </c>
      <c r="B9581" s="1" t="n">
        <v>45142</v>
      </c>
      <c r="C9581" s="1" t="n">
        <v>45657</v>
      </c>
      <c r="D9581" t="inlineStr">
        <is>
          <t>VÄSTERNORRLANDS LÄN</t>
        </is>
      </c>
      <c r="E9581" t="inlineStr">
        <is>
          <t>SOLLEFTEÅ</t>
        </is>
      </c>
      <c r="F9581" t="inlineStr">
        <is>
          <t>SCA</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35030-2023</t>
        </is>
      </c>
      <c r="B9582" s="1" t="n">
        <v>45145</v>
      </c>
      <c r="C9582" s="1" t="n">
        <v>45657</v>
      </c>
      <c r="D9582" t="inlineStr">
        <is>
          <t>VÄSTERNORRLANDS LÄN</t>
        </is>
      </c>
      <c r="E9582" t="inlineStr">
        <is>
          <t>ÖRNSKÖLDSVIK</t>
        </is>
      </c>
      <c r="F9582" t="inlineStr">
        <is>
          <t>Holmen skog AB</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35130-2023</t>
        </is>
      </c>
      <c r="B9583" s="1" t="n">
        <v>45145</v>
      </c>
      <c r="C9583" s="1" t="n">
        <v>45657</v>
      </c>
      <c r="D9583" t="inlineStr">
        <is>
          <t>VÄSTERNORRLANDS LÄN</t>
        </is>
      </c>
      <c r="E9583" t="inlineStr">
        <is>
          <t>ÖRNSKÖLDSVIK</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35231-2023</t>
        </is>
      </c>
      <c r="B9584" s="1" t="n">
        <v>45145</v>
      </c>
      <c r="C9584" s="1" t="n">
        <v>45657</v>
      </c>
      <c r="D9584" t="inlineStr">
        <is>
          <t>VÄSTERNORRLANDS LÄN</t>
        </is>
      </c>
      <c r="E9584" t="inlineStr">
        <is>
          <t>ÖRNSKÖLDSVIK</t>
        </is>
      </c>
      <c r="F9584" t="inlineStr">
        <is>
          <t>Holmen skog AB</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35259-2023</t>
        </is>
      </c>
      <c r="B9585" s="1" t="n">
        <v>45145</v>
      </c>
      <c r="C9585" s="1" t="n">
        <v>45657</v>
      </c>
      <c r="D9585" t="inlineStr">
        <is>
          <t>VÄSTERNORRLANDS LÄN</t>
        </is>
      </c>
      <c r="E9585" t="inlineStr">
        <is>
          <t>ÅNGE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35263-2023</t>
        </is>
      </c>
      <c r="B9586" s="1" t="n">
        <v>45146</v>
      </c>
      <c r="C9586" s="1" t="n">
        <v>45657</v>
      </c>
      <c r="D9586" t="inlineStr">
        <is>
          <t>VÄSTERNORRLANDS LÄN</t>
        </is>
      </c>
      <c r="E9586" t="inlineStr">
        <is>
          <t>SUNDSVALL</t>
        </is>
      </c>
      <c r="F9586" t="inlineStr">
        <is>
          <t>SCA</t>
        </is>
      </c>
      <c r="G9586" t="n">
        <v>18.4</v>
      </c>
      <c r="H9586" t="n">
        <v>0</v>
      </c>
      <c r="I9586" t="n">
        <v>0</v>
      </c>
      <c r="J9586" t="n">
        <v>0</v>
      </c>
      <c r="K9586" t="n">
        <v>0</v>
      </c>
      <c r="L9586" t="n">
        <v>0</v>
      </c>
      <c r="M9586" t="n">
        <v>0</v>
      </c>
      <c r="N9586" t="n">
        <v>0</v>
      </c>
      <c r="O9586" t="n">
        <v>0</v>
      </c>
      <c r="P9586" t="n">
        <v>0</v>
      </c>
      <c r="Q9586" t="n">
        <v>0</v>
      </c>
      <c r="R9586" s="2" t="inlineStr"/>
    </row>
    <row r="9587" ht="15" customHeight="1">
      <c r="A9587" t="inlineStr">
        <is>
          <t>A 35260-2023</t>
        </is>
      </c>
      <c r="B9587" s="1" t="n">
        <v>45145</v>
      </c>
      <c r="C9587" s="1" t="n">
        <v>45657</v>
      </c>
      <c r="D9587" t="inlineStr">
        <is>
          <t>VÄSTERNORRLANDS LÄN</t>
        </is>
      </c>
      <c r="E9587" t="inlineStr">
        <is>
          <t>ÅNGE</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35276-2023</t>
        </is>
      </c>
      <c r="B9588" s="1" t="n">
        <v>45146</v>
      </c>
      <c r="C9588" s="1" t="n">
        <v>45657</v>
      </c>
      <c r="D9588" t="inlineStr">
        <is>
          <t>VÄSTERNORRLANDS LÄN</t>
        </is>
      </c>
      <c r="E9588" t="inlineStr">
        <is>
          <t>SOLLEFTEÅ</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35271-2023</t>
        </is>
      </c>
      <c r="B9589" s="1" t="n">
        <v>45146</v>
      </c>
      <c r="C9589" s="1" t="n">
        <v>45657</v>
      </c>
      <c r="D9589" t="inlineStr">
        <is>
          <t>VÄSTERNORRLANDS LÄN</t>
        </is>
      </c>
      <c r="E9589" t="inlineStr">
        <is>
          <t>HÄRNÖSAND</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35261-2023</t>
        </is>
      </c>
      <c r="B9590" s="1" t="n">
        <v>45145</v>
      </c>
      <c r="C9590" s="1" t="n">
        <v>45657</v>
      </c>
      <c r="D9590" t="inlineStr">
        <is>
          <t>VÄSTERNORRLANDS LÄN</t>
        </is>
      </c>
      <c r="E9590" t="inlineStr">
        <is>
          <t>ÅNGE</t>
        </is>
      </c>
      <c r="F9590" t="inlineStr">
        <is>
          <t>SCA</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35277-2023</t>
        </is>
      </c>
      <c r="B9591" s="1" t="n">
        <v>45145</v>
      </c>
      <c r="C9591" s="1" t="n">
        <v>45657</v>
      </c>
      <c r="D9591" t="inlineStr">
        <is>
          <t>VÄSTERNORRLANDS LÄN</t>
        </is>
      </c>
      <c r="E9591" t="inlineStr">
        <is>
          <t>SOLLEFTEÅ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35297-2023</t>
        </is>
      </c>
      <c r="B9592" s="1" t="n">
        <v>45146</v>
      </c>
      <c r="C9592" s="1" t="n">
        <v>45657</v>
      </c>
      <c r="D9592" t="inlineStr">
        <is>
          <t>VÄSTERNORRLANDS LÄN</t>
        </is>
      </c>
      <c r="E9592" t="inlineStr">
        <is>
          <t>KRAMFORS</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35352-2023</t>
        </is>
      </c>
      <c r="B9593" s="1" t="n">
        <v>45145</v>
      </c>
      <c r="C9593" s="1" t="n">
        <v>45657</v>
      </c>
      <c r="D9593" t="inlineStr">
        <is>
          <t>VÄSTERNORRLANDS LÄN</t>
        </is>
      </c>
      <c r="E9593" t="inlineStr">
        <is>
          <t>SOLLEFTEÅ</t>
        </is>
      </c>
      <c r="F9593" t="inlineStr">
        <is>
          <t>SCA</t>
        </is>
      </c>
      <c r="G9593" t="n">
        <v>12.5</v>
      </c>
      <c r="H9593" t="n">
        <v>0</v>
      </c>
      <c r="I9593" t="n">
        <v>0</v>
      </c>
      <c r="J9593" t="n">
        <v>0</v>
      </c>
      <c r="K9593" t="n">
        <v>0</v>
      </c>
      <c r="L9593" t="n">
        <v>0</v>
      </c>
      <c r="M9593" t="n">
        <v>0</v>
      </c>
      <c r="N9593" t="n">
        <v>0</v>
      </c>
      <c r="O9593" t="n">
        <v>0</v>
      </c>
      <c r="P9593" t="n">
        <v>0</v>
      </c>
      <c r="Q9593" t="n">
        <v>0</v>
      </c>
      <c r="R9593" s="2" t="inlineStr"/>
    </row>
    <row r="9594" ht="15" customHeight="1">
      <c r="A9594" t="inlineStr">
        <is>
          <t>A 35296-2023</t>
        </is>
      </c>
      <c r="B9594" s="1" t="n">
        <v>45146</v>
      </c>
      <c r="C9594" s="1" t="n">
        <v>45657</v>
      </c>
      <c r="D9594" t="inlineStr">
        <is>
          <t>VÄSTERNORRLANDS LÄN</t>
        </is>
      </c>
      <c r="E9594" t="inlineStr">
        <is>
          <t>KRAMFORS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35328-2023</t>
        </is>
      </c>
      <c r="B9595" s="1" t="n">
        <v>45145</v>
      </c>
      <c r="C9595" s="1" t="n">
        <v>45657</v>
      </c>
      <c r="D9595" t="inlineStr">
        <is>
          <t>VÄSTERNORRLANDS LÄN</t>
        </is>
      </c>
      <c r="E9595" t="inlineStr">
        <is>
          <t>ÅNGE</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35344-2023</t>
        </is>
      </c>
      <c r="B9596" s="1" t="n">
        <v>45145</v>
      </c>
      <c r="C9596" s="1" t="n">
        <v>45657</v>
      </c>
      <c r="D9596" t="inlineStr">
        <is>
          <t>VÄSTERNORRLANDS LÄN</t>
        </is>
      </c>
      <c r="E9596" t="inlineStr">
        <is>
          <t>HÄRNÖSAND</t>
        </is>
      </c>
      <c r="G9596" t="n">
        <v>12.4</v>
      </c>
      <c r="H9596" t="n">
        <v>0</v>
      </c>
      <c r="I9596" t="n">
        <v>0</v>
      </c>
      <c r="J9596" t="n">
        <v>0</v>
      </c>
      <c r="K9596" t="n">
        <v>0</v>
      </c>
      <c r="L9596" t="n">
        <v>0</v>
      </c>
      <c r="M9596" t="n">
        <v>0</v>
      </c>
      <c r="N9596" t="n">
        <v>0</v>
      </c>
      <c r="O9596" t="n">
        <v>0</v>
      </c>
      <c r="P9596" t="n">
        <v>0</v>
      </c>
      <c r="Q9596" t="n">
        <v>0</v>
      </c>
      <c r="R9596" s="2" t="inlineStr"/>
    </row>
    <row r="9597" ht="15" customHeight="1">
      <c r="A9597" t="inlineStr">
        <is>
          <t>A 35342-2023</t>
        </is>
      </c>
      <c r="B9597" s="1" t="n">
        <v>45145</v>
      </c>
      <c r="C9597" s="1" t="n">
        <v>45657</v>
      </c>
      <c r="D9597" t="inlineStr">
        <is>
          <t>VÄSTERNORRLANDS LÄN</t>
        </is>
      </c>
      <c r="E9597" t="inlineStr">
        <is>
          <t>TIMRÅ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35366-2023</t>
        </is>
      </c>
      <c r="B9598" s="1" t="n">
        <v>45145</v>
      </c>
      <c r="C9598" s="1" t="n">
        <v>45657</v>
      </c>
      <c r="D9598" t="inlineStr">
        <is>
          <t>VÄSTERNORRLANDS LÄN</t>
        </is>
      </c>
      <c r="E9598" t="inlineStr">
        <is>
          <t>ÅNGE</t>
        </is>
      </c>
      <c r="F9598" t="inlineStr">
        <is>
          <t>SCA</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35193-2023</t>
        </is>
      </c>
      <c r="B9599" s="1" t="n">
        <v>45145</v>
      </c>
      <c r="C9599" s="1" t="n">
        <v>45657</v>
      </c>
      <c r="D9599" t="inlineStr">
        <is>
          <t>VÄSTERNORRLANDS LÄN</t>
        </is>
      </c>
      <c r="E9599" t="inlineStr">
        <is>
          <t>ÖRNSKÖLDSVIK</t>
        </is>
      </c>
      <c r="F9599" t="inlineStr">
        <is>
          <t>Holmen skog AB</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35254-2023</t>
        </is>
      </c>
      <c r="B9600" s="1" t="n">
        <v>45145</v>
      </c>
      <c r="C9600" s="1" t="n">
        <v>45657</v>
      </c>
      <c r="D9600" t="inlineStr">
        <is>
          <t>VÄSTERNORRLANDS LÄN</t>
        </is>
      </c>
      <c r="E9600" t="inlineStr">
        <is>
          <t>SUNDSVALL</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35258-2023</t>
        </is>
      </c>
      <c r="B9601" s="1" t="n">
        <v>45145</v>
      </c>
      <c r="C9601" s="1" t="n">
        <v>45657</v>
      </c>
      <c r="D9601" t="inlineStr">
        <is>
          <t>VÄSTERNORRLANDS LÄN</t>
        </is>
      </c>
      <c r="E9601" t="inlineStr">
        <is>
          <t>ÅNGE</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35262-2023</t>
        </is>
      </c>
      <c r="B9602" s="1" t="n">
        <v>45145</v>
      </c>
      <c r="C9602" s="1" t="n">
        <v>45657</v>
      </c>
      <c r="D9602" t="inlineStr">
        <is>
          <t>VÄSTERNORRLANDS LÄN</t>
        </is>
      </c>
      <c r="E9602" t="inlineStr">
        <is>
          <t>SUNDSVALL</t>
        </is>
      </c>
      <c r="F9602" t="inlineStr">
        <is>
          <t>SCA</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35266-2023</t>
        </is>
      </c>
      <c r="B9603" s="1" t="n">
        <v>45146</v>
      </c>
      <c r="C9603" s="1" t="n">
        <v>45657</v>
      </c>
      <c r="D9603" t="inlineStr">
        <is>
          <t>VÄSTERNORRLANDS LÄN</t>
        </is>
      </c>
      <c r="E9603" t="inlineStr">
        <is>
          <t>ÖRNSKÖLDSVIK</t>
        </is>
      </c>
      <c r="F9603" t="inlineStr">
        <is>
          <t>SCA</t>
        </is>
      </c>
      <c r="G9603" t="n">
        <v>82.3</v>
      </c>
      <c r="H9603" t="n">
        <v>0</v>
      </c>
      <c r="I9603" t="n">
        <v>0</v>
      </c>
      <c r="J9603" t="n">
        <v>0</v>
      </c>
      <c r="K9603" t="n">
        <v>0</v>
      </c>
      <c r="L9603" t="n">
        <v>0</v>
      </c>
      <c r="M9603" t="n">
        <v>0</v>
      </c>
      <c r="N9603" t="n">
        <v>0</v>
      </c>
      <c r="O9603" t="n">
        <v>0</v>
      </c>
      <c r="P9603" t="n">
        <v>0</v>
      </c>
      <c r="Q9603" t="n">
        <v>0</v>
      </c>
      <c r="R9603" s="2" t="inlineStr"/>
    </row>
    <row r="9604" ht="15" customHeight="1">
      <c r="A9604" t="inlineStr">
        <is>
          <t>A 35270-2023</t>
        </is>
      </c>
      <c r="B9604" s="1" t="n">
        <v>45146</v>
      </c>
      <c r="C9604" s="1" t="n">
        <v>45657</v>
      </c>
      <c r="D9604" t="inlineStr">
        <is>
          <t>VÄSTERNORRLANDS LÄN</t>
        </is>
      </c>
      <c r="E9604" t="inlineStr">
        <is>
          <t>HÄRNÖSAND</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35298-2023</t>
        </is>
      </c>
      <c r="B9605" s="1" t="n">
        <v>45146</v>
      </c>
      <c r="C9605" s="1" t="n">
        <v>45657</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35379-2023</t>
        </is>
      </c>
      <c r="B9606" s="1" t="n">
        <v>45145</v>
      </c>
      <c r="C9606" s="1" t="n">
        <v>45657</v>
      </c>
      <c r="D9606" t="inlineStr">
        <is>
          <t>VÄSTERNORRLANDS LÄN</t>
        </is>
      </c>
      <c r="E9606" t="inlineStr">
        <is>
          <t>ÖRNSKÖLDSVIK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35395-2023</t>
        </is>
      </c>
      <c r="B9607" s="1" t="n">
        <v>45146</v>
      </c>
      <c r="C9607" s="1" t="n">
        <v>45657</v>
      </c>
      <c r="D9607" t="inlineStr">
        <is>
          <t>VÄSTERNORRLANDS LÄN</t>
        </is>
      </c>
      <c r="E9607" t="inlineStr">
        <is>
          <t>ÖRNSKÖLDSVIK</t>
        </is>
      </c>
      <c r="F9607" t="inlineStr">
        <is>
          <t>Holmen skog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35399-2023</t>
        </is>
      </c>
      <c r="B9608" s="1" t="n">
        <v>45146</v>
      </c>
      <c r="C9608" s="1" t="n">
        <v>45657</v>
      </c>
      <c r="D9608" t="inlineStr">
        <is>
          <t>VÄSTERNORRLANDS LÄN</t>
        </is>
      </c>
      <c r="E9608" t="inlineStr">
        <is>
          <t>ÖRNSKÖLDSVIK</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35451-2023</t>
        </is>
      </c>
      <c r="B9609" s="1" t="n">
        <v>45146</v>
      </c>
      <c r="C9609" s="1" t="n">
        <v>45657</v>
      </c>
      <c r="D9609" t="inlineStr">
        <is>
          <t>VÄSTERNORRLANDS LÄN</t>
        </is>
      </c>
      <c r="E9609" t="inlineStr">
        <is>
          <t>ÖRNSKÖLDSVIK</t>
        </is>
      </c>
      <c r="F9609" t="inlineStr">
        <is>
          <t>Holmen skog AB</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35441-2023</t>
        </is>
      </c>
      <c r="B9610" s="1" t="n">
        <v>45146</v>
      </c>
      <c r="C9610" s="1" t="n">
        <v>45657</v>
      </c>
      <c r="D9610" t="inlineStr">
        <is>
          <t>VÄSTERNORRLANDS LÄN</t>
        </is>
      </c>
      <c r="E9610" t="inlineStr">
        <is>
          <t>ÖRNSKÖLDSVIK</t>
        </is>
      </c>
      <c r="G9610" t="n">
        <v>10.9</v>
      </c>
      <c r="H9610" t="n">
        <v>0</v>
      </c>
      <c r="I9610" t="n">
        <v>0</v>
      </c>
      <c r="J9610" t="n">
        <v>0</v>
      </c>
      <c r="K9610" t="n">
        <v>0</v>
      </c>
      <c r="L9610" t="n">
        <v>0</v>
      </c>
      <c r="M9610" t="n">
        <v>0</v>
      </c>
      <c r="N9610" t="n">
        <v>0</v>
      </c>
      <c r="O9610" t="n">
        <v>0</v>
      </c>
      <c r="P9610" t="n">
        <v>0</v>
      </c>
      <c r="Q9610" t="n">
        <v>0</v>
      </c>
      <c r="R9610" s="2" t="inlineStr"/>
    </row>
    <row r="9611" ht="15" customHeight="1">
      <c r="A9611" t="inlineStr">
        <is>
          <t>A 35422-2023</t>
        </is>
      </c>
      <c r="B9611" s="1" t="n">
        <v>45146</v>
      </c>
      <c r="C9611" s="1" t="n">
        <v>45657</v>
      </c>
      <c r="D9611" t="inlineStr">
        <is>
          <t>VÄSTERNORRLANDS LÄN</t>
        </is>
      </c>
      <c r="E9611" t="inlineStr">
        <is>
          <t>ÖRNSKÖLDSVIK</t>
        </is>
      </c>
      <c r="F9611" t="inlineStr">
        <is>
          <t>Holmen skog AB</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35470-2023</t>
        </is>
      </c>
      <c r="B9612" s="1" t="n">
        <v>45146</v>
      </c>
      <c r="C9612" s="1" t="n">
        <v>45657</v>
      </c>
      <c r="D9612" t="inlineStr">
        <is>
          <t>VÄSTERNORRLANDS LÄN</t>
        </is>
      </c>
      <c r="E9612" t="inlineStr">
        <is>
          <t>SOLLEFTEÅ</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35499-2023</t>
        </is>
      </c>
      <c r="B9613" s="1" t="n">
        <v>45147</v>
      </c>
      <c r="C9613" s="1" t="n">
        <v>45657</v>
      </c>
      <c r="D9613" t="inlineStr">
        <is>
          <t>VÄSTERNORRLANDS LÄN</t>
        </is>
      </c>
      <c r="E9613" t="inlineStr">
        <is>
          <t>SUNDSVALL</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35507-2023</t>
        </is>
      </c>
      <c r="B9614" s="1" t="n">
        <v>45147</v>
      </c>
      <c r="C9614" s="1" t="n">
        <v>45657</v>
      </c>
      <c r="D9614" t="inlineStr">
        <is>
          <t>VÄSTERNORRLANDS LÄN</t>
        </is>
      </c>
      <c r="E9614" t="inlineStr">
        <is>
          <t>ÖRNSKÖLDSVIK</t>
        </is>
      </c>
      <c r="F9614" t="inlineStr">
        <is>
          <t>SCA</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35511-2023</t>
        </is>
      </c>
      <c r="B9615" s="1" t="n">
        <v>45146</v>
      </c>
      <c r="C9615" s="1" t="n">
        <v>45657</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35560-2023</t>
        </is>
      </c>
      <c r="B9616" s="1" t="n">
        <v>45146</v>
      </c>
      <c r="C9616" s="1" t="n">
        <v>45657</v>
      </c>
      <c r="D9616" t="inlineStr">
        <is>
          <t>VÄSTERNORRLANDS LÄN</t>
        </is>
      </c>
      <c r="E9616" t="inlineStr">
        <is>
          <t>HÄRNÖSAND</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35555-2023</t>
        </is>
      </c>
      <c r="B9617" s="1" t="n">
        <v>45146</v>
      </c>
      <c r="C9617" s="1" t="n">
        <v>45657</v>
      </c>
      <c r="D9617" t="inlineStr">
        <is>
          <t>VÄSTERNORRLANDS LÄN</t>
        </is>
      </c>
      <c r="E9617" t="inlineStr">
        <is>
          <t>ÖRNSKÖLDSVIK</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35500-2023</t>
        </is>
      </c>
      <c r="B9618" s="1" t="n">
        <v>45147</v>
      </c>
      <c r="C9618" s="1" t="n">
        <v>45657</v>
      </c>
      <c r="D9618" t="inlineStr">
        <is>
          <t>VÄSTERNORRLANDS LÄN</t>
        </is>
      </c>
      <c r="E9618" t="inlineStr">
        <is>
          <t>SUNDSVALL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35504-2023</t>
        </is>
      </c>
      <c r="B9619" s="1" t="n">
        <v>45147</v>
      </c>
      <c r="C9619" s="1" t="n">
        <v>45657</v>
      </c>
      <c r="D9619" t="inlineStr">
        <is>
          <t>VÄSTERNORRLANDS LÄN</t>
        </is>
      </c>
      <c r="E9619" t="inlineStr">
        <is>
          <t>SUNDSVALL</t>
        </is>
      </c>
      <c r="F9619" t="inlineStr">
        <is>
          <t>Naturvårdsverket</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35509-2023</t>
        </is>
      </c>
      <c r="B9620" s="1" t="n">
        <v>45147</v>
      </c>
      <c r="C9620" s="1" t="n">
        <v>45657</v>
      </c>
      <c r="D9620" t="inlineStr">
        <is>
          <t>VÄSTERNORRLANDS LÄN</t>
        </is>
      </c>
      <c r="E9620" t="inlineStr">
        <is>
          <t>SOLLEFTEÅ</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35530-2023</t>
        </is>
      </c>
      <c r="B9621" s="1" t="n">
        <v>45146</v>
      </c>
      <c r="C9621" s="1" t="n">
        <v>45657</v>
      </c>
      <c r="D9621" t="inlineStr">
        <is>
          <t>VÄSTERNORRLANDS LÄN</t>
        </is>
      </c>
      <c r="E9621" t="inlineStr">
        <is>
          <t>SUNDSVALL</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35568-2023</t>
        </is>
      </c>
      <c r="B9622" s="1" t="n">
        <v>45146</v>
      </c>
      <c r="C9622" s="1" t="n">
        <v>45657</v>
      </c>
      <c r="D9622" t="inlineStr">
        <is>
          <t>VÄSTERNORRLANDS LÄN</t>
        </is>
      </c>
      <c r="E9622" t="inlineStr">
        <is>
          <t>TIMRÅ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35637-2023</t>
        </is>
      </c>
      <c r="B9623" s="1" t="n">
        <v>45146</v>
      </c>
      <c r="C9623" s="1" t="n">
        <v>45657</v>
      </c>
      <c r="D9623" t="inlineStr">
        <is>
          <t>VÄSTERNORRLANDS LÄN</t>
        </is>
      </c>
      <c r="E9623" t="inlineStr">
        <is>
          <t>ÖRNSKÖLDSVIK</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35535-2023</t>
        </is>
      </c>
      <c r="B9624" s="1" t="n">
        <v>45146</v>
      </c>
      <c r="C9624" s="1" t="n">
        <v>45657</v>
      </c>
      <c r="D9624" t="inlineStr">
        <is>
          <t>VÄSTERNORRLANDS LÄN</t>
        </is>
      </c>
      <c r="E9624" t="inlineStr">
        <is>
          <t>SUNDSVALL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35569-2023</t>
        </is>
      </c>
      <c r="B9625" s="1" t="n">
        <v>45147</v>
      </c>
      <c r="C9625" s="1" t="n">
        <v>45657</v>
      </c>
      <c r="D9625" t="inlineStr">
        <is>
          <t>VÄSTERNORRLANDS LÄN</t>
        </is>
      </c>
      <c r="E9625" t="inlineStr">
        <is>
          <t>SOLLEFTEÅ</t>
        </is>
      </c>
      <c r="F9625" t="inlineStr">
        <is>
          <t>Holmen skog AB</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35578-2023</t>
        </is>
      </c>
      <c r="B9626" s="1" t="n">
        <v>45147</v>
      </c>
      <c r="C9626" s="1" t="n">
        <v>45657</v>
      </c>
      <c r="D9626" t="inlineStr">
        <is>
          <t>VÄSTERNORRLANDS LÄN</t>
        </is>
      </c>
      <c r="E9626" t="inlineStr">
        <is>
          <t>ÖRNSKÖLDSVIK</t>
        </is>
      </c>
      <c r="F9626" t="inlineStr">
        <is>
          <t>Holmen skog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35601-2023</t>
        </is>
      </c>
      <c r="B9627" s="1" t="n">
        <v>45147</v>
      </c>
      <c r="C9627" s="1" t="n">
        <v>45657</v>
      </c>
      <c r="D9627" t="inlineStr">
        <is>
          <t>VÄSTERNORRLANDS LÄN</t>
        </is>
      </c>
      <c r="E9627" t="inlineStr">
        <is>
          <t>ÖRNSKÖLDSVIK</t>
        </is>
      </c>
      <c r="F9627" t="inlineStr">
        <is>
          <t>Holmen skog AB</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35624-2023</t>
        </is>
      </c>
      <c r="B9628" s="1" t="n">
        <v>45147</v>
      </c>
      <c r="C9628" s="1" t="n">
        <v>45657</v>
      </c>
      <c r="D9628" t="inlineStr">
        <is>
          <t>VÄSTERNORRLANDS LÄN</t>
        </is>
      </c>
      <c r="E9628" t="inlineStr">
        <is>
          <t>ÖRNSKÖLDSVIK</t>
        </is>
      </c>
      <c r="F9628" t="inlineStr">
        <is>
          <t>Holmen skog AB</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35682-2023</t>
        </is>
      </c>
      <c r="B9629" s="1" t="n">
        <v>45147</v>
      </c>
      <c r="C9629" s="1" t="n">
        <v>45657</v>
      </c>
      <c r="D9629" t="inlineStr">
        <is>
          <t>VÄSTERNORRLANDS LÄN</t>
        </is>
      </c>
      <c r="E9629" t="inlineStr">
        <is>
          <t>SUNDSVALL</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35746-2023</t>
        </is>
      </c>
      <c r="B9630" s="1" t="n">
        <v>45148</v>
      </c>
      <c r="C9630" s="1" t="n">
        <v>45657</v>
      </c>
      <c r="D9630" t="inlineStr">
        <is>
          <t>VÄSTERNORRLANDS LÄN</t>
        </is>
      </c>
      <c r="E9630" t="inlineStr">
        <is>
          <t>SOLLEFTEÅ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35762-2023</t>
        </is>
      </c>
      <c r="B9631" s="1" t="n">
        <v>45147</v>
      </c>
      <c r="C9631" s="1" t="n">
        <v>45657</v>
      </c>
      <c r="D9631" t="inlineStr">
        <is>
          <t>VÄSTERNORRLANDS LÄN</t>
        </is>
      </c>
      <c r="E9631" t="inlineStr">
        <is>
          <t>ÅNGE</t>
        </is>
      </c>
      <c r="F9631" t="inlineStr">
        <is>
          <t>SCA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35602-2023</t>
        </is>
      </c>
      <c r="B9632" s="1" t="n">
        <v>45147</v>
      </c>
      <c r="C9632" s="1" t="n">
        <v>45657</v>
      </c>
      <c r="D9632" t="inlineStr">
        <is>
          <t>VÄSTERNORRLANDS LÄN</t>
        </is>
      </c>
      <c r="E9632" t="inlineStr">
        <is>
          <t>ÖRNSKÖLDSVIK</t>
        </is>
      </c>
      <c r="F9632" t="inlineStr">
        <is>
          <t>Holmen skog AB</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35556-2023</t>
        </is>
      </c>
      <c r="B9633" s="1" t="n">
        <v>45147</v>
      </c>
      <c r="C9633" s="1" t="n">
        <v>45657</v>
      </c>
      <c r="D9633" t="inlineStr">
        <is>
          <t>VÄSTERNORRLANDS LÄN</t>
        </is>
      </c>
      <c r="E9633" t="inlineStr">
        <is>
          <t>SOLLEFTEÅ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35743-2023</t>
        </is>
      </c>
      <c r="B9634" s="1" t="n">
        <v>45147</v>
      </c>
      <c r="C9634" s="1" t="n">
        <v>45657</v>
      </c>
      <c r="D9634" t="inlineStr">
        <is>
          <t>VÄSTERNORRLANDS LÄN</t>
        </is>
      </c>
      <c r="E9634" t="inlineStr">
        <is>
          <t>SUNDSVALL</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35747-2023</t>
        </is>
      </c>
      <c r="B9635" s="1" t="n">
        <v>45147</v>
      </c>
      <c r="C9635" s="1" t="n">
        <v>45657</v>
      </c>
      <c r="D9635" t="inlineStr">
        <is>
          <t>VÄSTERNORRLANDS LÄN</t>
        </is>
      </c>
      <c r="E9635" t="inlineStr">
        <is>
          <t>ÅNGE</t>
        </is>
      </c>
      <c r="F9635" t="inlineStr">
        <is>
          <t>SCA</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35656-2023</t>
        </is>
      </c>
      <c r="B9636" s="1" t="n">
        <v>45147</v>
      </c>
      <c r="C9636" s="1" t="n">
        <v>45657</v>
      </c>
      <c r="D9636" t="inlineStr">
        <is>
          <t>VÄSTERNORRLANDS LÄN</t>
        </is>
      </c>
      <c r="E9636" t="inlineStr">
        <is>
          <t>ÖRNSKÖLDSVIK</t>
        </is>
      </c>
      <c r="F9636" t="inlineStr">
        <is>
          <t>Holmen skog AB</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35763-2023</t>
        </is>
      </c>
      <c r="B9637" s="1" t="n">
        <v>45147</v>
      </c>
      <c r="C9637" s="1" t="n">
        <v>45657</v>
      </c>
      <c r="D9637" t="inlineStr">
        <is>
          <t>VÄSTERNORRLANDS LÄN</t>
        </is>
      </c>
      <c r="E9637" t="inlineStr">
        <is>
          <t>TIMRÅ</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35544-2023</t>
        </is>
      </c>
      <c r="B9638" s="1" t="n">
        <v>45147</v>
      </c>
      <c r="C9638" s="1" t="n">
        <v>45657</v>
      </c>
      <c r="D9638" t="inlineStr">
        <is>
          <t>VÄSTERNORRLANDS LÄN</t>
        </is>
      </c>
      <c r="E9638" t="inlineStr">
        <is>
          <t>ÖRNSKÖLDSVIK</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35744-2023</t>
        </is>
      </c>
      <c r="B9639" s="1" t="n">
        <v>45148</v>
      </c>
      <c r="C9639" s="1" t="n">
        <v>45657</v>
      </c>
      <c r="D9639" t="inlineStr">
        <is>
          <t>VÄSTERNORRLANDS LÄN</t>
        </is>
      </c>
      <c r="E9639" t="inlineStr">
        <is>
          <t>KRAMFORS</t>
        </is>
      </c>
      <c r="F9639" t="inlineStr">
        <is>
          <t>SCA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35748-2023</t>
        </is>
      </c>
      <c r="B9640" s="1" t="n">
        <v>45148</v>
      </c>
      <c r="C9640" s="1" t="n">
        <v>45657</v>
      </c>
      <c r="D9640" t="inlineStr">
        <is>
          <t>VÄSTERNORRLANDS LÄN</t>
        </is>
      </c>
      <c r="E9640" t="inlineStr">
        <is>
          <t>ÅNGE</t>
        </is>
      </c>
      <c r="F9640" t="inlineStr">
        <is>
          <t>SCA</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35764-2023</t>
        </is>
      </c>
      <c r="B9641" s="1" t="n">
        <v>45147</v>
      </c>
      <c r="C9641" s="1" t="n">
        <v>45657</v>
      </c>
      <c r="D9641" t="inlineStr">
        <is>
          <t>VÄSTERNORRLANDS LÄN</t>
        </is>
      </c>
      <c r="E9641" t="inlineStr">
        <is>
          <t>SOLLEFTEÅ</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35785-2023</t>
        </is>
      </c>
      <c r="B9642" s="1" t="n">
        <v>45147</v>
      </c>
      <c r="C9642" s="1" t="n">
        <v>45657</v>
      </c>
      <c r="D9642" t="inlineStr">
        <is>
          <t>VÄSTERNORRLANDS LÄN</t>
        </is>
      </c>
      <c r="E9642" t="inlineStr">
        <is>
          <t>HÄRNÖSAND</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35818-2023</t>
        </is>
      </c>
      <c r="B9643" s="1" t="n">
        <v>45147</v>
      </c>
      <c r="C9643" s="1" t="n">
        <v>45657</v>
      </c>
      <c r="D9643" t="inlineStr">
        <is>
          <t>VÄSTERNORRLANDS LÄN</t>
        </is>
      </c>
      <c r="E9643" t="inlineStr">
        <is>
          <t>SUNDSVALL</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35745-2023</t>
        </is>
      </c>
      <c r="B9644" s="1" t="n">
        <v>45148</v>
      </c>
      <c r="C9644" s="1" t="n">
        <v>45657</v>
      </c>
      <c r="D9644" t="inlineStr">
        <is>
          <t>VÄSTERNORRLANDS LÄN</t>
        </is>
      </c>
      <c r="E9644" t="inlineStr">
        <is>
          <t>SOLLEFTEÅ</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35749-2023</t>
        </is>
      </c>
      <c r="B9645" s="1" t="n">
        <v>45147</v>
      </c>
      <c r="C9645" s="1" t="n">
        <v>45657</v>
      </c>
      <c r="D9645" t="inlineStr">
        <is>
          <t>VÄSTERNORRLANDS LÄN</t>
        </is>
      </c>
      <c r="E9645" t="inlineStr">
        <is>
          <t>ÅNGE</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35761-2023</t>
        </is>
      </c>
      <c r="B9646" s="1" t="n">
        <v>45148</v>
      </c>
      <c r="C9646" s="1" t="n">
        <v>45657</v>
      </c>
      <c r="D9646" t="inlineStr">
        <is>
          <t>VÄSTERNORRLANDS LÄN</t>
        </is>
      </c>
      <c r="E9646" t="inlineStr">
        <is>
          <t>SOLLEFTEÅ</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35815-2023</t>
        </is>
      </c>
      <c r="B9647" s="1" t="n">
        <v>45147</v>
      </c>
      <c r="C9647" s="1" t="n">
        <v>45657</v>
      </c>
      <c r="D9647" t="inlineStr">
        <is>
          <t>VÄSTERNORRLANDS LÄN</t>
        </is>
      </c>
      <c r="E9647" t="inlineStr">
        <is>
          <t>SUNDSVALL</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35808-2023</t>
        </is>
      </c>
      <c r="B9648" s="1" t="n">
        <v>45147</v>
      </c>
      <c r="C9648" s="1" t="n">
        <v>45657</v>
      </c>
      <c r="D9648" t="inlineStr">
        <is>
          <t>VÄSTERNORRLANDS LÄN</t>
        </is>
      </c>
      <c r="E9648" t="inlineStr">
        <is>
          <t>HÄRNÖSAND</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35805-2023</t>
        </is>
      </c>
      <c r="B9649" s="1" t="n">
        <v>45147</v>
      </c>
      <c r="C9649" s="1" t="n">
        <v>45657</v>
      </c>
      <c r="D9649" t="inlineStr">
        <is>
          <t>VÄSTERNORRLANDS LÄN</t>
        </is>
      </c>
      <c r="E9649" t="inlineStr">
        <is>
          <t>ÖRNSKÖLDSVIK</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35783-2023</t>
        </is>
      </c>
      <c r="B9650" s="1" t="n">
        <v>45148</v>
      </c>
      <c r="C9650" s="1" t="n">
        <v>45657</v>
      </c>
      <c r="D9650" t="inlineStr">
        <is>
          <t>VÄSTERNORRLANDS LÄN</t>
        </is>
      </c>
      <c r="E9650" t="inlineStr">
        <is>
          <t>ÖRNSKÖLDSVIK</t>
        </is>
      </c>
      <c r="F9650" t="inlineStr">
        <is>
          <t>Holmen skog AB</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35870-2023</t>
        </is>
      </c>
      <c r="B9651" s="1" t="n">
        <v>45148</v>
      </c>
      <c r="C9651" s="1" t="n">
        <v>45657</v>
      </c>
      <c r="D9651" t="inlineStr">
        <is>
          <t>VÄSTERNORRLANDS LÄN</t>
        </is>
      </c>
      <c r="E9651" t="inlineStr">
        <is>
          <t>ÖRNSKÖLDSVIK</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35881-2023</t>
        </is>
      </c>
      <c r="B9652" s="1" t="n">
        <v>45148</v>
      </c>
      <c r="C9652" s="1" t="n">
        <v>45657</v>
      </c>
      <c r="D9652" t="inlineStr">
        <is>
          <t>VÄSTERNORRLANDS LÄN</t>
        </is>
      </c>
      <c r="E9652" t="inlineStr">
        <is>
          <t>ÖRNSKÖLDSVIK</t>
        </is>
      </c>
      <c r="F9652" t="inlineStr">
        <is>
          <t>Holmen skog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35939-2023</t>
        </is>
      </c>
      <c r="B9653" s="1" t="n">
        <v>45148</v>
      </c>
      <c r="C9653" s="1" t="n">
        <v>45657</v>
      </c>
      <c r="D9653" t="inlineStr">
        <is>
          <t>VÄSTERNORRLANDS LÄN</t>
        </is>
      </c>
      <c r="E9653" t="inlineStr">
        <is>
          <t>TIMRÅ</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35945-2023</t>
        </is>
      </c>
      <c r="B9654" s="1" t="n">
        <v>45148</v>
      </c>
      <c r="C9654" s="1" t="n">
        <v>45657</v>
      </c>
      <c r="D9654" t="inlineStr">
        <is>
          <t>VÄSTERNORRLANDS LÄN</t>
        </is>
      </c>
      <c r="E9654" t="inlineStr">
        <is>
          <t>SOLLEFTEÅ</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35949-2023</t>
        </is>
      </c>
      <c r="B9655" s="1" t="n">
        <v>45148</v>
      </c>
      <c r="C9655" s="1" t="n">
        <v>45657</v>
      </c>
      <c r="D9655" t="inlineStr">
        <is>
          <t>VÄSTERNORRLANDS LÄN</t>
        </is>
      </c>
      <c r="E9655" t="inlineStr">
        <is>
          <t>ÖRNSKÖLDSVIK</t>
        </is>
      </c>
      <c r="F9655" t="inlineStr">
        <is>
          <t>Holmen skog AB</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35976-2023</t>
        </is>
      </c>
      <c r="B9656" s="1" t="n">
        <v>45149</v>
      </c>
      <c r="C9656" s="1" t="n">
        <v>45657</v>
      </c>
      <c r="D9656" t="inlineStr">
        <is>
          <t>VÄSTERNORRLANDS LÄN</t>
        </is>
      </c>
      <c r="E9656" t="inlineStr">
        <is>
          <t>SUNDSVALL</t>
        </is>
      </c>
      <c r="F9656" t="inlineStr">
        <is>
          <t>SCA</t>
        </is>
      </c>
      <c r="G9656" t="n">
        <v>15.6</v>
      </c>
      <c r="H9656" t="n">
        <v>0</v>
      </c>
      <c r="I9656" t="n">
        <v>0</v>
      </c>
      <c r="J9656" t="n">
        <v>0</v>
      </c>
      <c r="K9656" t="n">
        <v>0</v>
      </c>
      <c r="L9656" t="n">
        <v>0</v>
      </c>
      <c r="M9656" t="n">
        <v>0</v>
      </c>
      <c r="N9656" t="n">
        <v>0</v>
      </c>
      <c r="O9656" t="n">
        <v>0</v>
      </c>
      <c r="P9656" t="n">
        <v>0</v>
      </c>
      <c r="Q9656" t="n">
        <v>0</v>
      </c>
      <c r="R9656" s="2" t="inlineStr"/>
    </row>
    <row r="9657" ht="15" customHeight="1">
      <c r="A9657" t="inlineStr">
        <is>
          <t>A 35980-2023</t>
        </is>
      </c>
      <c r="B9657" s="1" t="n">
        <v>45149</v>
      </c>
      <c r="C9657" s="1" t="n">
        <v>45657</v>
      </c>
      <c r="D9657" t="inlineStr">
        <is>
          <t>VÄSTERNORRLANDS LÄN</t>
        </is>
      </c>
      <c r="E9657" t="inlineStr">
        <is>
          <t>SOLLEFTEÅ</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35975-2023</t>
        </is>
      </c>
      <c r="B9658" s="1" t="n">
        <v>45148</v>
      </c>
      <c r="C9658" s="1" t="n">
        <v>45657</v>
      </c>
      <c r="D9658" t="inlineStr">
        <is>
          <t>VÄSTERNORRLANDS LÄN</t>
        </is>
      </c>
      <c r="E9658" t="inlineStr">
        <is>
          <t>SOLLEFTEÅ</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35979-2023</t>
        </is>
      </c>
      <c r="B9659" s="1" t="n">
        <v>45148</v>
      </c>
      <c r="C9659" s="1" t="n">
        <v>45657</v>
      </c>
      <c r="D9659" t="inlineStr">
        <is>
          <t>VÄSTERNORRLANDS LÄN</t>
        </is>
      </c>
      <c r="E9659" t="inlineStr">
        <is>
          <t>ÅNGE</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35970-2023</t>
        </is>
      </c>
      <c r="B9660" s="1" t="n">
        <v>45148</v>
      </c>
      <c r="C9660" s="1" t="n">
        <v>45657</v>
      </c>
      <c r="D9660" t="inlineStr">
        <is>
          <t>VÄSTERNORRLANDS LÄN</t>
        </is>
      </c>
      <c r="E9660" t="inlineStr">
        <is>
          <t>ÅNGE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35974-2023</t>
        </is>
      </c>
      <c r="B9661" s="1" t="n">
        <v>45148</v>
      </c>
      <c r="C9661" s="1" t="n">
        <v>45657</v>
      </c>
      <c r="D9661" t="inlineStr">
        <is>
          <t>VÄSTERNORRLANDS LÄN</t>
        </is>
      </c>
      <c r="E9661" t="inlineStr">
        <is>
          <t>SOLLEFTEÅ</t>
        </is>
      </c>
      <c r="F9661" t="inlineStr">
        <is>
          <t>SCA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35978-2023</t>
        </is>
      </c>
      <c r="B9662" s="1" t="n">
        <v>45148</v>
      </c>
      <c r="C9662" s="1" t="n">
        <v>45657</v>
      </c>
      <c r="D9662" t="inlineStr">
        <is>
          <t>VÄSTERNORRLANDS LÄN</t>
        </is>
      </c>
      <c r="E9662" t="inlineStr">
        <is>
          <t>SOLLEFTEÅ</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35991-2023</t>
        </is>
      </c>
      <c r="B9663" s="1" t="n">
        <v>45149</v>
      </c>
      <c r="C9663" s="1" t="n">
        <v>45657</v>
      </c>
      <c r="D9663" t="inlineStr">
        <is>
          <t>VÄSTERNORRLANDS LÄN</t>
        </is>
      </c>
      <c r="E9663" t="inlineStr">
        <is>
          <t>SUNDSVALL</t>
        </is>
      </c>
      <c r="F9663" t="inlineStr">
        <is>
          <t>SCA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35969-2023</t>
        </is>
      </c>
      <c r="B9664" s="1" t="n">
        <v>45149</v>
      </c>
      <c r="C9664" s="1" t="n">
        <v>45657</v>
      </c>
      <c r="D9664" t="inlineStr">
        <is>
          <t>VÄSTERNORRLANDS LÄN</t>
        </is>
      </c>
      <c r="E9664" t="inlineStr">
        <is>
          <t>HÄRNÖSAND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35977-2023</t>
        </is>
      </c>
      <c r="B9665" s="1" t="n">
        <v>45149</v>
      </c>
      <c r="C9665" s="1" t="n">
        <v>45657</v>
      </c>
      <c r="D9665" t="inlineStr">
        <is>
          <t>VÄSTERNORRLANDS LÄN</t>
        </is>
      </c>
      <c r="E9665" t="inlineStr">
        <is>
          <t>SOLLEFTEÅ</t>
        </is>
      </c>
      <c r="F9665" t="inlineStr">
        <is>
          <t>SCA</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36034-2023</t>
        </is>
      </c>
      <c r="B9666" s="1" t="n">
        <v>45148</v>
      </c>
      <c r="C9666" s="1" t="n">
        <v>45657</v>
      </c>
      <c r="D9666" t="inlineStr">
        <is>
          <t>VÄSTERNORRLANDS LÄN</t>
        </is>
      </c>
      <c r="E9666" t="inlineStr">
        <is>
          <t>KRAMFORS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36172-2023</t>
        </is>
      </c>
      <c r="B9667" s="1" t="n">
        <v>45149</v>
      </c>
      <c r="C9667" s="1" t="n">
        <v>45657</v>
      </c>
      <c r="D9667" t="inlineStr">
        <is>
          <t>VÄSTERNORRLANDS LÄN</t>
        </is>
      </c>
      <c r="E9667" t="inlineStr">
        <is>
          <t>ÖRNSKÖLDSVIK</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36194-2023</t>
        </is>
      </c>
      <c r="B9668" s="1" t="n">
        <v>45149</v>
      </c>
      <c r="C9668" s="1" t="n">
        <v>45657</v>
      </c>
      <c r="D9668" t="inlineStr">
        <is>
          <t>VÄSTERNORRLANDS LÄN</t>
        </is>
      </c>
      <c r="E9668" t="inlineStr">
        <is>
          <t>ÖRNSKÖLDSVIK</t>
        </is>
      </c>
      <c r="G9668" t="n">
        <v>14.6</v>
      </c>
      <c r="H9668" t="n">
        <v>0</v>
      </c>
      <c r="I9668" t="n">
        <v>0</v>
      </c>
      <c r="J9668" t="n">
        <v>0</v>
      </c>
      <c r="K9668" t="n">
        <v>0</v>
      </c>
      <c r="L9668" t="n">
        <v>0</v>
      </c>
      <c r="M9668" t="n">
        <v>0</v>
      </c>
      <c r="N9668" t="n">
        <v>0</v>
      </c>
      <c r="O9668" t="n">
        <v>0</v>
      </c>
      <c r="P9668" t="n">
        <v>0</v>
      </c>
      <c r="Q9668" t="n">
        <v>0</v>
      </c>
      <c r="R9668" s="2" t="inlineStr"/>
    </row>
    <row r="9669" ht="15" customHeight="1">
      <c r="A9669" t="inlineStr">
        <is>
          <t>A 36202-2023</t>
        </is>
      </c>
      <c r="B9669" s="1" t="n">
        <v>45149</v>
      </c>
      <c r="C9669" s="1" t="n">
        <v>45657</v>
      </c>
      <c r="D9669" t="inlineStr">
        <is>
          <t>VÄSTERNORRLANDS LÄN</t>
        </is>
      </c>
      <c r="E9669" t="inlineStr">
        <is>
          <t>SUNDSVALL</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36210-2023</t>
        </is>
      </c>
      <c r="B9670" s="1" t="n">
        <v>45149</v>
      </c>
      <c r="C9670" s="1" t="n">
        <v>45657</v>
      </c>
      <c r="D9670" t="inlineStr">
        <is>
          <t>VÄSTERNORRLANDS LÄN</t>
        </is>
      </c>
      <c r="E9670" t="inlineStr">
        <is>
          <t>ÅNGE</t>
        </is>
      </c>
      <c r="F9670" t="inlineStr">
        <is>
          <t>SCA</t>
        </is>
      </c>
      <c r="G9670" t="n">
        <v>12.6</v>
      </c>
      <c r="H9670" t="n">
        <v>0</v>
      </c>
      <c r="I9670" t="n">
        <v>0</v>
      </c>
      <c r="J9670" t="n">
        <v>0</v>
      </c>
      <c r="K9670" t="n">
        <v>0</v>
      </c>
      <c r="L9670" t="n">
        <v>0</v>
      </c>
      <c r="M9670" t="n">
        <v>0</v>
      </c>
      <c r="N9670" t="n">
        <v>0</v>
      </c>
      <c r="O9670" t="n">
        <v>0</v>
      </c>
      <c r="P9670" t="n">
        <v>0</v>
      </c>
      <c r="Q9670" t="n">
        <v>0</v>
      </c>
      <c r="R9670" s="2" t="inlineStr"/>
    </row>
    <row r="9671" ht="15" customHeight="1">
      <c r="A9671" t="inlineStr">
        <is>
          <t>A 36223-2023</t>
        </is>
      </c>
      <c r="B9671" s="1" t="n">
        <v>45150</v>
      </c>
      <c r="C9671" s="1" t="n">
        <v>45657</v>
      </c>
      <c r="D9671" t="inlineStr">
        <is>
          <t>VÄSTERNORRLANDS LÄN</t>
        </is>
      </c>
      <c r="E9671" t="inlineStr">
        <is>
          <t>ÖRNSKÖLDSVIK</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36169-2023</t>
        </is>
      </c>
      <c r="B9672" s="1" t="n">
        <v>45149</v>
      </c>
      <c r="C9672" s="1" t="n">
        <v>45657</v>
      </c>
      <c r="D9672" t="inlineStr">
        <is>
          <t>VÄSTERNORRLANDS LÄN</t>
        </is>
      </c>
      <c r="E9672" t="inlineStr">
        <is>
          <t>ÖRNSKÖLDSVIK</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36203-2023</t>
        </is>
      </c>
      <c r="B9673" s="1" t="n">
        <v>45149</v>
      </c>
      <c r="C9673" s="1" t="n">
        <v>45657</v>
      </c>
      <c r="D9673" t="inlineStr">
        <is>
          <t>VÄSTERNORRLANDS LÄN</t>
        </is>
      </c>
      <c r="E9673" t="inlineStr">
        <is>
          <t>SUNDSVALL</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36211-2023</t>
        </is>
      </c>
      <c r="B9674" s="1" t="n">
        <v>45150</v>
      </c>
      <c r="C9674" s="1" t="n">
        <v>45657</v>
      </c>
      <c r="D9674" t="inlineStr">
        <is>
          <t>VÄSTERNORRLANDS LÄN</t>
        </is>
      </c>
      <c r="E9674" t="inlineStr">
        <is>
          <t>SOLLEFTEÅ</t>
        </is>
      </c>
      <c r="F9674" t="inlineStr">
        <is>
          <t>SCA</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36228-2023</t>
        </is>
      </c>
      <c r="B9675" s="1" t="n">
        <v>45149</v>
      </c>
      <c r="C9675" s="1" t="n">
        <v>45657</v>
      </c>
      <c r="D9675" t="inlineStr">
        <is>
          <t>VÄSTERNORRLANDS LÄN</t>
        </is>
      </c>
      <c r="E9675" t="inlineStr">
        <is>
          <t>TIMRÅ</t>
        </is>
      </c>
      <c r="F9675" t="inlineStr">
        <is>
          <t>SCA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36283-2023</t>
        </is>
      </c>
      <c r="B9676" s="1" t="n">
        <v>45149</v>
      </c>
      <c r="C9676" s="1" t="n">
        <v>45657</v>
      </c>
      <c r="D9676" t="inlineStr">
        <is>
          <t>VÄSTERNORRLANDS LÄN</t>
        </is>
      </c>
      <c r="E9676" t="inlineStr">
        <is>
          <t>ÖRNSKÖLDSVIK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36162-2023</t>
        </is>
      </c>
      <c r="B9677" s="1" t="n">
        <v>45149</v>
      </c>
      <c r="C9677" s="1" t="n">
        <v>45657</v>
      </c>
      <c r="D9677" t="inlineStr">
        <is>
          <t>VÄSTERNORRLANDS LÄN</t>
        </is>
      </c>
      <c r="E9677" t="inlineStr">
        <is>
          <t>HÄRNÖSAND</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36200-2023</t>
        </is>
      </c>
      <c r="B9678" s="1" t="n">
        <v>45150</v>
      </c>
      <c r="C9678" s="1" t="n">
        <v>45657</v>
      </c>
      <c r="D9678" t="inlineStr">
        <is>
          <t>VÄSTERNORRLANDS LÄN</t>
        </is>
      </c>
      <c r="E9678" t="inlineStr">
        <is>
          <t>SUNDSVALL</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36229-2023</t>
        </is>
      </c>
      <c r="B9679" s="1" t="n">
        <v>45149</v>
      </c>
      <c r="C9679" s="1" t="n">
        <v>45657</v>
      </c>
      <c r="D9679" t="inlineStr">
        <is>
          <t>VÄSTERNORRLANDS LÄN</t>
        </is>
      </c>
      <c r="E9679" t="inlineStr">
        <is>
          <t>SUNDSVALL</t>
        </is>
      </c>
      <c r="F9679" t="inlineStr">
        <is>
          <t>SCA</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36282-2023</t>
        </is>
      </c>
      <c r="B9680" s="1" t="n">
        <v>45149</v>
      </c>
      <c r="C9680" s="1" t="n">
        <v>45657</v>
      </c>
      <c r="D9680" t="inlineStr">
        <is>
          <t>VÄSTERNORRLANDS LÄN</t>
        </is>
      </c>
      <c r="E9680" t="inlineStr">
        <is>
          <t>ÖRNSKÖLDSVIK</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36077-2023</t>
        </is>
      </c>
      <c r="B9681" s="1" t="n">
        <v>45149</v>
      </c>
      <c r="C9681" s="1" t="n">
        <v>45657</v>
      </c>
      <c r="D9681" t="inlineStr">
        <is>
          <t>VÄSTERNORRLANDS LÄN</t>
        </is>
      </c>
      <c r="E9681" t="inlineStr">
        <is>
          <t>ÖRNSKÖLDSVIK</t>
        </is>
      </c>
      <c r="F9681" t="inlineStr">
        <is>
          <t>Holmen skog AB</t>
        </is>
      </c>
      <c r="G9681" t="n">
        <v>14.6</v>
      </c>
      <c r="H9681" t="n">
        <v>0</v>
      </c>
      <c r="I9681" t="n">
        <v>0</v>
      </c>
      <c r="J9681" t="n">
        <v>0</v>
      </c>
      <c r="K9681" t="n">
        <v>0</v>
      </c>
      <c r="L9681" t="n">
        <v>0</v>
      </c>
      <c r="M9681" t="n">
        <v>0</v>
      </c>
      <c r="N9681" t="n">
        <v>0</v>
      </c>
      <c r="O9681" t="n">
        <v>0</v>
      </c>
      <c r="P9681" t="n">
        <v>0</v>
      </c>
      <c r="Q9681" t="n">
        <v>0</v>
      </c>
      <c r="R9681" s="2" t="inlineStr"/>
    </row>
    <row r="9682" ht="15" customHeight="1">
      <c r="A9682" t="inlineStr">
        <is>
          <t>A 36086-2023</t>
        </is>
      </c>
      <c r="B9682" s="1" t="n">
        <v>45149</v>
      </c>
      <c r="C9682" s="1" t="n">
        <v>45657</v>
      </c>
      <c r="D9682" t="inlineStr">
        <is>
          <t>VÄSTERNORRLANDS LÄN</t>
        </is>
      </c>
      <c r="E9682" t="inlineStr">
        <is>
          <t>ÖRNSKÖLDSVIK</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36167-2023</t>
        </is>
      </c>
      <c r="B9683" s="1" t="n">
        <v>45149</v>
      </c>
      <c r="C9683" s="1" t="n">
        <v>45657</v>
      </c>
      <c r="D9683" t="inlineStr">
        <is>
          <t>VÄSTERNORRLANDS LÄN</t>
        </is>
      </c>
      <c r="E9683" t="inlineStr">
        <is>
          <t>HÄRNÖSAND</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36222-2023</t>
        </is>
      </c>
      <c r="B9684" s="1" t="n">
        <v>45150</v>
      </c>
      <c r="C9684" s="1" t="n">
        <v>45657</v>
      </c>
      <c r="D9684" t="inlineStr">
        <is>
          <t>VÄSTERNORRLANDS LÄN</t>
        </is>
      </c>
      <c r="E9684" t="inlineStr">
        <is>
          <t>SOLLEFTEÅ</t>
        </is>
      </c>
      <c r="F9684" t="inlineStr">
        <is>
          <t>SCA</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36363-2023</t>
        </is>
      </c>
      <c r="B9685" s="1" t="n">
        <v>45152</v>
      </c>
      <c r="C9685" s="1" t="n">
        <v>45657</v>
      </c>
      <c r="D9685" t="inlineStr">
        <is>
          <t>VÄSTERNORRLANDS LÄN</t>
        </is>
      </c>
      <c r="E9685" t="inlineStr">
        <is>
          <t>ÖRNSKÖLDSVIK</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36413-2023</t>
        </is>
      </c>
      <c r="B9686" s="1" t="n">
        <v>45152</v>
      </c>
      <c r="C9686" s="1" t="n">
        <v>45657</v>
      </c>
      <c r="D9686" t="inlineStr">
        <is>
          <t>VÄSTERNORRLANDS LÄN</t>
        </is>
      </c>
      <c r="E9686" t="inlineStr">
        <is>
          <t>SUNDSVALL</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36290-2023</t>
        </is>
      </c>
      <c r="B9687" s="1" t="n">
        <v>45152</v>
      </c>
      <c r="C9687" s="1" t="n">
        <v>45657</v>
      </c>
      <c r="D9687" t="inlineStr">
        <is>
          <t>VÄSTERNORRLANDS LÄN</t>
        </is>
      </c>
      <c r="E9687" t="inlineStr">
        <is>
          <t>ÅNGE</t>
        </is>
      </c>
      <c r="F9687" t="inlineStr">
        <is>
          <t>Övriga Aktiebolag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36323-2023</t>
        </is>
      </c>
      <c r="B9688" s="1" t="n">
        <v>45152</v>
      </c>
      <c r="C9688" s="1" t="n">
        <v>45657</v>
      </c>
      <c r="D9688" t="inlineStr">
        <is>
          <t>VÄSTERNORRLANDS LÄN</t>
        </is>
      </c>
      <c r="E9688" t="inlineStr">
        <is>
          <t>ÖRNSKÖLDSVIK</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36326-2023</t>
        </is>
      </c>
      <c r="B9689" s="1" t="n">
        <v>45152</v>
      </c>
      <c r="C9689" s="1" t="n">
        <v>45657</v>
      </c>
      <c r="D9689" t="inlineStr">
        <is>
          <t>VÄSTERNORRLANDS LÄN</t>
        </is>
      </c>
      <c r="E9689" t="inlineStr">
        <is>
          <t>ÖRNSKÖLDSVIK</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36511-2023</t>
        </is>
      </c>
      <c r="B9690" s="1" t="n">
        <v>45153</v>
      </c>
      <c r="C9690" s="1" t="n">
        <v>45657</v>
      </c>
      <c r="D9690" t="inlineStr">
        <is>
          <t>VÄSTERNORRLANDS LÄN</t>
        </is>
      </c>
      <c r="E9690" t="inlineStr">
        <is>
          <t>SOLLEFTEÅ</t>
        </is>
      </c>
      <c r="F9690" t="inlineStr">
        <is>
          <t>SCA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36494-2023</t>
        </is>
      </c>
      <c r="B9691" s="1" t="n">
        <v>45153</v>
      </c>
      <c r="C9691" s="1" t="n">
        <v>45657</v>
      </c>
      <c r="D9691" t="inlineStr">
        <is>
          <t>VÄSTERNORRLANDS LÄN</t>
        </is>
      </c>
      <c r="E9691" t="inlineStr">
        <is>
          <t>ÅNGE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36514-2023</t>
        </is>
      </c>
      <c r="B9692" s="1" t="n">
        <v>45153</v>
      </c>
      <c r="C9692" s="1" t="n">
        <v>45657</v>
      </c>
      <c r="D9692" t="inlineStr">
        <is>
          <t>VÄSTERNORRLANDS LÄN</t>
        </is>
      </c>
      <c r="E9692" t="inlineStr">
        <is>
          <t>SOLLEFTEÅ</t>
        </is>
      </c>
      <c r="F9692" t="inlineStr">
        <is>
          <t>SCA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36432-2023</t>
        </is>
      </c>
      <c r="B9693" s="1" t="n">
        <v>45152</v>
      </c>
      <c r="C9693" s="1" t="n">
        <v>45657</v>
      </c>
      <c r="D9693" t="inlineStr">
        <is>
          <t>VÄSTERNORRLANDS LÄN</t>
        </is>
      </c>
      <c r="E9693" t="inlineStr">
        <is>
          <t>ÖRNSKÖLDSVIK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36492-2023</t>
        </is>
      </c>
      <c r="B9694" s="1" t="n">
        <v>45153</v>
      </c>
      <c r="C9694" s="1" t="n">
        <v>45657</v>
      </c>
      <c r="D9694" t="inlineStr">
        <is>
          <t>VÄSTERNORRLANDS LÄN</t>
        </is>
      </c>
      <c r="E9694" t="inlineStr">
        <is>
          <t>ÅNGE</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36496-2023</t>
        </is>
      </c>
      <c r="B9695" s="1" t="n">
        <v>45152</v>
      </c>
      <c r="C9695" s="1" t="n">
        <v>45657</v>
      </c>
      <c r="D9695" t="inlineStr">
        <is>
          <t>VÄSTERNORRLANDS LÄN</t>
        </is>
      </c>
      <c r="E9695" t="inlineStr">
        <is>
          <t>HÄRNÖSAND</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36508-2023</t>
        </is>
      </c>
      <c r="B9696" s="1" t="n">
        <v>45153</v>
      </c>
      <c r="C9696" s="1" t="n">
        <v>45657</v>
      </c>
      <c r="D9696" t="inlineStr">
        <is>
          <t>VÄSTERNORRLANDS LÄN</t>
        </is>
      </c>
      <c r="E9696" t="inlineStr">
        <is>
          <t>SOLLEFTEÅ</t>
        </is>
      </c>
      <c r="F9696" t="inlineStr">
        <is>
          <t>SCA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36512-2023</t>
        </is>
      </c>
      <c r="B9697" s="1" t="n">
        <v>45152</v>
      </c>
      <c r="C9697" s="1" t="n">
        <v>45657</v>
      </c>
      <c r="D9697" t="inlineStr">
        <is>
          <t>VÄSTERNORRLANDS LÄN</t>
        </is>
      </c>
      <c r="E9697" t="inlineStr">
        <is>
          <t>SOLLEFTEÅ</t>
        </is>
      </c>
      <c r="F9697" t="inlineStr">
        <is>
          <t>SCA</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36477-2023</t>
        </is>
      </c>
      <c r="B9698" s="1" t="n">
        <v>45152</v>
      </c>
      <c r="C9698" s="1" t="n">
        <v>45657</v>
      </c>
      <c r="D9698" t="inlineStr">
        <is>
          <t>VÄSTERNORRLANDS LÄN</t>
        </is>
      </c>
      <c r="E9698" t="inlineStr">
        <is>
          <t>ÖRNSKÖLDSVIK</t>
        </is>
      </c>
      <c r="F9698" t="inlineStr">
        <is>
          <t>Holmen skog AB</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36583-2023</t>
        </is>
      </c>
      <c r="B9699" s="1" t="n">
        <v>45152</v>
      </c>
      <c r="C9699" s="1" t="n">
        <v>45657</v>
      </c>
      <c r="D9699" t="inlineStr">
        <is>
          <t>VÄSTERNORRLANDS LÄN</t>
        </is>
      </c>
      <c r="E9699" t="inlineStr">
        <is>
          <t>ÖRNSKÖLDSVIK</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36684-2023</t>
        </is>
      </c>
      <c r="B9700" s="1" t="n">
        <v>45152</v>
      </c>
      <c r="C9700" s="1" t="n">
        <v>45657</v>
      </c>
      <c r="D9700" t="inlineStr">
        <is>
          <t>VÄSTERNORRLANDS LÄN</t>
        </is>
      </c>
      <c r="E9700" t="inlineStr">
        <is>
          <t>ÖRNSKÖLDSVIK</t>
        </is>
      </c>
      <c r="G9700" t="n">
        <v>12.5</v>
      </c>
      <c r="H9700" t="n">
        <v>0</v>
      </c>
      <c r="I9700" t="n">
        <v>0</v>
      </c>
      <c r="J9700" t="n">
        <v>0</v>
      </c>
      <c r="K9700" t="n">
        <v>0</v>
      </c>
      <c r="L9700" t="n">
        <v>0</v>
      </c>
      <c r="M9700" t="n">
        <v>0</v>
      </c>
      <c r="N9700" t="n">
        <v>0</v>
      </c>
      <c r="O9700" t="n">
        <v>0</v>
      </c>
      <c r="P9700" t="n">
        <v>0</v>
      </c>
      <c r="Q9700" t="n">
        <v>0</v>
      </c>
      <c r="R9700" s="2" t="inlineStr"/>
    </row>
    <row r="9701" ht="15" customHeight="1">
      <c r="A9701" t="inlineStr">
        <is>
          <t>A 36505-2023</t>
        </is>
      </c>
      <c r="B9701" s="1" t="n">
        <v>45153</v>
      </c>
      <c r="C9701" s="1" t="n">
        <v>45657</v>
      </c>
      <c r="D9701" t="inlineStr">
        <is>
          <t>VÄSTERNORRLANDS LÄN</t>
        </is>
      </c>
      <c r="E9701" t="inlineStr">
        <is>
          <t>SUNDSVALL</t>
        </is>
      </c>
      <c r="F9701" t="inlineStr">
        <is>
          <t>SCA</t>
        </is>
      </c>
      <c r="G9701" t="n">
        <v>15.8</v>
      </c>
      <c r="H9701" t="n">
        <v>0</v>
      </c>
      <c r="I9701" t="n">
        <v>0</v>
      </c>
      <c r="J9701" t="n">
        <v>0</v>
      </c>
      <c r="K9701" t="n">
        <v>0</v>
      </c>
      <c r="L9701" t="n">
        <v>0</v>
      </c>
      <c r="M9701" t="n">
        <v>0</v>
      </c>
      <c r="N9701" t="n">
        <v>0</v>
      </c>
      <c r="O9701" t="n">
        <v>0</v>
      </c>
      <c r="P9701" t="n">
        <v>0</v>
      </c>
      <c r="Q9701" t="n">
        <v>0</v>
      </c>
      <c r="R9701" s="2" t="inlineStr"/>
    </row>
    <row r="9702" ht="15" customHeight="1">
      <c r="A9702" t="inlineStr">
        <is>
          <t>A 36509-2023</t>
        </is>
      </c>
      <c r="B9702" s="1" t="n">
        <v>45153</v>
      </c>
      <c r="C9702" s="1" t="n">
        <v>45657</v>
      </c>
      <c r="D9702" t="inlineStr">
        <is>
          <t>VÄSTERNORRLANDS LÄN</t>
        </is>
      </c>
      <c r="E9702" t="inlineStr">
        <is>
          <t>ÖRNSKÖLDSVIK</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36513-2023</t>
        </is>
      </c>
      <c r="B9703" s="1" t="n">
        <v>45153</v>
      </c>
      <c r="C9703" s="1" t="n">
        <v>45657</v>
      </c>
      <c r="D9703" t="inlineStr">
        <is>
          <t>VÄSTERNORRLANDS LÄN</t>
        </is>
      </c>
      <c r="E9703" t="inlineStr">
        <is>
          <t>SOLLEFTEÅ</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36577-2023</t>
        </is>
      </c>
      <c r="B9704" s="1" t="n">
        <v>45152</v>
      </c>
      <c r="C9704" s="1" t="n">
        <v>45657</v>
      </c>
      <c r="D9704" t="inlineStr">
        <is>
          <t>VÄSTERNORRLANDS LÄN</t>
        </is>
      </c>
      <c r="E9704" t="inlineStr">
        <is>
          <t>ÖRNSKÖLDSVIK</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36523-2023</t>
        </is>
      </c>
      <c r="B9705" s="1" t="n">
        <v>45153</v>
      </c>
      <c r="C9705" s="1" t="n">
        <v>45657</v>
      </c>
      <c r="D9705" t="inlineStr">
        <is>
          <t>VÄSTERNORRLANDS LÄN</t>
        </is>
      </c>
      <c r="E9705" t="inlineStr">
        <is>
          <t>KRAMFORS</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36546-2023</t>
        </is>
      </c>
      <c r="B9706" s="1" t="n">
        <v>45153</v>
      </c>
      <c r="C9706" s="1" t="n">
        <v>45657</v>
      </c>
      <c r="D9706" t="inlineStr">
        <is>
          <t>VÄSTERNORRLANDS LÄN</t>
        </is>
      </c>
      <c r="E9706" t="inlineStr">
        <is>
          <t>KRAMFORS</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36685-2023</t>
        </is>
      </c>
      <c r="B9707" s="1" t="n">
        <v>45153</v>
      </c>
      <c r="C9707" s="1" t="n">
        <v>45657</v>
      </c>
      <c r="D9707" t="inlineStr">
        <is>
          <t>VÄSTERNORRLANDS LÄN</t>
        </is>
      </c>
      <c r="E9707" t="inlineStr">
        <is>
          <t>ÖRNSKÖLDSVIK</t>
        </is>
      </c>
      <c r="F9707" t="inlineStr">
        <is>
          <t>Holmen skog AB</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36726-2023</t>
        </is>
      </c>
      <c r="B9708" s="1" t="n">
        <v>45153</v>
      </c>
      <c r="C9708" s="1" t="n">
        <v>45657</v>
      </c>
      <c r="D9708" t="inlineStr">
        <is>
          <t>VÄSTERNORRLANDS LÄN</t>
        </is>
      </c>
      <c r="E9708" t="inlineStr">
        <is>
          <t>ÖRNSKÖLDSVIK</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36734-2023</t>
        </is>
      </c>
      <c r="B9709" s="1" t="n">
        <v>45153</v>
      </c>
      <c r="C9709" s="1" t="n">
        <v>45657</v>
      </c>
      <c r="D9709" t="inlineStr">
        <is>
          <t>VÄSTERNORRLANDS LÄN</t>
        </is>
      </c>
      <c r="E9709" t="inlineStr">
        <is>
          <t>ÖRNSKÖLDSVIK</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36548-2023</t>
        </is>
      </c>
      <c r="B9710" s="1" t="n">
        <v>45153</v>
      </c>
      <c r="C9710" s="1" t="n">
        <v>45657</v>
      </c>
      <c r="D9710" t="inlineStr">
        <is>
          <t>VÄSTERNORRLANDS LÄN</t>
        </is>
      </c>
      <c r="E9710" t="inlineStr">
        <is>
          <t>KRAMFORS</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36768-2023</t>
        </is>
      </c>
      <c r="B9711" s="1" t="n">
        <v>45153</v>
      </c>
      <c r="C9711" s="1" t="n">
        <v>45657</v>
      </c>
      <c r="D9711" t="inlineStr">
        <is>
          <t>VÄSTERNORRLANDS LÄN</t>
        </is>
      </c>
      <c r="E9711" t="inlineStr">
        <is>
          <t>SUNDSVALL</t>
        </is>
      </c>
      <c r="F9711" t="inlineStr">
        <is>
          <t>SCA</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36681-2023</t>
        </is>
      </c>
      <c r="B9712" s="1" t="n">
        <v>45153</v>
      </c>
      <c r="C9712" s="1" t="n">
        <v>45657</v>
      </c>
      <c r="D9712" t="inlineStr">
        <is>
          <t>VÄSTERNORRLANDS LÄN</t>
        </is>
      </c>
      <c r="E9712" t="inlineStr">
        <is>
          <t>ÖRNSKÖLDSVIK</t>
        </is>
      </c>
      <c r="F9712" t="inlineStr">
        <is>
          <t>Holmen skog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36654-2023</t>
        </is>
      </c>
      <c r="B9713" s="1" t="n">
        <v>45153</v>
      </c>
      <c r="C9713" s="1" t="n">
        <v>45657</v>
      </c>
      <c r="D9713" t="inlineStr">
        <is>
          <t>VÄSTERNORRLANDS LÄN</t>
        </is>
      </c>
      <c r="E9713" t="inlineStr">
        <is>
          <t>ÖRNSKÖLDSVIK</t>
        </is>
      </c>
      <c r="F9713" t="inlineStr">
        <is>
          <t>Holmen skog AB</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36761-2023</t>
        </is>
      </c>
      <c r="B9714" s="1" t="n">
        <v>45153</v>
      </c>
      <c r="C9714" s="1" t="n">
        <v>45657</v>
      </c>
      <c r="D9714" t="inlineStr">
        <is>
          <t>VÄSTERNORRLANDS LÄN</t>
        </is>
      </c>
      <c r="E9714" t="inlineStr">
        <is>
          <t>SUNDSVALL</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36766-2023</t>
        </is>
      </c>
      <c r="B9715" s="1" t="n">
        <v>45153</v>
      </c>
      <c r="C9715" s="1" t="n">
        <v>45657</v>
      </c>
      <c r="D9715" t="inlineStr">
        <is>
          <t>VÄSTERNORRLANDS LÄN</t>
        </is>
      </c>
      <c r="E9715" t="inlineStr">
        <is>
          <t>ÅNGE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36770-2023</t>
        </is>
      </c>
      <c r="B9716" s="1" t="n">
        <v>45153</v>
      </c>
      <c r="C9716" s="1" t="n">
        <v>45657</v>
      </c>
      <c r="D9716" t="inlineStr">
        <is>
          <t>VÄSTERNORRLANDS LÄN</t>
        </is>
      </c>
      <c r="E9716" t="inlineStr">
        <is>
          <t>SOLLEFTEÅ</t>
        </is>
      </c>
      <c r="F9716" t="inlineStr">
        <is>
          <t>SCA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36727-2023</t>
        </is>
      </c>
      <c r="B9717" s="1" t="n">
        <v>45153</v>
      </c>
      <c r="C9717" s="1" t="n">
        <v>45657</v>
      </c>
      <c r="D9717" t="inlineStr">
        <is>
          <t>VÄSTERNORRLANDS LÄN</t>
        </is>
      </c>
      <c r="E9717" t="inlineStr">
        <is>
          <t>ÖRNSKÖLDSVIK</t>
        </is>
      </c>
      <c r="F9717" t="inlineStr">
        <is>
          <t>Holmen skog AB</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36760-2023</t>
        </is>
      </c>
      <c r="B9718" s="1" t="n">
        <v>45153</v>
      </c>
      <c r="C9718" s="1" t="n">
        <v>45657</v>
      </c>
      <c r="D9718" t="inlineStr">
        <is>
          <t>VÄSTERNORRLANDS LÄN</t>
        </is>
      </c>
      <c r="E9718" t="inlineStr">
        <is>
          <t>ÅNGE</t>
        </is>
      </c>
      <c r="F9718" t="inlineStr">
        <is>
          <t>SCA</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36769-2023</t>
        </is>
      </c>
      <c r="B9719" s="1" t="n">
        <v>45154</v>
      </c>
      <c r="C9719" s="1" t="n">
        <v>45657</v>
      </c>
      <c r="D9719" t="inlineStr">
        <is>
          <t>VÄSTERNORRLANDS LÄN</t>
        </is>
      </c>
      <c r="E9719" t="inlineStr">
        <is>
          <t>SUNDSVALL</t>
        </is>
      </c>
      <c r="F9719" t="inlineStr">
        <is>
          <t>SCA</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36767-2023</t>
        </is>
      </c>
      <c r="B9720" s="1" t="n">
        <v>45153</v>
      </c>
      <c r="C9720" s="1" t="n">
        <v>45657</v>
      </c>
      <c r="D9720" t="inlineStr">
        <is>
          <t>VÄSTERNORRLANDS LÄN</t>
        </is>
      </c>
      <c r="E9720" t="inlineStr">
        <is>
          <t>SUNDSVALL</t>
        </is>
      </c>
      <c r="F9720" t="inlineStr">
        <is>
          <t>SCA</t>
        </is>
      </c>
      <c r="G9720" t="n">
        <v>8.300000000000001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36801-2023</t>
        </is>
      </c>
      <c r="B9721" s="1" t="n">
        <v>45153</v>
      </c>
      <c r="C9721" s="1" t="n">
        <v>45657</v>
      </c>
      <c r="D9721" t="inlineStr">
        <is>
          <t>VÄSTERNORRLANDS LÄN</t>
        </is>
      </c>
      <c r="E9721" t="inlineStr">
        <is>
          <t>ÅNGE</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36771-2023</t>
        </is>
      </c>
      <c r="B9722" s="1" t="n">
        <v>45153</v>
      </c>
      <c r="C9722" s="1" t="n">
        <v>45657</v>
      </c>
      <c r="D9722" t="inlineStr">
        <is>
          <t>VÄSTERNORRLANDS LÄN</t>
        </is>
      </c>
      <c r="E9722" t="inlineStr">
        <is>
          <t>SOLLEFTEÅ</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36836-2023</t>
        </is>
      </c>
      <c r="B9723" s="1" t="n">
        <v>45154</v>
      </c>
      <c r="C9723" s="1" t="n">
        <v>45657</v>
      </c>
      <c r="D9723" t="inlineStr">
        <is>
          <t>VÄSTERNORRLANDS LÄN</t>
        </is>
      </c>
      <c r="E9723" t="inlineStr">
        <is>
          <t>ÖRNSKÖLDSVIK</t>
        </is>
      </c>
      <c r="F9723" t="inlineStr">
        <is>
          <t>Holmen skog AB</t>
        </is>
      </c>
      <c r="G9723" t="n">
        <v>10.2</v>
      </c>
      <c r="H9723" t="n">
        <v>0</v>
      </c>
      <c r="I9723" t="n">
        <v>0</v>
      </c>
      <c r="J9723" t="n">
        <v>0</v>
      </c>
      <c r="K9723" t="n">
        <v>0</v>
      </c>
      <c r="L9723" t="n">
        <v>0</v>
      </c>
      <c r="M9723" t="n">
        <v>0</v>
      </c>
      <c r="N9723" t="n">
        <v>0</v>
      </c>
      <c r="O9723" t="n">
        <v>0</v>
      </c>
      <c r="P9723" t="n">
        <v>0</v>
      </c>
      <c r="Q9723" t="n">
        <v>0</v>
      </c>
      <c r="R9723" s="2" t="inlineStr"/>
    </row>
    <row r="9724" ht="15" customHeight="1">
      <c r="A9724" t="inlineStr">
        <is>
          <t>A 36845-2023</t>
        </is>
      </c>
      <c r="B9724" s="1" t="n">
        <v>45154</v>
      </c>
      <c r="C9724" s="1" t="n">
        <v>45657</v>
      </c>
      <c r="D9724" t="inlineStr">
        <is>
          <t>VÄSTERNORRLANDS LÄN</t>
        </is>
      </c>
      <c r="E9724" t="inlineStr">
        <is>
          <t>SUNDSVALL</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36863-2023</t>
        </is>
      </c>
      <c r="B9725" s="1" t="n">
        <v>45154</v>
      </c>
      <c r="C9725" s="1" t="n">
        <v>45657</v>
      </c>
      <c r="D9725" t="inlineStr">
        <is>
          <t>VÄSTERNORRLANDS LÄN</t>
        </is>
      </c>
      <c r="E9725" t="inlineStr">
        <is>
          <t>ÖRNSKÖLDSVIK</t>
        </is>
      </c>
      <c r="F9725" t="inlineStr">
        <is>
          <t>Holmen skog AB</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36885-2023</t>
        </is>
      </c>
      <c r="B9726" s="1" t="n">
        <v>45154</v>
      </c>
      <c r="C9726" s="1" t="n">
        <v>45657</v>
      </c>
      <c r="D9726" t="inlineStr">
        <is>
          <t>VÄSTERNORRLANDS LÄN</t>
        </is>
      </c>
      <c r="E9726" t="inlineStr">
        <is>
          <t>SUNDSVALL</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36923-2023</t>
        </is>
      </c>
      <c r="B9727" s="1" t="n">
        <v>45154</v>
      </c>
      <c r="C9727" s="1" t="n">
        <v>45657</v>
      </c>
      <c r="D9727" t="inlineStr">
        <is>
          <t>VÄSTERNORRLANDS LÄN</t>
        </is>
      </c>
      <c r="E9727" t="inlineStr">
        <is>
          <t>ÖRNSKÖLDSVIK</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36944-2023</t>
        </is>
      </c>
      <c r="B9728" s="1" t="n">
        <v>45154</v>
      </c>
      <c r="C9728" s="1" t="n">
        <v>45657</v>
      </c>
      <c r="D9728" t="inlineStr">
        <is>
          <t>VÄSTERNORRLANDS LÄN</t>
        </is>
      </c>
      <c r="E9728" t="inlineStr">
        <is>
          <t>SOLLEFTEÅ</t>
        </is>
      </c>
      <c r="F9728" t="inlineStr">
        <is>
          <t>Övriga Aktiebolag</t>
        </is>
      </c>
      <c r="G9728" t="n">
        <v>16.9</v>
      </c>
      <c r="H9728" t="n">
        <v>0</v>
      </c>
      <c r="I9728" t="n">
        <v>0</v>
      </c>
      <c r="J9728" t="n">
        <v>0</v>
      </c>
      <c r="K9728" t="n">
        <v>0</v>
      </c>
      <c r="L9728" t="n">
        <v>0</v>
      </c>
      <c r="M9728" t="n">
        <v>0</v>
      </c>
      <c r="N9728" t="n">
        <v>0</v>
      </c>
      <c r="O9728" t="n">
        <v>0</v>
      </c>
      <c r="P9728" t="n">
        <v>0</v>
      </c>
      <c r="Q9728" t="n">
        <v>0</v>
      </c>
      <c r="R9728" s="2" t="inlineStr"/>
    </row>
    <row r="9729" ht="15" customHeight="1">
      <c r="A9729" t="inlineStr">
        <is>
          <t>A 36956-2023</t>
        </is>
      </c>
      <c r="B9729" s="1" t="n">
        <v>45154</v>
      </c>
      <c r="C9729" s="1" t="n">
        <v>45657</v>
      </c>
      <c r="D9729" t="inlineStr">
        <is>
          <t>VÄSTERNORRLANDS LÄN</t>
        </is>
      </c>
      <c r="E9729" t="inlineStr">
        <is>
          <t>KRAMFORS</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36882-2023</t>
        </is>
      </c>
      <c r="B9730" s="1" t="n">
        <v>45154</v>
      </c>
      <c r="C9730" s="1" t="n">
        <v>45657</v>
      </c>
      <c r="D9730" t="inlineStr">
        <is>
          <t>VÄSTERNORRLANDS LÄN</t>
        </is>
      </c>
      <c r="E9730" t="inlineStr">
        <is>
          <t>SUNDSVALL</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36775-2023</t>
        </is>
      </c>
      <c r="B9731" s="1" t="n">
        <v>45154</v>
      </c>
      <c r="C9731" s="1" t="n">
        <v>45657</v>
      </c>
      <c r="D9731" t="inlineStr">
        <is>
          <t>VÄSTERNORRLANDS LÄN</t>
        </is>
      </c>
      <c r="E9731" t="inlineStr">
        <is>
          <t>ÖRNSKÖLDSVIK</t>
        </is>
      </c>
      <c r="F9731" t="inlineStr">
        <is>
          <t>Holmen skog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36790-2023</t>
        </is>
      </c>
      <c r="B9732" s="1" t="n">
        <v>45154</v>
      </c>
      <c r="C9732" s="1" t="n">
        <v>45657</v>
      </c>
      <c r="D9732" t="inlineStr">
        <is>
          <t>VÄSTERNORRLANDS LÄN</t>
        </is>
      </c>
      <c r="E9732" t="inlineStr">
        <is>
          <t>ÅNGE</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36976-2023</t>
        </is>
      </c>
      <c r="B9733" s="1" t="n">
        <v>45155</v>
      </c>
      <c r="C9733" s="1" t="n">
        <v>45657</v>
      </c>
      <c r="D9733" t="inlineStr">
        <is>
          <t>VÄSTERNORRLANDS LÄN</t>
        </is>
      </c>
      <c r="E9733" t="inlineStr">
        <is>
          <t>SOLLEFTEÅ</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36973-2023</t>
        </is>
      </c>
      <c r="B9734" s="1" t="n">
        <v>45154</v>
      </c>
      <c r="C9734" s="1" t="n">
        <v>45657</v>
      </c>
      <c r="D9734" t="inlineStr">
        <is>
          <t>VÄSTERNORRLANDS LÄN</t>
        </is>
      </c>
      <c r="E9734" t="inlineStr">
        <is>
          <t>ÅNGE</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36977-2023</t>
        </is>
      </c>
      <c r="B9735" s="1" t="n">
        <v>45155</v>
      </c>
      <c r="C9735" s="1" t="n">
        <v>45657</v>
      </c>
      <c r="D9735" t="inlineStr">
        <is>
          <t>VÄSTERNORRLANDS LÄN</t>
        </is>
      </c>
      <c r="E9735" t="inlineStr">
        <is>
          <t>SOLLEFTEÅ</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36992-2023</t>
        </is>
      </c>
      <c r="B9736" s="1" t="n">
        <v>45154</v>
      </c>
      <c r="C9736" s="1" t="n">
        <v>45657</v>
      </c>
      <c r="D9736" t="inlineStr">
        <is>
          <t>VÄSTERNORRLANDS LÄN</t>
        </is>
      </c>
      <c r="E9736" t="inlineStr">
        <is>
          <t>TIMRÅ</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36989-2023</t>
        </is>
      </c>
      <c r="B9737" s="1" t="n">
        <v>45155</v>
      </c>
      <c r="C9737" s="1" t="n">
        <v>45657</v>
      </c>
      <c r="D9737" t="inlineStr">
        <is>
          <t>VÄSTERNORRLANDS LÄN</t>
        </is>
      </c>
      <c r="E9737" t="inlineStr">
        <is>
          <t>SUNDSVALL</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36997-2023</t>
        </is>
      </c>
      <c r="B9738" s="1" t="n">
        <v>45154</v>
      </c>
      <c r="C9738" s="1" t="n">
        <v>45657</v>
      </c>
      <c r="D9738" t="inlineStr">
        <is>
          <t>VÄSTERNORRLANDS LÄN</t>
        </is>
      </c>
      <c r="E9738" t="inlineStr">
        <is>
          <t>TIMRÅ</t>
        </is>
      </c>
      <c r="F9738" t="inlineStr">
        <is>
          <t>SCA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36918-2023</t>
        </is>
      </c>
      <c r="B9739" s="1" t="n">
        <v>45154</v>
      </c>
      <c r="C9739" s="1" t="n">
        <v>45657</v>
      </c>
      <c r="D9739" t="inlineStr">
        <is>
          <t>VÄSTERNORRLANDS LÄN</t>
        </is>
      </c>
      <c r="E9739" t="inlineStr">
        <is>
          <t>ÖRNSKÖLDSVIK</t>
        </is>
      </c>
      <c r="F9739" t="inlineStr">
        <is>
          <t>Holmen skog AB</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37087-2023</t>
        </is>
      </c>
      <c r="B9740" s="1" t="n">
        <v>45154</v>
      </c>
      <c r="C9740" s="1" t="n">
        <v>45657</v>
      </c>
      <c r="D9740" t="inlineStr">
        <is>
          <t>VÄSTERNORRLANDS LÄN</t>
        </is>
      </c>
      <c r="E9740" t="inlineStr">
        <is>
          <t>ÖRNSKÖLDSVIK</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36970-2023</t>
        </is>
      </c>
      <c r="B9741" s="1" t="n">
        <v>45155</v>
      </c>
      <c r="C9741" s="1" t="n">
        <v>45657</v>
      </c>
      <c r="D9741" t="inlineStr">
        <is>
          <t>VÄSTERNORRLANDS LÄN</t>
        </is>
      </c>
      <c r="E9741" t="inlineStr">
        <is>
          <t>SUNDSVALL</t>
        </is>
      </c>
      <c r="F9741" t="inlineStr">
        <is>
          <t>SCA</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36974-2023</t>
        </is>
      </c>
      <c r="B9742" s="1" t="n">
        <v>45154</v>
      </c>
      <c r="C9742" s="1" t="n">
        <v>45657</v>
      </c>
      <c r="D9742" t="inlineStr">
        <is>
          <t>VÄSTERNORRLANDS LÄN</t>
        </is>
      </c>
      <c r="E9742" t="inlineStr">
        <is>
          <t>SUNDSVALL</t>
        </is>
      </c>
      <c r="F9742" t="inlineStr">
        <is>
          <t>SCA</t>
        </is>
      </c>
      <c r="G9742" t="n">
        <v>14.1</v>
      </c>
      <c r="H9742" t="n">
        <v>0</v>
      </c>
      <c r="I9742" t="n">
        <v>0</v>
      </c>
      <c r="J9742" t="n">
        <v>0</v>
      </c>
      <c r="K9742" t="n">
        <v>0</v>
      </c>
      <c r="L9742" t="n">
        <v>0</v>
      </c>
      <c r="M9742" t="n">
        <v>0</v>
      </c>
      <c r="N9742" t="n">
        <v>0</v>
      </c>
      <c r="O9742" t="n">
        <v>0</v>
      </c>
      <c r="P9742" t="n">
        <v>0</v>
      </c>
      <c r="Q9742" t="n">
        <v>0</v>
      </c>
      <c r="R9742" s="2" t="inlineStr"/>
    </row>
    <row r="9743" ht="15" customHeight="1">
      <c r="A9743" t="inlineStr">
        <is>
          <t>A 36844-2023</t>
        </is>
      </c>
      <c r="B9743" s="1" t="n">
        <v>45154</v>
      </c>
      <c r="C9743" s="1" t="n">
        <v>45657</v>
      </c>
      <c r="D9743" t="inlineStr">
        <is>
          <t>VÄSTERNORRLANDS LÄN</t>
        </is>
      </c>
      <c r="E9743" t="inlineStr">
        <is>
          <t>SUNDSVALL</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36866-2023</t>
        </is>
      </c>
      <c r="B9744" s="1" t="n">
        <v>45154</v>
      </c>
      <c r="C9744" s="1" t="n">
        <v>45657</v>
      </c>
      <c r="D9744" t="inlineStr">
        <is>
          <t>VÄSTERNORRLANDS LÄN</t>
        </is>
      </c>
      <c r="E9744" t="inlineStr">
        <is>
          <t>ÖRNSKÖLDSVIK</t>
        </is>
      </c>
      <c r="F9744" t="inlineStr">
        <is>
          <t>Holmen skog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36874-2023</t>
        </is>
      </c>
      <c r="B9745" s="1" t="n">
        <v>45154</v>
      </c>
      <c r="C9745" s="1" t="n">
        <v>45657</v>
      </c>
      <c r="D9745" t="inlineStr">
        <is>
          <t>VÄSTERNORRLANDS LÄN</t>
        </is>
      </c>
      <c r="E9745" t="inlineStr">
        <is>
          <t>SUNDSVALL</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36919-2023</t>
        </is>
      </c>
      <c r="B9746" s="1" t="n">
        <v>45154</v>
      </c>
      <c r="C9746" s="1" t="n">
        <v>45657</v>
      </c>
      <c r="D9746" t="inlineStr">
        <is>
          <t>VÄSTERNORRLANDS LÄN</t>
        </is>
      </c>
      <c r="E9746" t="inlineStr">
        <is>
          <t>ÖRNSKÖLDSVIK</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36925-2023</t>
        </is>
      </c>
      <c r="B9747" s="1" t="n">
        <v>45154</v>
      </c>
      <c r="C9747" s="1" t="n">
        <v>45657</v>
      </c>
      <c r="D9747" t="inlineStr">
        <is>
          <t>VÄSTERNORRLANDS LÄN</t>
        </is>
      </c>
      <c r="E9747" t="inlineStr">
        <is>
          <t>ÖRNSKÖLDSVIK</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36967-2023</t>
        </is>
      </c>
      <c r="B9748" s="1" t="n">
        <v>45155</v>
      </c>
      <c r="C9748" s="1" t="n">
        <v>45657</v>
      </c>
      <c r="D9748" t="inlineStr">
        <is>
          <t>VÄSTERNORRLANDS LÄN</t>
        </is>
      </c>
      <c r="E9748" t="inlineStr">
        <is>
          <t>SOLLEFTEÅ</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36971-2023</t>
        </is>
      </c>
      <c r="B9749" s="1" t="n">
        <v>45154</v>
      </c>
      <c r="C9749" s="1" t="n">
        <v>45657</v>
      </c>
      <c r="D9749" t="inlineStr">
        <is>
          <t>VÄSTERNORRLANDS LÄN</t>
        </is>
      </c>
      <c r="E9749" t="inlineStr">
        <is>
          <t>SUNDSVALL</t>
        </is>
      </c>
      <c r="F9749" t="inlineStr">
        <is>
          <t>SCA</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36987-2023</t>
        </is>
      </c>
      <c r="B9750" s="1" t="n">
        <v>45155</v>
      </c>
      <c r="C9750" s="1" t="n">
        <v>45657</v>
      </c>
      <c r="D9750" t="inlineStr">
        <is>
          <t>VÄSTERNORRLANDS LÄN</t>
        </is>
      </c>
      <c r="E9750" t="inlineStr">
        <is>
          <t>ÅNGE</t>
        </is>
      </c>
      <c r="F9750" t="inlineStr">
        <is>
          <t>SCA</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37055-2023</t>
        </is>
      </c>
      <c r="B9751" s="1" t="n">
        <v>45155</v>
      </c>
      <c r="C9751" s="1" t="n">
        <v>45657</v>
      </c>
      <c r="D9751" t="inlineStr">
        <is>
          <t>VÄSTERNORRLANDS LÄN</t>
        </is>
      </c>
      <c r="E9751" t="inlineStr">
        <is>
          <t>ÖRNSKÖLDSVIK</t>
        </is>
      </c>
      <c r="F9751" t="inlineStr">
        <is>
          <t>Holmen skog AB</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37056-2023</t>
        </is>
      </c>
      <c r="B9752" s="1" t="n">
        <v>45155</v>
      </c>
      <c r="C9752" s="1" t="n">
        <v>45657</v>
      </c>
      <c r="D9752" t="inlineStr">
        <is>
          <t>VÄSTERNORRLANDS LÄN</t>
        </is>
      </c>
      <c r="E9752" t="inlineStr">
        <is>
          <t>ÖRNSKÖLDSVIK</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37150-2023</t>
        </is>
      </c>
      <c r="B9753" s="1" t="n">
        <v>45155</v>
      </c>
      <c r="C9753" s="1" t="n">
        <v>45657</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37058-2023</t>
        </is>
      </c>
      <c r="B9754" s="1" t="n">
        <v>45155</v>
      </c>
      <c r="C9754" s="1" t="n">
        <v>45657</v>
      </c>
      <c r="D9754" t="inlineStr">
        <is>
          <t>VÄSTERNORRLANDS LÄN</t>
        </is>
      </c>
      <c r="E9754" t="inlineStr">
        <is>
          <t>ÖRNSKÖLDSVIK</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37241-2023</t>
        </is>
      </c>
      <c r="B9755" s="1" t="n">
        <v>45155</v>
      </c>
      <c r="C9755" s="1" t="n">
        <v>45657</v>
      </c>
      <c r="D9755" t="inlineStr">
        <is>
          <t>VÄSTERNORRLANDS LÄN</t>
        </is>
      </c>
      <c r="E9755" t="inlineStr">
        <is>
          <t>SUNDSVALL</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37249-2023</t>
        </is>
      </c>
      <c r="B9756" s="1" t="n">
        <v>45156</v>
      </c>
      <c r="C9756" s="1" t="n">
        <v>45657</v>
      </c>
      <c r="D9756" t="inlineStr">
        <is>
          <t>VÄSTERNORRLANDS LÄN</t>
        </is>
      </c>
      <c r="E9756" t="inlineStr">
        <is>
          <t>SUNDSVALL</t>
        </is>
      </c>
      <c r="F9756" t="inlineStr">
        <is>
          <t>SCA</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37253-2023</t>
        </is>
      </c>
      <c r="B9757" s="1" t="n">
        <v>45156</v>
      </c>
      <c r="C9757" s="1" t="n">
        <v>45657</v>
      </c>
      <c r="D9757" t="inlineStr">
        <is>
          <t>VÄSTERNORRLANDS LÄN</t>
        </is>
      </c>
      <c r="E9757" t="inlineStr">
        <is>
          <t>SUNDSVALL</t>
        </is>
      </c>
      <c r="F9757" t="inlineStr">
        <is>
          <t>SCA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37269-2023</t>
        </is>
      </c>
      <c r="B9758" s="1" t="n">
        <v>45155</v>
      </c>
      <c r="C9758" s="1" t="n">
        <v>45657</v>
      </c>
      <c r="D9758" t="inlineStr">
        <is>
          <t>VÄSTERNORRLANDS LÄN</t>
        </is>
      </c>
      <c r="E9758" t="inlineStr">
        <is>
          <t>SOLLEFTEÅ</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37412-2023</t>
        </is>
      </c>
      <c r="B9759" s="1" t="n">
        <v>45155</v>
      </c>
      <c r="C9759" s="1" t="n">
        <v>45657</v>
      </c>
      <c r="D9759" t="inlineStr">
        <is>
          <t>VÄSTERNORRLANDS LÄN</t>
        </is>
      </c>
      <c r="E9759" t="inlineStr">
        <is>
          <t>SOLLEFTEÅ</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37240-2023</t>
        </is>
      </c>
      <c r="B9760" s="1" t="n">
        <v>45155</v>
      </c>
      <c r="C9760" s="1" t="n">
        <v>45657</v>
      </c>
      <c r="D9760" t="inlineStr">
        <is>
          <t>VÄSTERNORRLANDS LÄN</t>
        </is>
      </c>
      <c r="E9760" t="inlineStr">
        <is>
          <t>SUNDSVALL</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37226-2023</t>
        </is>
      </c>
      <c r="B9761" s="1" t="n">
        <v>45155</v>
      </c>
      <c r="C9761" s="1" t="n">
        <v>45657</v>
      </c>
      <c r="D9761" t="inlineStr">
        <is>
          <t>VÄSTERNORRLANDS LÄN</t>
        </is>
      </c>
      <c r="E9761" t="inlineStr">
        <is>
          <t>KRAMFORS</t>
        </is>
      </c>
      <c r="F9761" t="inlineStr">
        <is>
          <t>Kommuner</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37252-2023</t>
        </is>
      </c>
      <c r="B9762" s="1" t="n">
        <v>45155</v>
      </c>
      <c r="C9762" s="1" t="n">
        <v>45657</v>
      </c>
      <c r="D9762" t="inlineStr">
        <is>
          <t>VÄSTERNORRLANDS LÄN</t>
        </is>
      </c>
      <c r="E9762" t="inlineStr">
        <is>
          <t>ÅNGE</t>
        </is>
      </c>
      <c r="F9762" t="inlineStr">
        <is>
          <t>SCA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37242-2023</t>
        </is>
      </c>
      <c r="B9763" s="1" t="n">
        <v>45155</v>
      </c>
      <c r="C9763" s="1" t="n">
        <v>45657</v>
      </c>
      <c r="D9763" t="inlineStr">
        <is>
          <t>VÄSTERNORRLANDS LÄN</t>
        </is>
      </c>
      <c r="E9763" t="inlineStr">
        <is>
          <t>SUNDSVALL</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37243-2023</t>
        </is>
      </c>
      <c r="B9764" s="1" t="n">
        <v>45155</v>
      </c>
      <c r="C9764" s="1" t="n">
        <v>45657</v>
      </c>
      <c r="D9764" t="inlineStr">
        <is>
          <t>VÄSTERNORRLANDS LÄN</t>
        </is>
      </c>
      <c r="E9764" t="inlineStr">
        <is>
          <t>SUNDSVALL</t>
        </is>
      </c>
      <c r="F9764" t="inlineStr">
        <is>
          <t>SCA</t>
        </is>
      </c>
      <c r="G9764" t="n">
        <v>19.3</v>
      </c>
      <c r="H9764" t="n">
        <v>0</v>
      </c>
      <c r="I9764" t="n">
        <v>0</v>
      </c>
      <c r="J9764" t="n">
        <v>0</v>
      </c>
      <c r="K9764" t="n">
        <v>0</v>
      </c>
      <c r="L9764" t="n">
        <v>0</v>
      </c>
      <c r="M9764" t="n">
        <v>0</v>
      </c>
      <c r="N9764" t="n">
        <v>0</v>
      </c>
      <c r="O9764" t="n">
        <v>0</v>
      </c>
      <c r="P9764" t="n">
        <v>0</v>
      </c>
      <c r="Q9764" t="n">
        <v>0</v>
      </c>
      <c r="R9764" s="2" t="inlineStr"/>
    </row>
    <row r="9765" ht="15" customHeight="1">
      <c r="A9765" t="inlineStr">
        <is>
          <t>A 37259-2023</t>
        </is>
      </c>
      <c r="B9765" s="1" t="n">
        <v>45156</v>
      </c>
      <c r="C9765" s="1" t="n">
        <v>45657</v>
      </c>
      <c r="D9765" t="inlineStr">
        <is>
          <t>VÄSTERNORRLANDS LÄN</t>
        </is>
      </c>
      <c r="E9765" t="inlineStr">
        <is>
          <t>TIMRÅ</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37381-2023</t>
        </is>
      </c>
      <c r="B9766" s="1" t="n">
        <v>45155</v>
      </c>
      <c r="C9766" s="1" t="n">
        <v>45657</v>
      </c>
      <c r="D9766" t="inlineStr">
        <is>
          <t>VÄSTERNORRLANDS LÄN</t>
        </is>
      </c>
      <c r="E9766" t="inlineStr">
        <is>
          <t>SOLLEFTEÅ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37279-2023</t>
        </is>
      </c>
      <c r="B9767" s="1" t="n">
        <v>45156</v>
      </c>
      <c r="C9767" s="1" t="n">
        <v>45657</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37288-2023</t>
        </is>
      </c>
      <c r="B9768" s="1" t="n">
        <v>45156</v>
      </c>
      <c r="C9768" s="1" t="n">
        <v>45657</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37348-2023</t>
        </is>
      </c>
      <c r="B9769" s="1" t="n">
        <v>45156</v>
      </c>
      <c r="C9769" s="1" t="n">
        <v>45657</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37338-2023</t>
        </is>
      </c>
      <c r="B9770" s="1" t="n">
        <v>45156</v>
      </c>
      <c r="C9770" s="1" t="n">
        <v>45657</v>
      </c>
      <c r="D9770" t="inlineStr">
        <is>
          <t>VÄSTERNORRLANDS LÄN</t>
        </is>
      </c>
      <c r="E9770" t="inlineStr">
        <is>
          <t>ÖRNSKÖLDSVIK</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37471-2023</t>
        </is>
      </c>
      <c r="B9771" s="1" t="n">
        <v>45157</v>
      </c>
      <c r="C9771" s="1" t="n">
        <v>45657</v>
      </c>
      <c r="D9771" t="inlineStr">
        <is>
          <t>VÄSTERNORRLANDS LÄN</t>
        </is>
      </c>
      <c r="E9771" t="inlineStr">
        <is>
          <t>ÅNGE</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37484-2023</t>
        </is>
      </c>
      <c r="B9772" s="1" t="n">
        <v>45156</v>
      </c>
      <c r="C9772" s="1" t="n">
        <v>45657</v>
      </c>
      <c r="D9772" t="inlineStr">
        <is>
          <t>VÄSTERNORRLANDS LÄN</t>
        </is>
      </c>
      <c r="E9772" t="inlineStr">
        <is>
          <t>SOLLEFTEÅ</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37593-2023</t>
        </is>
      </c>
      <c r="B9773" s="1" t="n">
        <v>45156</v>
      </c>
      <c r="C9773" s="1" t="n">
        <v>45657</v>
      </c>
      <c r="D9773" t="inlineStr">
        <is>
          <t>VÄSTERNORRLANDS LÄN</t>
        </is>
      </c>
      <c r="E9773" t="inlineStr">
        <is>
          <t>KRAMFORS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37615-2023</t>
        </is>
      </c>
      <c r="B9774" s="1" t="n">
        <v>45156</v>
      </c>
      <c r="C9774" s="1" t="n">
        <v>45657</v>
      </c>
      <c r="D9774" t="inlineStr">
        <is>
          <t>VÄSTERNORRLANDS LÄN</t>
        </is>
      </c>
      <c r="E9774" t="inlineStr">
        <is>
          <t>SOLLEFTEÅ</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37711-2023</t>
        </is>
      </c>
      <c r="B9775" s="1" t="n">
        <v>45156</v>
      </c>
      <c r="C9775" s="1" t="n">
        <v>45657</v>
      </c>
      <c r="D9775" t="inlineStr">
        <is>
          <t>VÄSTERNORRLANDS LÄN</t>
        </is>
      </c>
      <c r="E9775" t="inlineStr">
        <is>
          <t>SOLLEFTEÅ</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37735-2023</t>
        </is>
      </c>
      <c r="B9776" s="1" t="n">
        <v>45156</v>
      </c>
      <c r="C9776" s="1" t="n">
        <v>45657</v>
      </c>
      <c r="D9776" t="inlineStr">
        <is>
          <t>VÄSTERNORRLANDS LÄN</t>
        </is>
      </c>
      <c r="E9776" t="inlineStr">
        <is>
          <t>SOLLEFTEÅ</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37486-2023</t>
        </is>
      </c>
      <c r="B9777" s="1" t="n">
        <v>45157</v>
      </c>
      <c r="C9777" s="1" t="n">
        <v>45657</v>
      </c>
      <c r="D9777" t="inlineStr">
        <is>
          <t>VÄSTERNORRLANDS LÄN</t>
        </is>
      </c>
      <c r="E9777" t="inlineStr">
        <is>
          <t>SOLLEFTEÅ</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37691-2023</t>
        </is>
      </c>
      <c r="B9778" s="1" t="n">
        <v>45156</v>
      </c>
      <c r="C9778" s="1" t="n">
        <v>45657</v>
      </c>
      <c r="D9778" t="inlineStr">
        <is>
          <t>VÄSTERNORRLANDS LÄN</t>
        </is>
      </c>
      <c r="E9778" t="inlineStr">
        <is>
          <t>SOLLEFTEÅ</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37722-2023</t>
        </is>
      </c>
      <c r="B9779" s="1" t="n">
        <v>45156</v>
      </c>
      <c r="C9779" s="1" t="n">
        <v>45657</v>
      </c>
      <c r="D9779" t="inlineStr">
        <is>
          <t>VÄSTERNORRLANDS LÄN</t>
        </is>
      </c>
      <c r="E9779" t="inlineStr">
        <is>
          <t>SOLLEFTEÅ</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37757-2023</t>
        </is>
      </c>
      <c r="B9780" s="1" t="n">
        <v>45156</v>
      </c>
      <c r="C9780" s="1" t="n">
        <v>45657</v>
      </c>
      <c r="D9780" t="inlineStr">
        <is>
          <t>VÄSTERNORRLANDS LÄN</t>
        </is>
      </c>
      <c r="E9780" t="inlineStr">
        <is>
          <t>SUNDSVALL</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37611-2023</t>
        </is>
      </c>
      <c r="B9781" s="1" t="n">
        <v>45156</v>
      </c>
      <c r="C9781" s="1" t="n">
        <v>45657</v>
      </c>
      <c r="D9781" t="inlineStr">
        <is>
          <t>VÄSTERNORRLANDS LÄN</t>
        </is>
      </c>
      <c r="E9781" t="inlineStr">
        <is>
          <t>SOLLEFTEÅ</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37671-2023</t>
        </is>
      </c>
      <c r="B9782" s="1" t="n">
        <v>45156</v>
      </c>
      <c r="C9782" s="1" t="n">
        <v>45657</v>
      </c>
      <c r="D9782" t="inlineStr">
        <is>
          <t>VÄSTERNORRLANDS LÄN</t>
        </is>
      </c>
      <c r="E9782" t="inlineStr">
        <is>
          <t>SOLLEFTEÅ</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37696-2023</t>
        </is>
      </c>
      <c r="B9783" s="1" t="n">
        <v>45156</v>
      </c>
      <c r="C9783" s="1" t="n">
        <v>45657</v>
      </c>
      <c r="D9783" t="inlineStr">
        <is>
          <t>VÄSTERNORRLANDS LÄN</t>
        </is>
      </c>
      <c r="E9783" t="inlineStr">
        <is>
          <t>SOLLEFTEÅ</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37726-2023</t>
        </is>
      </c>
      <c r="B9784" s="1" t="n">
        <v>45156</v>
      </c>
      <c r="C9784" s="1" t="n">
        <v>45657</v>
      </c>
      <c r="D9784" t="inlineStr">
        <is>
          <t>VÄSTERNORRLANDS LÄN</t>
        </is>
      </c>
      <c r="E9784" t="inlineStr">
        <is>
          <t>SOLLEFTEÅ</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37395-2023</t>
        </is>
      </c>
      <c r="B9785" s="1" t="n">
        <v>45156</v>
      </c>
      <c r="C9785" s="1" t="n">
        <v>45657</v>
      </c>
      <c r="D9785" t="inlineStr">
        <is>
          <t>VÄSTERNORRLANDS LÄN</t>
        </is>
      </c>
      <c r="E9785" t="inlineStr">
        <is>
          <t>ÖRNSKÖLDSVIK</t>
        </is>
      </c>
      <c r="F9785" t="inlineStr">
        <is>
          <t>Holmen skog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37403-2023</t>
        </is>
      </c>
      <c r="B9786" s="1" t="n">
        <v>45156</v>
      </c>
      <c r="C9786" s="1" t="n">
        <v>45657</v>
      </c>
      <c r="D9786" t="inlineStr">
        <is>
          <t>VÄSTERNORRLANDS LÄN</t>
        </is>
      </c>
      <c r="E9786" t="inlineStr">
        <is>
          <t>ÖRNSKÖLDSVIK</t>
        </is>
      </c>
      <c r="F9786" t="inlineStr">
        <is>
          <t>Holmen skog AB</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37408-2023</t>
        </is>
      </c>
      <c r="B9787" s="1" t="n">
        <v>45156</v>
      </c>
      <c r="C9787" s="1" t="n">
        <v>45657</v>
      </c>
      <c r="D9787" t="inlineStr">
        <is>
          <t>VÄSTERNORRLANDS LÄN</t>
        </is>
      </c>
      <c r="E9787" t="inlineStr">
        <is>
          <t>SUNDSVALL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37483-2023</t>
        </is>
      </c>
      <c r="B9788" s="1" t="n">
        <v>45157</v>
      </c>
      <c r="C9788" s="1" t="n">
        <v>45657</v>
      </c>
      <c r="D9788" t="inlineStr">
        <is>
          <t>VÄSTERNORRLANDS LÄN</t>
        </is>
      </c>
      <c r="E9788" t="inlineStr">
        <is>
          <t>SOLLEFTEÅ</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37487-2023</t>
        </is>
      </c>
      <c r="B9789" s="1" t="n">
        <v>45157</v>
      </c>
      <c r="C9789" s="1" t="n">
        <v>45657</v>
      </c>
      <c r="D9789" t="inlineStr">
        <is>
          <t>VÄSTERNORRLANDS LÄN</t>
        </is>
      </c>
      <c r="E9789" t="inlineStr">
        <is>
          <t>SOLLEFTEÅ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37699-2023</t>
        </is>
      </c>
      <c r="B9790" s="1" t="n">
        <v>45156</v>
      </c>
      <c r="C9790" s="1" t="n">
        <v>45657</v>
      </c>
      <c r="D9790" t="inlineStr">
        <is>
          <t>VÄSTERNORRLANDS LÄN</t>
        </is>
      </c>
      <c r="E9790" t="inlineStr">
        <is>
          <t>SOLLEFTEÅ</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37731-2023</t>
        </is>
      </c>
      <c r="B9791" s="1" t="n">
        <v>45156</v>
      </c>
      <c r="C9791" s="1" t="n">
        <v>45657</v>
      </c>
      <c r="D9791" t="inlineStr">
        <is>
          <t>VÄSTERNORRLANDS LÄN</t>
        </is>
      </c>
      <c r="E9791" t="inlineStr">
        <is>
          <t>SOLLEFTEÅ</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37503-2023</t>
        </is>
      </c>
      <c r="B9792" s="1" t="n">
        <v>45157</v>
      </c>
      <c r="C9792" s="1" t="n">
        <v>45657</v>
      </c>
      <c r="D9792" t="inlineStr">
        <is>
          <t>VÄSTERNORRLANDS LÄN</t>
        </is>
      </c>
      <c r="E9792" t="inlineStr">
        <is>
          <t>ÅNGE</t>
        </is>
      </c>
      <c r="F9792" t="inlineStr">
        <is>
          <t>Sveaskog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37579-2023</t>
        </is>
      </c>
      <c r="B9793" s="1" t="n">
        <v>45159</v>
      </c>
      <c r="C9793" s="1" t="n">
        <v>45657</v>
      </c>
      <c r="D9793" t="inlineStr">
        <is>
          <t>VÄSTERNORRLANDS LÄN</t>
        </is>
      </c>
      <c r="E9793" t="inlineStr">
        <is>
          <t>ÖRNSKÖLDSVIK</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37779-2023</t>
        </is>
      </c>
      <c r="B9794" s="1" t="n">
        <v>45159</v>
      </c>
      <c r="C9794" s="1" t="n">
        <v>45657</v>
      </c>
      <c r="D9794" t="inlineStr">
        <is>
          <t>VÄSTERNORRLANDS LÄN</t>
        </is>
      </c>
      <c r="E9794" t="inlineStr">
        <is>
          <t>KRAMFORS</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37807-2023</t>
        </is>
      </c>
      <c r="B9795" s="1" t="n">
        <v>45160</v>
      </c>
      <c r="C9795" s="1" t="n">
        <v>45657</v>
      </c>
      <c r="D9795" t="inlineStr">
        <is>
          <t>VÄSTERNORRLANDS LÄN</t>
        </is>
      </c>
      <c r="E9795" t="inlineStr">
        <is>
          <t>SOLLEFTEÅ</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37811-2023</t>
        </is>
      </c>
      <c r="B9796" s="1" t="n">
        <v>45159</v>
      </c>
      <c r="C9796" s="1" t="n">
        <v>45657</v>
      </c>
      <c r="D9796" t="inlineStr">
        <is>
          <t>VÄSTERNORRLANDS LÄN</t>
        </is>
      </c>
      <c r="E9796" t="inlineStr">
        <is>
          <t>HÄRNÖSAND</t>
        </is>
      </c>
      <c r="F9796" t="inlineStr">
        <is>
          <t>SCA</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37578-2023</t>
        </is>
      </c>
      <c r="B9797" s="1" t="n">
        <v>45159</v>
      </c>
      <c r="C9797" s="1" t="n">
        <v>45657</v>
      </c>
      <c r="D9797" t="inlineStr">
        <is>
          <t>VÄSTERNORRLANDS LÄN</t>
        </is>
      </c>
      <c r="E9797" t="inlineStr">
        <is>
          <t>ÖRNSKÖLDSVIK</t>
        </is>
      </c>
      <c r="F9797" t="inlineStr">
        <is>
          <t>Holmen skog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37800-2023</t>
        </is>
      </c>
      <c r="B9798" s="1" t="n">
        <v>45159</v>
      </c>
      <c r="C9798" s="1" t="n">
        <v>45657</v>
      </c>
      <c r="D9798" t="inlineStr">
        <is>
          <t>VÄSTERNORRLANDS LÄN</t>
        </is>
      </c>
      <c r="E9798" t="inlineStr">
        <is>
          <t>ÅNGE</t>
        </is>
      </c>
      <c r="F9798" t="inlineStr">
        <is>
          <t>SCA</t>
        </is>
      </c>
      <c r="G9798" t="n">
        <v>15.3</v>
      </c>
      <c r="H9798" t="n">
        <v>0</v>
      </c>
      <c r="I9798" t="n">
        <v>0</v>
      </c>
      <c r="J9798" t="n">
        <v>0</v>
      </c>
      <c r="K9798" t="n">
        <v>0</v>
      </c>
      <c r="L9798" t="n">
        <v>0</v>
      </c>
      <c r="M9798" t="n">
        <v>0</v>
      </c>
      <c r="N9798" t="n">
        <v>0</v>
      </c>
      <c r="O9798" t="n">
        <v>0</v>
      </c>
      <c r="P9798" t="n">
        <v>0</v>
      </c>
      <c r="Q9798" t="n">
        <v>0</v>
      </c>
      <c r="R9798" s="2" t="inlineStr"/>
    </row>
    <row r="9799" ht="15" customHeight="1">
      <c r="A9799" t="inlineStr">
        <is>
          <t>A 37558-2023</t>
        </is>
      </c>
      <c r="B9799" s="1" t="n">
        <v>45159</v>
      </c>
      <c r="C9799" s="1" t="n">
        <v>45657</v>
      </c>
      <c r="D9799" t="inlineStr">
        <is>
          <t>VÄSTERNORRLANDS LÄN</t>
        </is>
      </c>
      <c r="E9799" t="inlineStr">
        <is>
          <t>ÅNGE</t>
        </is>
      </c>
      <c r="F9799" t="inlineStr">
        <is>
          <t>Kyrkan</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37636-2023</t>
        </is>
      </c>
      <c r="B9800" s="1" t="n">
        <v>45159</v>
      </c>
      <c r="C9800" s="1" t="n">
        <v>45657</v>
      </c>
      <c r="D9800" t="inlineStr">
        <is>
          <t>VÄSTERNORRLANDS LÄN</t>
        </is>
      </c>
      <c r="E9800" t="inlineStr">
        <is>
          <t>ÖRNSKÖLDSVIK</t>
        </is>
      </c>
      <c r="F9800" t="inlineStr">
        <is>
          <t>Holmen skog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37640-2023</t>
        </is>
      </c>
      <c r="B9801" s="1" t="n">
        <v>45159</v>
      </c>
      <c r="C9801" s="1" t="n">
        <v>45657</v>
      </c>
      <c r="D9801" t="inlineStr">
        <is>
          <t>VÄSTERNORRLANDS LÄN</t>
        </is>
      </c>
      <c r="E9801" t="inlineStr">
        <is>
          <t>ÖRNSKÖLDSVIK</t>
        </is>
      </c>
      <c r="F9801" t="inlineStr">
        <is>
          <t>Holmen skog AB</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37674-2023</t>
        </is>
      </c>
      <c r="B9802" s="1" t="n">
        <v>45159</v>
      </c>
      <c r="C9802" s="1" t="n">
        <v>45657</v>
      </c>
      <c r="D9802" t="inlineStr">
        <is>
          <t>VÄSTERNORRLANDS LÄN</t>
        </is>
      </c>
      <c r="E9802" t="inlineStr">
        <is>
          <t>ÖRNSKÖLDSVIK</t>
        </is>
      </c>
      <c r="F9802" t="inlineStr">
        <is>
          <t>Holmen skog AB</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37736-2023</t>
        </is>
      </c>
      <c r="B9803" s="1" t="n">
        <v>45159</v>
      </c>
      <c r="C9803" s="1" t="n">
        <v>45657</v>
      </c>
      <c r="D9803" t="inlineStr">
        <is>
          <t>VÄSTERNORRLANDS LÄN</t>
        </is>
      </c>
      <c r="E9803" t="inlineStr">
        <is>
          <t>ÖRNSKÖLDSVIK</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37761-2023</t>
        </is>
      </c>
      <c r="B9804" s="1" t="n">
        <v>45159</v>
      </c>
      <c r="C9804" s="1" t="n">
        <v>45657</v>
      </c>
      <c r="D9804" t="inlineStr">
        <is>
          <t>VÄSTERNORRLANDS LÄN</t>
        </is>
      </c>
      <c r="E9804" t="inlineStr">
        <is>
          <t>ÖRNSKÖLDSVIK</t>
        </is>
      </c>
      <c r="F9804" t="inlineStr">
        <is>
          <t>Holmen skog AB</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37737-2023</t>
        </is>
      </c>
      <c r="B9805" s="1" t="n">
        <v>45159</v>
      </c>
      <c r="C9805" s="1" t="n">
        <v>45657</v>
      </c>
      <c r="D9805" t="inlineStr">
        <is>
          <t>VÄSTERNORRLANDS LÄN</t>
        </is>
      </c>
      <c r="E9805" t="inlineStr">
        <is>
          <t>ÖRNSKÖLDSVIK</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37801-2023</t>
        </is>
      </c>
      <c r="B9806" s="1" t="n">
        <v>45159</v>
      </c>
      <c r="C9806" s="1" t="n">
        <v>45657</v>
      </c>
      <c r="D9806" t="inlineStr">
        <is>
          <t>VÄSTERNORRLANDS LÄN</t>
        </is>
      </c>
      <c r="E9806" t="inlineStr">
        <is>
          <t>ÅNGE</t>
        </is>
      </c>
      <c r="F9806" t="inlineStr">
        <is>
          <t>SCA</t>
        </is>
      </c>
      <c r="G9806" t="n">
        <v>33.4</v>
      </c>
      <c r="H9806" t="n">
        <v>0</v>
      </c>
      <c r="I9806" t="n">
        <v>0</v>
      </c>
      <c r="J9806" t="n">
        <v>0</v>
      </c>
      <c r="K9806" t="n">
        <v>0</v>
      </c>
      <c r="L9806" t="n">
        <v>0</v>
      </c>
      <c r="M9806" t="n">
        <v>0</v>
      </c>
      <c r="N9806" t="n">
        <v>0</v>
      </c>
      <c r="O9806" t="n">
        <v>0</v>
      </c>
      <c r="P9806" t="n">
        <v>0</v>
      </c>
      <c r="Q9806" t="n">
        <v>0</v>
      </c>
      <c r="R9806" s="2" t="inlineStr"/>
    </row>
    <row r="9807" ht="15" customHeight="1">
      <c r="A9807" t="inlineStr">
        <is>
          <t>A 37778-2023</t>
        </is>
      </c>
      <c r="B9807" s="1" t="n">
        <v>45159</v>
      </c>
      <c r="C9807" s="1" t="n">
        <v>45657</v>
      </c>
      <c r="D9807" t="inlineStr">
        <is>
          <t>VÄSTERNORRLANDS LÄN</t>
        </is>
      </c>
      <c r="E9807" t="inlineStr">
        <is>
          <t>KRAMFORS</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37802-2023</t>
        </is>
      </c>
      <c r="B9808" s="1" t="n">
        <v>45160</v>
      </c>
      <c r="C9808" s="1" t="n">
        <v>45657</v>
      </c>
      <c r="D9808" t="inlineStr">
        <is>
          <t>VÄSTERNORRLANDS LÄN</t>
        </is>
      </c>
      <c r="E9808" t="inlineStr">
        <is>
          <t>SUNDSVALL</t>
        </is>
      </c>
      <c r="F9808" t="inlineStr">
        <is>
          <t>SCA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37814-2023</t>
        </is>
      </c>
      <c r="B9809" s="1" t="n">
        <v>45160</v>
      </c>
      <c r="C9809" s="1" t="n">
        <v>45657</v>
      </c>
      <c r="D9809" t="inlineStr">
        <is>
          <t>VÄSTERNORRLANDS LÄN</t>
        </is>
      </c>
      <c r="E9809" t="inlineStr">
        <is>
          <t>SUNDSVALL</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38067-2023</t>
        </is>
      </c>
      <c r="B9810" s="1" t="n">
        <v>45159</v>
      </c>
      <c r="C9810" s="1" t="n">
        <v>45657</v>
      </c>
      <c r="D9810" t="inlineStr">
        <is>
          <t>VÄSTERNORRLANDS LÄN</t>
        </is>
      </c>
      <c r="E9810" t="inlineStr">
        <is>
          <t>HÄRNÖSAND</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37808-2023</t>
        </is>
      </c>
      <c r="B9811" s="1" t="n">
        <v>45160</v>
      </c>
      <c r="C9811" s="1" t="n">
        <v>45657</v>
      </c>
      <c r="D9811" t="inlineStr">
        <is>
          <t>VÄSTERNORRLANDS LÄN</t>
        </is>
      </c>
      <c r="E9811" t="inlineStr">
        <is>
          <t>TIMRÅ</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37862-2023</t>
        </is>
      </c>
      <c r="B9812" s="1" t="n">
        <v>45160</v>
      </c>
      <c r="C9812" s="1" t="n">
        <v>45657</v>
      </c>
      <c r="D9812" t="inlineStr">
        <is>
          <t>VÄSTERNORRLANDS LÄN</t>
        </is>
      </c>
      <c r="E9812" t="inlineStr">
        <is>
          <t>ÖRNSKÖLDSVIK</t>
        </is>
      </c>
      <c r="F9812" t="inlineStr">
        <is>
          <t>Holmen skog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37885-2023</t>
        </is>
      </c>
      <c r="B9813" s="1" t="n">
        <v>45160</v>
      </c>
      <c r="C9813" s="1" t="n">
        <v>45657</v>
      </c>
      <c r="D9813" t="inlineStr">
        <is>
          <t>VÄSTERNORRLANDS LÄN</t>
        </is>
      </c>
      <c r="E9813" t="inlineStr">
        <is>
          <t>ÖRNSKÖLDSVIK</t>
        </is>
      </c>
      <c r="F9813" t="inlineStr">
        <is>
          <t>Holmen skog AB</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37893-2023</t>
        </is>
      </c>
      <c r="B9814" s="1" t="n">
        <v>45160</v>
      </c>
      <c r="C9814" s="1" t="n">
        <v>45657</v>
      </c>
      <c r="D9814" t="inlineStr">
        <is>
          <t>VÄSTERNORRLANDS LÄN</t>
        </is>
      </c>
      <c r="E9814" t="inlineStr">
        <is>
          <t>ÖRNSKÖLDSVIK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38095-2023</t>
        </is>
      </c>
      <c r="B9815" s="1" t="n">
        <v>45160</v>
      </c>
      <c r="C9815" s="1" t="n">
        <v>45657</v>
      </c>
      <c r="D9815" t="inlineStr">
        <is>
          <t>VÄSTERNORRLANDS LÄN</t>
        </is>
      </c>
      <c r="E9815" t="inlineStr">
        <is>
          <t>SUNDSVALL</t>
        </is>
      </c>
      <c r="F9815" t="inlineStr">
        <is>
          <t>SCA</t>
        </is>
      </c>
      <c r="G9815" t="n">
        <v>32.1</v>
      </c>
      <c r="H9815" t="n">
        <v>0</v>
      </c>
      <c r="I9815" t="n">
        <v>0</v>
      </c>
      <c r="J9815" t="n">
        <v>0</v>
      </c>
      <c r="K9815" t="n">
        <v>0</v>
      </c>
      <c r="L9815" t="n">
        <v>0</v>
      </c>
      <c r="M9815" t="n">
        <v>0</v>
      </c>
      <c r="N9815" t="n">
        <v>0</v>
      </c>
      <c r="O9815" t="n">
        <v>0</v>
      </c>
      <c r="P9815" t="n">
        <v>0</v>
      </c>
      <c r="Q9815" t="n">
        <v>0</v>
      </c>
      <c r="R9815" s="2" t="inlineStr"/>
    </row>
    <row r="9816" ht="15" customHeight="1">
      <c r="A9816" t="inlineStr">
        <is>
          <t>A 37912-2023</t>
        </is>
      </c>
      <c r="B9816" s="1" t="n">
        <v>45160</v>
      </c>
      <c r="C9816" s="1" t="n">
        <v>45657</v>
      </c>
      <c r="D9816" t="inlineStr">
        <is>
          <t>VÄSTERNORRLANDS LÄN</t>
        </is>
      </c>
      <c r="E9816" t="inlineStr">
        <is>
          <t>ÖRNSKÖLDSVIK</t>
        </is>
      </c>
      <c r="F9816" t="inlineStr">
        <is>
          <t>Holmen skog AB</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37927-2023</t>
        </is>
      </c>
      <c r="B9817" s="1" t="n">
        <v>45160</v>
      </c>
      <c r="C9817" s="1" t="n">
        <v>45657</v>
      </c>
      <c r="D9817" t="inlineStr">
        <is>
          <t>VÄSTERNORRLANDS LÄN</t>
        </is>
      </c>
      <c r="E9817" t="inlineStr">
        <is>
          <t>SUNDSVALL</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37826-2023</t>
        </is>
      </c>
      <c r="B9818" s="1" t="n">
        <v>45160</v>
      </c>
      <c r="C9818" s="1" t="n">
        <v>45657</v>
      </c>
      <c r="D9818" t="inlineStr">
        <is>
          <t>VÄSTERNORRLANDS LÄN</t>
        </is>
      </c>
      <c r="E9818" t="inlineStr">
        <is>
          <t>ÖRNSKÖLDSVIK</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37846-2023</t>
        </is>
      </c>
      <c r="B9819" s="1" t="n">
        <v>45160</v>
      </c>
      <c r="C9819" s="1" t="n">
        <v>45657</v>
      </c>
      <c r="D9819" t="inlineStr">
        <is>
          <t>VÄSTERNORRLANDS LÄN</t>
        </is>
      </c>
      <c r="E9819" t="inlineStr">
        <is>
          <t>ÖRNSKÖLDSVIK</t>
        </is>
      </c>
      <c r="F9819" t="inlineStr">
        <is>
          <t>Holmen skog AB</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38028-2023</t>
        </is>
      </c>
      <c r="B9820" s="1" t="n">
        <v>45160</v>
      </c>
      <c r="C9820" s="1" t="n">
        <v>45657</v>
      </c>
      <c r="D9820" t="inlineStr">
        <is>
          <t>VÄSTERNORRLANDS LÄN</t>
        </is>
      </c>
      <c r="E9820" t="inlineStr">
        <is>
          <t>ÖRNSKÖLDSVIK</t>
        </is>
      </c>
      <c r="F9820" t="inlineStr">
        <is>
          <t>Holmen skog AB</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38093-2023</t>
        </is>
      </c>
      <c r="B9821" s="1" t="n">
        <v>45160</v>
      </c>
      <c r="C9821" s="1" t="n">
        <v>45657</v>
      </c>
      <c r="D9821" t="inlineStr">
        <is>
          <t>VÄSTERNORRLANDS LÄN</t>
        </is>
      </c>
      <c r="E9821" t="inlineStr">
        <is>
          <t>SOLLEFTEÅ</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38097-2023</t>
        </is>
      </c>
      <c r="B9822" s="1" t="n">
        <v>45160</v>
      </c>
      <c r="C9822" s="1" t="n">
        <v>45657</v>
      </c>
      <c r="D9822" t="inlineStr">
        <is>
          <t>VÄSTERNORRLANDS LÄN</t>
        </is>
      </c>
      <c r="E9822" t="inlineStr">
        <is>
          <t>SOLLEFTEÅ</t>
        </is>
      </c>
      <c r="F9822" t="inlineStr">
        <is>
          <t>SCA</t>
        </is>
      </c>
      <c r="G9822" t="n">
        <v>47.1</v>
      </c>
      <c r="H9822" t="n">
        <v>0</v>
      </c>
      <c r="I9822" t="n">
        <v>0</v>
      </c>
      <c r="J9822" t="n">
        <v>0</v>
      </c>
      <c r="K9822" t="n">
        <v>0</v>
      </c>
      <c r="L9822" t="n">
        <v>0</v>
      </c>
      <c r="M9822" t="n">
        <v>0</v>
      </c>
      <c r="N9822" t="n">
        <v>0</v>
      </c>
      <c r="O9822" t="n">
        <v>0</v>
      </c>
      <c r="P9822" t="n">
        <v>0</v>
      </c>
      <c r="Q9822" t="n">
        <v>0</v>
      </c>
      <c r="R9822" s="2" t="inlineStr"/>
    </row>
    <row r="9823" ht="15" customHeight="1">
      <c r="A9823" t="inlineStr">
        <is>
          <t>A 37913-2023</t>
        </is>
      </c>
      <c r="B9823" s="1" t="n">
        <v>45160</v>
      </c>
      <c r="C9823" s="1" t="n">
        <v>45657</v>
      </c>
      <c r="D9823" t="inlineStr">
        <is>
          <t>VÄSTERNORRLANDS LÄN</t>
        </is>
      </c>
      <c r="E9823" t="inlineStr">
        <is>
          <t>ÖRNSKÖLDSVIK</t>
        </is>
      </c>
      <c r="F9823" t="inlineStr">
        <is>
          <t>Holmen skog AB</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37947-2023</t>
        </is>
      </c>
      <c r="B9824" s="1" t="n">
        <v>45160</v>
      </c>
      <c r="C9824" s="1" t="n">
        <v>45657</v>
      </c>
      <c r="D9824" t="inlineStr">
        <is>
          <t>VÄSTERNORRLANDS LÄN</t>
        </is>
      </c>
      <c r="E9824" t="inlineStr">
        <is>
          <t>ÖRNSKÖLDSVIK</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38131-2023</t>
        </is>
      </c>
      <c r="B9825" s="1" t="n">
        <v>45160</v>
      </c>
      <c r="C9825" s="1" t="n">
        <v>45657</v>
      </c>
      <c r="D9825" t="inlineStr">
        <is>
          <t>VÄSTERNORRLANDS LÄN</t>
        </is>
      </c>
      <c r="E9825" t="inlineStr">
        <is>
          <t>SUNDSVALL</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37920-2023</t>
        </is>
      </c>
      <c r="B9826" s="1" t="n">
        <v>45160</v>
      </c>
      <c r="C9826" s="1" t="n">
        <v>45657</v>
      </c>
      <c r="D9826" t="inlineStr">
        <is>
          <t>VÄSTERNORRLANDS LÄN</t>
        </is>
      </c>
      <c r="E9826" t="inlineStr">
        <is>
          <t>ÖRNSKÖLDSVIK</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38409-2023</t>
        </is>
      </c>
      <c r="B9827" s="1" t="n">
        <v>45160</v>
      </c>
      <c r="C9827" s="1" t="n">
        <v>45657</v>
      </c>
      <c r="D9827" t="inlineStr">
        <is>
          <t>VÄSTERNORRLANDS LÄN</t>
        </is>
      </c>
      <c r="E9827" t="inlineStr">
        <is>
          <t>HÄRNÖSAND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38423-2023</t>
        </is>
      </c>
      <c r="B9828" s="1" t="n">
        <v>45160</v>
      </c>
      <c r="C9828" s="1" t="n">
        <v>45657</v>
      </c>
      <c r="D9828" t="inlineStr">
        <is>
          <t>VÄSTERNORRLANDS LÄN</t>
        </is>
      </c>
      <c r="E9828" t="inlineStr">
        <is>
          <t>TIMRÅ</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37999-2023</t>
        </is>
      </c>
      <c r="B9829" s="1" t="n">
        <v>45160</v>
      </c>
      <c r="C9829" s="1" t="n">
        <v>45657</v>
      </c>
      <c r="D9829" t="inlineStr">
        <is>
          <t>VÄSTERNORRLANDS LÄN</t>
        </is>
      </c>
      <c r="E9829" t="inlineStr">
        <is>
          <t>ÖRNSKÖLDSVIK</t>
        </is>
      </c>
      <c r="F9829" t="inlineStr">
        <is>
          <t>Holmen skog AB</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38012-2023</t>
        </is>
      </c>
      <c r="B9830" s="1" t="n">
        <v>45160</v>
      </c>
      <c r="C9830" s="1" t="n">
        <v>45657</v>
      </c>
      <c r="D9830" t="inlineStr">
        <is>
          <t>VÄSTERNORRLANDS LÄN</t>
        </is>
      </c>
      <c r="E9830" t="inlineStr">
        <is>
          <t>ÖRNSKÖLDSVIK</t>
        </is>
      </c>
      <c r="F9830" t="inlineStr">
        <is>
          <t>Holmen skog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38092-2023</t>
        </is>
      </c>
      <c r="B9831" s="1" t="n">
        <v>45161</v>
      </c>
      <c r="C9831" s="1" t="n">
        <v>45657</v>
      </c>
      <c r="D9831" t="inlineStr">
        <is>
          <t>VÄSTERNORRLANDS LÄN</t>
        </is>
      </c>
      <c r="E9831" t="inlineStr">
        <is>
          <t>SOLLEFTEÅ</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38100-2023</t>
        </is>
      </c>
      <c r="B9832" s="1" t="n">
        <v>45161</v>
      </c>
      <c r="C9832" s="1" t="n">
        <v>45657</v>
      </c>
      <c r="D9832" t="inlineStr">
        <is>
          <t>VÄSTERNORRLANDS LÄN</t>
        </is>
      </c>
      <c r="E9832" t="inlineStr">
        <is>
          <t>SOLLEFTEÅ</t>
        </is>
      </c>
      <c r="F9832" t="inlineStr">
        <is>
          <t>SCA</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38090-2023</t>
        </is>
      </c>
      <c r="B9833" s="1" t="n">
        <v>45161</v>
      </c>
      <c r="C9833" s="1" t="n">
        <v>45657</v>
      </c>
      <c r="D9833" t="inlineStr">
        <is>
          <t>VÄSTERNORRLANDS LÄN</t>
        </is>
      </c>
      <c r="E9833" t="inlineStr">
        <is>
          <t>ÅNGE</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38094-2023</t>
        </is>
      </c>
      <c r="B9834" s="1" t="n">
        <v>45161</v>
      </c>
      <c r="C9834" s="1" t="n">
        <v>45657</v>
      </c>
      <c r="D9834" t="inlineStr">
        <is>
          <t>VÄSTERNORRLANDS LÄN</t>
        </is>
      </c>
      <c r="E9834" t="inlineStr">
        <is>
          <t>SUNDSVALL</t>
        </is>
      </c>
      <c r="F9834" t="inlineStr">
        <is>
          <t>SCA</t>
        </is>
      </c>
      <c r="G9834" t="n">
        <v>12.1</v>
      </c>
      <c r="H9834" t="n">
        <v>0</v>
      </c>
      <c r="I9834" t="n">
        <v>0</v>
      </c>
      <c r="J9834" t="n">
        <v>0</v>
      </c>
      <c r="K9834" t="n">
        <v>0</v>
      </c>
      <c r="L9834" t="n">
        <v>0</v>
      </c>
      <c r="M9834" t="n">
        <v>0</v>
      </c>
      <c r="N9834" t="n">
        <v>0</v>
      </c>
      <c r="O9834" t="n">
        <v>0</v>
      </c>
      <c r="P9834" t="n">
        <v>0</v>
      </c>
      <c r="Q9834" t="n">
        <v>0</v>
      </c>
      <c r="R9834" s="2" t="inlineStr"/>
    </row>
    <row r="9835" ht="15" customHeight="1">
      <c r="A9835" t="inlineStr">
        <is>
          <t>A 38098-2023</t>
        </is>
      </c>
      <c r="B9835" s="1" t="n">
        <v>45161</v>
      </c>
      <c r="C9835" s="1" t="n">
        <v>45657</v>
      </c>
      <c r="D9835" t="inlineStr">
        <is>
          <t>VÄSTERNORRLANDS LÄN</t>
        </is>
      </c>
      <c r="E9835" t="inlineStr">
        <is>
          <t>ÖRNSKÖLDSVIK</t>
        </is>
      </c>
      <c r="F9835" t="inlineStr">
        <is>
          <t>SCA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38292-2023</t>
        </is>
      </c>
      <c r="B9836" s="1" t="n">
        <v>45161</v>
      </c>
      <c r="C9836" s="1" t="n">
        <v>45657</v>
      </c>
      <c r="D9836" t="inlineStr">
        <is>
          <t>VÄSTERNORRLANDS LÄN</t>
        </is>
      </c>
      <c r="E9836" t="inlineStr">
        <is>
          <t>ÖRNSKÖLDSVIK</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38350-2023</t>
        </is>
      </c>
      <c r="B9837" s="1" t="n">
        <v>45162</v>
      </c>
      <c r="C9837" s="1" t="n">
        <v>45657</v>
      </c>
      <c r="D9837" t="inlineStr">
        <is>
          <t>VÄSTERNORRLANDS LÄN</t>
        </is>
      </c>
      <c r="E9837" t="inlineStr">
        <is>
          <t>SUNDSVALL</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38368-2023</t>
        </is>
      </c>
      <c r="B9838" s="1" t="n">
        <v>45161</v>
      </c>
      <c r="C9838" s="1" t="n">
        <v>45657</v>
      </c>
      <c r="D9838" t="inlineStr">
        <is>
          <t>VÄSTERNORRLANDS LÄN</t>
        </is>
      </c>
      <c r="E9838" t="inlineStr">
        <is>
          <t>ÖRNSKÖLDSVIK</t>
        </is>
      </c>
      <c r="F9838" t="inlineStr">
        <is>
          <t>SCA</t>
        </is>
      </c>
      <c r="G9838" t="n">
        <v>124.7</v>
      </c>
      <c r="H9838" t="n">
        <v>0</v>
      </c>
      <c r="I9838" t="n">
        <v>0</v>
      </c>
      <c r="J9838" t="n">
        <v>0</v>
      </c>
      <c r="K9838" t="n">
        <v>0</v>
      </c>
      <c r="L9838" t="n">
        <v>0</v>
      </c>
      <c r="M9838" t="n">
        <v>0</v>
      </c>
      <c r="N9838" t="n">
        <v>0</v>
      </c>
      <c r="O9838" t="n">
        <v>0</v>
      </c>
      <c r="P9838" t="n">
        <v>0</v>
      </c>
      <c r="Q9838" t="n">
        <v>0</v>
      </c>
      <c r="R9838" s="2" t="inlineStr"/>
    </row>
    <row r="9839" ht="15" customHeight="1">
      <c r="A9839" t="inlineStr">
        <is>
          <t>A 38997-2023</t>
        </is>
      </c>
      <c r="B9839" s="1" t="n">
        <v>45161</v>
      </c>
      <c r="C9839" s="1" t="n">
        <v>45657</v>
      </c>
      <c r="D9839" t="inlineStr">
        <is>
          <t>VÄSTERNORRLANDS LÄN</t>
        </is>
      </c>
      <c r="E9839" t="inlineStr">
        <is>
          <t>KRAMFORS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38202-2023</t>
        </is>
      </c>
      <c r="B9840" s="1" t="n">
        <v>45161</v>
      </c>
      <c r="C9840" s="1" t="n">
        <v>45657</v>
      </c>
      <c r="D9840" t="inlineStr">
        <is>
          <t>VÄSTERNORRLANDS LÄN</t>
        </is>
      </c>
      <c r="E9840" t="inlineStr">
        <is>
          <t>ÖRNSKÖLDSVIK</t>
        </is>
      </c>
      <c r="F9840" t="inlineStr">
        <is>
          <t>Holmen skog AB</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38256-2023</t>
        </is>
      </c>
      <c r="B9841" s="1" t="n">
        <v>45161</v>
      </c>
      <c r="C9841" s="1" t="n">
        <v>45657</v>
      </c>
      <c r="D9841" t="inlineStr">
        <is>
          <t>VÄSTERNORRLANDS LÄN</t>
        </is>
      </c>
      <c r="E9841" t="inlineStr">
        <is>
          <t>SUNDSVALL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38275-2023</t>
        </is>
      </c>
      <c r="B9842" s="1" t="n">
        <v>45161</v>
      </c>
      <c r="C9842" s="1" t="n">
        <v>45657</v>
      </c>
      <c r="D9842" t="inlineStr">
        <is>
          <t>VÄSTERNORRLANDS LÄN</t>
        </is>
      </c>
      <c r="E9842" t="inlineStr">
        <is>
          <t>ÖRNSKÖLDSVIK</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38353-2023</t>
        </is>
      </c>
      <c r="B9843" s="1" t="n">
        <v>45161</v>
      </c>
      <c r="C9843" s="1" t="n">
        <v>45657</v>
      </c>
      <c r="D9843" t="inlineStr">
        <is>
          <t>VÄSTERNORRLANDS LÄN</t>
        </is>
      </c>
      <c r="E9843" t="inlineStr">
        <is>
          <t>SUNDSVALL</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38357-2023</t>
        </is>
      </c>
      <c r="B9844" s="1" t="n">
        <v>45161</v>
      </c>
      <c r="C9844" s="1" t="n">
        <v>45657</v>
      </c>
      <c r="D9844" t="inlineStr">
        <is>
          <t>VÄSTERNORRLANDS LÄN</t>
        </is>
      </c>
      <c r="E9844" t="inlineStr">
        <is>
          <t>SUNDSVALL</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38366-2023</t>
        </is>
      </c>
      <c r="B9845" s="1" t="n">
        <v>45162</v>
      </c>
      <c r="C9845" s="1" t="n">
        <v>45657</v>
      </c>
      <c r="D9845" t="inlineStr">
        <is>
          <t>VÄSTERNORRLANDS LÄN</t>
        </is>
      </c>
      <c r="E9845" t="inlineStr">
        <is>
          <t>SUNDSVALL</t>
        </is>
      </c>
      <c r="F9845" t="inlineStr">
        <is>
          <t>SCA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38121-2023</t>
        </is>
      </c>
      <c r="B9846" s="1" t="n">
        <v>45161</v>
      </c>
      <c r="C9846" s="1" t="n">
        <v>45657</v>
      </c>
      <c r="D9846" t="inlineStr">
        <is>
          <t>VÄSTERNORRLANDS LÄN</t>
        </is>
      </c>
      <c r="E9846" t="inlineStr">
        <is>
          <t>ÖRNSKÖLDSVIK</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38360-2023</t>
        </is>
      </c>
      <c r="B9847" s="1" t="n">
        <v>45162</v>
      </c>
      <c r="C9847" s="1" t="n">
        <v>45657</v>
      </c>
      <c r="D9847" t="inlineStr">
        <is>
          <t>VÄSTERNORRLANDS LÄN</t>
        </is>
      </c>
      <c r="E9847" t="inlineStr">
        <is>
          <t>TIMRÅ</t>
        </is>
      </c>
      <c r="F9847" t="inlineStr">
        <is>
          <t>SCA</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38365-2023</t>
        </is>
      </c>
      <c r="B9848" s="1" t="n">
        <v>45162</v>
      </c>
      <c r="C9848" s="1" t="n">
        <v>45657</v>
      </c>
      <c r="D9848" t="inlineStr">
        <is>
          <t>VÄSTERNORRLANDS LÄN</t>
        </is>
      </c>
      <c r="E9848" t="inlineStr">
        <is>
          <t>SUNDSVALL</t>
        </is>
      </c>
      <c r="F9848" t="inlineStr">
        <is>
          <t>SCA</t>
        </is>
      </c>
      <c r="G9848" t="n">
        <v>21.8</v>
      </c>
      <c r="H9848" t="n">
        <v>0</v>
      </c>
      <c r="I9848" t="n">
        <v>0</v>
      </c>
      <c r="J9848" t="n">
        <v>0</v>
      </c>
      <c r="K9848" t="n">
        <v>0</v>
      </c>
      <c r="L9848" t="n">
        <v>0</v>
      </c>
      <c r="M9848" t="n">
        <v>0</v>
      </c>
      <c r="N9848" t="n">
        <v>0</v>
      </c>
      <c r="O9848" t="n">
        <v>0</v>
      </c>
      <c r="P9848" t="n">
        <v>0</v>
      </c>
      <c r="Q9848" t="n">
        <v>0</v>
      </c>
      <c r="R9848" s="2" t="inlineStr"/>
    </row>
    <row r="9849" ht="15" customHeight="1">
      <c r="A9849" t="inlineStr">
        <is>
          <t>A 38367-2023</t>
        </is>
      </c>
      <c r="B9849" s="1" t="n">
        <v>45162</v>
      </c>
      <c r="C9849" s="1" t="n">
        <v>45657</v>
      </c>
      <c r="D9849" t="inlineStr">
        <is>
          <t>VÄSTERNORRLANDS LÄN</t>
        </is>
      </c>
      <c r="E9849" t="inlineStr">
        <is>
          <t>SUNDSVALL</t>
        </is>
      </c>
      <c r="F9849" t="inlineStr">
        <is>
          <t>SCA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38379-2023</t>
        </is>
      </c>
      <c r="B9850" s="1" t="n">
        <v>45161</v>
      </c>
      <c r="C9850" s="1" t="n">
        <v>45657</v>
      </c>
      <c r="D9850" t="inlineStr">
        <is>
          <t>VÄSTERNORRLANDS LÄN</t>
        </is>
      </c>
      <c r="E9850" t="inlineStr">
        <is>
          <t>HÄRNÖSAND</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38380-2023</t>
        </is>
      </c>
      <c r="B9851" s="1" t="n">
        <v>45161</v>
      </c>
      <c r="C9851" s="1" t="n">
        <v>45657</v>
      </c>
      <c r="D9851" t="inlineStr">
        <is>
          <t>VÄSTERNORRLANDS LÄN</t>
        </is>
      </c>
      <c r="E9851" t="inlineStr">
        <is>
          <t>HÄRNÖSAND</t>
        </is>
      </c>
      <c r="F9851" t="inlineStr">
        <is>
          <t>SCA</t>
        </is>
      </c>
      <c r="G9851" t="n">
        <v>14.9</v>
      </c>
      <c r="H9851" t="n">
        <v>0</v>
      </c>
      <c r="I9851" t="n">
        <v>0</v>
      </c>
      <c r="J9851" t="n">
        <v>0</v>
      </c>
      <c r="K9851" t="n">
        <v>0</v>
      </c>
      <c r="L9851" t="n">
        <v>0</v>
      </c>
      <c r="M9851" t="n">
        <v>0</v>
      </c>
      <c r="N9851" t="n">
        <v>0</v>
      </c>
      <c r="O9851" t="n">
        <v>0</v>
      </c>
      <c r="P9851" t="n">
        <v>0</v>
      </c>
      <c r="Q9851" t="n">
        <v>0</v>
      </c>
      <c r="R9851" s="2" t="inlineStr"/>
    </row>
    <row r="9852" ht="15" customHeight="1">
      <c r="A9852" t="inlineStr">
        <is>
          <t>A 38378-2023</t>
        </is>
      </c>
      <c r="B9852" s="1" t="n">
        <v>45161</v>
      </c>
      <c r="C9852" s="1" t="n">
        <v>45657</v>
      </c>
      <c r="D9852" t="inlineStr">
        <is>
          <t>VÄSTERNORRLANDS LÄN</t>
        </is>
      </c>
      <c r="E9852" t="inlineStr">
        <is>
          <t>HÄRNÖSAND</t>
        </is>
      </c>
      <c r="F9852" t="inlineStr">
        <is>
          <t>SCA</t>
        </is>
      </c>
      <c r="G9852" t="n">
        <v>7.6</v>
      </c>
      <c r="H9852" t="n">
        <v>0</v>
      </c>
      <c r="I9852" t="n">
        <v>0</v>
      </c>
      <c r="J9852" t="n">
        <v>0</v>
      </c>
      <c r="K9852" t="n">
        <v>0</v>
      </c>
      <c r="L9852" t="n">
        <v>0</v>
      </c>
      <c r="M9852" t="n">
        <v>0</v>
      </c>
      <c r="N9852" t="n">
        <v>0</v>
      </c>
      <c r="O9852" t="n">
        <v>0</v>
      </c>
      <c r="P9852" t="n">
        <v>0</v>
      </c>
      <c r="Q9852" t="n">
        <v>0</v>
      </c>
      <c r="R9852" s="2" t="inlineStr"/>
    </row>
    <row r="9853" ht="15" customHeight="1">
      <c r="A9853" t="inlineStr">
        <is>
          <t>A 38388-2023</t>
        </is>
      </c>
      <c r="B9853" s="1" t="n">
        <v>45162</v>
      </c>
      <c r="C9853" s="1" t="n">
        <v>45657</v>
      </c>
      <c r="D9853" t="inlineStr">
        <is>
          <t>VÄSTERNORRLANDS LÄN</t>
        </is>
      </c>
      <c r="E9853" t="inlineStr">
        <is>
          <t>ÖRNSKÖLDSVIK</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38448-2023</t>
        </is>
      </c>
      <c r="B9854" s="1" t="n">
        <v>45162</v>
      </c>
      <c r="C9854" s="1" t="n">
        <v>45657</v>
      </c>
      <c r="D9854" t="inlineStr">
        <is>
          <t>VÄSTERNORRLANDS LÄN</t>
        </is>
      </c>
      <c r="E9854" t="inlineStr">
        <is>
          <t>KRAMFORS</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38447-2023</t>
        </is>
      </c>
      <c r="B9855" s="1" t="n">
        <v>45162</v>
      </c>
      <c r="C9855" s="1" t="n">
        <v>45657</v>
      </c>
      <c r="D9855" t="inlineStr">
        <is>
          <t>VÄSTERNORRLANDS LÄN</t>
        </is>
      </c>
      <c r="E9855" t="inlineStr">
        <is>
          <t>KRAMFORS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38386-2023</t>
        </is>
      </c>
      <c r="B9856" s="1" t="n">
        <v>45162</v>
      </c>
      <c r="C9856" s="1" t="n">
        <v>45657</v>
      </c>
      <c r="D9856" t="inlineStr">
        <is>
          <t>VÄSTERNORRLANDS LÄN</t>
        </is>
      </c>
      <c r="E9856" t="inlineStr">
        <is>
          <t>ÖRNSKÖLDSVIK</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38390-2023</t>
        </is>
      </c>
      <c r="B9857" s="1" t="n">
        <v>45162</v>
      </c>
      <c r="C9857" s="1" t="n">
        <v>45657</v>
      </c>
      <c r="D9857" t="inlineStr">
        <is>
          <t>VÄSTERNORRLANDS LÄN</t>
        </is>
      </c>
      <c r="E9857" t="inlineStr">
        <is>
          <t>ÖRNSKÖLDSVIK</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38446-2023</t>
        </is>
      </c>
      <c r="B9858" s="1" t="n">
        <v>45162</v>
      </c>
      <c r="C9858" s="1" t="n">
        <v>45657</v>
      </c>
      <c r="D9858" t="inlineStr">
        <is>
          <t>VÄSTERNORRLANDS LÄN</t>
        </is>
      </c>
      <c r="E9858" t="inlineStr">
        <is>
          <t>KRAMFORS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39245-2023</t>
        </is>
      </c>
      <c r="B9859" s="1" t="n">
        <v>45162</v>
      </c>
      <c r="C9859" s="1" t="n">
        <v>45657</v>
      </c>
      <c r="D9859" t="inlineStr">
        <is>
          <t>VÄSTERNORRLANDS LÄN</t>
        </is>
      </c>
      <c r="E9859" t="inlineStr">
        <is>
          <t>ÅNGE</t>
        </is>
      </c>
      <c r="F9859" t="inlineStr">
        <is>
          <t>SCA</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39268-2023</t>
        </is>
      </c>
      <c r="B9860" s="1" t="n">
        <v>45162</v>
      </c>
      <c r="C9860" s="1" t="n">
        <v>45657</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38601-2023</t>
        </is>
      </c>
      <c r="B9861" s="1" t="n">
        <v>45162</v>
      </c>
      <c r="C9861" s="1" t="n">
        <v>45657</v>
      </c>
      <c r="D9861" t="inlineStr">
        <is>
          <t>VÄSTERNORRLANDS LÄN</t>
        </is>
      </c>
      <c r="E9861" t="inlineStr">
        <is>
          <t>ÖRNSKÖLDSVIK</t>
        </is>
      </c>
      <c r="F9861" t="inlineStr">
        <is>
          <t>Holmen skog AB</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38605-2023</t>
        </is>
      </c>
      <c r="B9862" s="1" t="n">
        <v>45162</v>
      </c>
      <c r="C9862" s="1" t="n">
        <v>45657</v>
      </c>
      <c r="D9862" t="inlineStr">
        <is>
          <t>VÄSTERNORRLANDS LÄN</t>
        </is>
      </c>
      <c r="E9862" t="inlineStr">
        <is>
          <t>ÖRNSKÖLDSVIK</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38532-2023</t>
        </is>
      </c>
      <c r="B9863" s="1" t="n">
        <v>45162</v>
      </c>
      <c r="C9863" s="1" t="n">
        <v>45657</v>
      </c>
      <c r="D9863" t="inlineStr">
        <is>
          <t>VÄSTERNORRLANDS LÄN</t>
        </is>
      </c>
      <c r="E9863" t="inlineStr">
        <is>
          <t>ÖRNSKÖLDSVIK</t>
        </is>
      </c>
      <c r="F9863" t="inlineStr">
        <is>
          <t>Holmen skog AB</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38886-2023</t>
        </is>
      </c>
      <c r="B9864" s="1" t="n">
        <v>45162</v>
      </c>
      <c r="C9864" s="1" t="n">
        <v>45657</v>
      </c>
      <c r="D9864" t="inlineStr">
        <is>
          <t>VÄSTERNORRLANDS LÄN</t>
        </is>
      </c>
      <c r="E9864" t="inlineStr">
        <is>
          <t>ÅNGE</t>
        </is>
      </c>
      <c r="F9864" t="inlineStr">
        <is>
          <t>SCA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39294-2023</t>
        </is>
      </c>
      <c r="B9865" s="1" t="n">
        <v>45162</v>
      </c>
      <c r="C9865" s="1" t="n">
        <v>45657</v>
      </c>
      <c r="D9865" t="inlineStr">
        <is>
          <t>VÄSTERNORRLANDS LÄN</t>
        </is>
      </c>
      <c r="E9865" t="inlineStr">
        <is>
          <t>ÖRNSKÖLDSVIK</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38871-2023</t>
        </is>
      </c>
      <c r="B9866" s="1" t="n">
        <v>45162</v>
      </c>
      <c r="C9866" s="1" t="n">
        <v>45657</v>
      </c>
      <c r="D9866" t="inlineStr">
        <is>
          <t>VÄSTERNORRLANDS LÄN</t>
        </is>
      </c>
      <c r="E9866" t="inlineStr">
        <is>
          <t>ÅNGE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39206-2023</t>
        </is>
      </c>
      <c r="B9867" s="1" t="n">
        <v>45162</v>
      </c>
      <c r="C9867" s="1" t="n">
        <v>45657</v>
      </c>
      <c r="D9867" t="inlineStr">
        <is>
          <t>VÄSTERNORRLANDS LÄN</t>
        </is>
      </c>
      <c r="E9867" t="inlineStr">
        <is>
          <t>ÅNGE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39261-2023</t>
        </is>
      </c>
      <c r="B9868" s="1" t="n">
        <v>45162</v>
      </c>
      <c r="C9868" s="1" t="n">
        <v>45657</v>
      </c>
      <c r="D9868" t="inlineStr">
        <is>
          <t>VÄSTERNORRLANDS LÄN</t>
        </is>
      </c>
      <c r="E9868" t="inlineStr">
        <is>
          <t>ÅNGE</t>
        </is>
      </c>
      <c r="F9868" t="inlineStr">
        <is>
          <t>SCA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39254-2023</t>
        </is>
      </c>
      <c r="B9869" s="1" t="n">
        <v>45162</v>
      </c>
      <c r="C9869" s="1" t="n">
        <v>45657</v>
      </c>
      <c r="D9869" t="inlineStr">
        <is>
          <t>VÄSTERNORRLANDS LÄN</t>
        </is>
      </c>
      <c r="E9869" t="inlineStr">
        <is>
          <t>ÅNGE</t>
        </is>
      </c>
      <c r="F9869" t="inlineStr">
        <is>
          <t>SCA</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39300-2023</t>
        </is>
      </c>
      <c r="B9870" s="1" t="n">
        <v>45162</v>
      </c>
      <c r="C9870" s="1" t="n">
        <v>45657</v>
      </c>
      <c r="D9870" t="inlineStr">
        <is>
          <t>VÄSTERNORRLANDS LÄN</t>
        </is>
      </c>
      <c r="E9870" t="inlineStr">
        <is>
          <t>ÖRNSKÖLDSVIK</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38566-2023</t>
        </is>
      </c>
      <c r="B9871" s="1" t="n">
        <v>45162</v>
      </c>
      <c r="C9871" s="1" t="n">
        <v>45657</v>
      </c>
      <c r="D9871" t="inlineStr">
        <is>
          <t>VÄSTERNORRLANDS LÄN</t>
        </is>
      </c>
      <c r="E9871" t="inlineStr">
        <is>
          <t>ÖRNSKÖLDSVIK</t>
        </is>
      </c>
      <c r="F9871" t="inlineStr">
        <is>
          <t>Holmen skog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38604-2023</t>
        </is>
      </c>
      <c r="B9872" s="1" t="n">
        <v>45162</v>
      </c>
      <c r="C9872" s="1" t="n">
        <v>45657</v>
      </c>
      <c r="D9872" t="inlineStr">
        <is>
          <t>VÄSTERNORRLANDS LÄN</t>
        </is>
      </c>
      <c r="E9872" t="inlineStr">
        <is>
          <t>ÖRNSKÖLDSVIK</t>
        </is>
      </c>
      <c r="F9872" t="inlineStr">
        <is>
          <t>Holmen skog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38684-2023</t>
        </is>
      </c>
      <c r="B9873" s="1" t="n">
        <v>45163</v>
      </c>
      <c r="C9873" s="1" t="n">
        <v>45657</v>
      </c>
      <c r="D9873" t="inlineStr">
        <is>
          <t>VÄSTERNORRLANDS LÄN</t>
        </is>
      </c>
      <c r="E9873" t="inlineStr">
        <is>
          <t>ÖRNSKÖLDSVIK</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38685-2023</t>
        </is>
      </c>
      <c r="B9874" s="1" t="n">
        <v>45162</v>
      </c>
      <c r="C9874" s="1" t="n">
        <v>45657</v>
      </c>
      <c r="D9874" t="inlineStr">
        <is>
          <t>VÄSTERNORRLANDS LÄN</t>
        </is>
      </c>
      <c r="E9874" t="inlineStr">
        <is>
          <t>ÖRNSKÖLDSVIK</t>
        </is>
      </c>
      <c r="F9874" t="inlineStr">
        <is>
          <t>SCA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38795-2023</t>
        </is>
      </c>
      <c r="B9875" s="1" t="n">
        <v>45162</v>
      </c>
      <c r="C9875" s="1" t="n">
        <v>45657</v>
      </c>
      <c r="D9875" t="inlineStr">
        <is>
          <t>VÄSTERNORRLANDS LÄN</t>
        </is>
      </c>
      <c r="E9875" t="inlineStr">
        <is>
          <t>ÅNGE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38845-2023</t>
        </is>
      </c>
      <c r="B9876" s="1" t="n">
        <v>45163</v>
      </c>
      <c r="C9876" s="1" t="n">
        <v>45657</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38985-2023</t>
        </is>
      </c>
      <c r="B9877" s="1" t="n">
        <v>45163</v>
      </c>
      <c r="C9877" s="1" t="n">
        <v>45657</v>
      </c>
      <c r="D9877" t="inlineStr">
        <is>
          <t>VÄSTERNORRLANDS LÄN</t>
        </is>
      </c>
      <c r="E9877" t="inlineStr">
        <is>
          <t>KRAMFORS</t>
        </is>
      </c>
      <c r="F9877" t="inlineStr">
        <is>
          <t>Kommuner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39073-2023</t>
        </is>
      </c>
      <c r="B9878" s="1" t="n">
        <v>45163</v>
      </c>
      <c r="C9878" s="1" t="n">
        <v>45657</v>
      </c>
      <c r="D9878" t="inlineStr">
        <is>
          <t>VÄSTERNORRLANDS LÄN</t>
        </is>
      </c>
      <c r="E9878" t="inlineStr">
        <is>
          <t>TIMRÅ</t>
        </is>
      </c>
      <c r="F9878" t="inlineStr">
        <is>
          <t>SCA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39077-2023</t>
        </is>
      </c>
      <c r="B9879" s="1" t="n">
        <v>45164</v>
      </c>
      <c r="C9879" s="1" t="n">
        <v>45657</v>
      </c>
      <c r="D9879" t="inlineStr">
        <is>
          <t>VÄSTERNORRLANDS LÄN</t>
        </is>
      </c>
      <c r="E9879" t="inlineStr">
        <is>
          <t>SOLLEFTEÅ</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39081-2023</t>
        </is>
      </c>
      <c r="B9880" s="1" t="n">
        <v>45163</v>
      </c>
      <c r="C9880" s="1" t="n">
        <v>45657</v>
      </c>
      <c r="D9880" t="inlineStr">
        <is>
          <t>VÄSTERNORRLANDS LÄN</t>
        </is>
      </c>
      <c r="E9880" t="inlineStr">
        <is>
          <t>TIMRÅ</t>
        </is>
      </c>
      <c r="F9880" t="inlineStr">
        <is>
          <t>SCA</t>
        </is>
      </c>
      <c r="G9880" t="n">
        <v>11.6</v>
      </c>
      <c r="H9880" t="n">
        <v>0</v>
      </c>
      <c r="I9880" t="n">
        <v>0</v>
      </c>
      <c r="J9880" t="n">
        <v>0</v>
      </c>
      <c r="K9880" t="n">
        <v>0</v>
      </c>
      <c r="L9880" t="n">
        <v>0</v>
      </c>
      <c r="M9880" t="n">
        <v>0</v>
      </c>
      <c r="N9880" t="n">
        <v>0</v>
      </c>
      <c r="O9880" t="n">
        <v>0</v>
      </c>
      <c r="P9880" t="n">
        <v>0</v>
      </c>
      <c r="Q9880" t="n">
        <v>0</v>
      </c>
      <c r="R9880" s="2" t="inlineStr"/>
    </row>
    <row r="9881" ht="15" customHeight="1">
      <c r="A9881" t="inlineStr">
        <is>
          <t>A 39079-2023</t>
        </is>
      </c>
      <c r="B9881" s="1" t="n">
        <v>45164</v>
      </c>
      <c r="C9881" s="1" t="n">
        <v>45657</v>
      </c>
      <c r="D9881" t="inlineStr">
        <is>
          <t>VÄSTERNORRLANDS LÄN</t>
        </is>
      </c>
      <c r="E9881" t="inlineStr">
        <is>
          <t>ÖRNSKÖLDSVIK</t>
        </is>
      </c>
      <c r="F9881" t="inlineStr">
        <is>
          <t>SCA</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39399-2023</t>
        </is>
      </c>
      <c r="B9882" s="1" t="n">
        <v>45163</v>
      </c>
      <c r="C9882" s="1" t="n">
        <v>45657</v>
      </c>
      <c r="D9882" t="inlineStr">
        <is>
          <t>VÄSTERNORRLANDS LÄN</t>
        </is>
      </c>
      <c r="E9882" t="inlineStr">
        <is>
          <t>SOLLEFTEÅ</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39046-2023</t>
        </is>
      </c>
      <c r="B9883" s="1" t="n">
        <v>45163</v>
      </c>
      <c r="C9883" s="1" t="n">
        <v>45657</v>
      </c>
      <c r="D9883" t="inlineStr">
        <is>
          <t>VÄSTERNORRLANDS LÄN</t>
        </is>
      </c>
      <c r="E9883" t="inlineStr">
        <is>
          <t>TIMRÅ</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39058-2023</t>
        </is>
      </c>
      <c r="B9884" s="1" t="n">
        <v>45164</v>
      </c>
      <c r="C9884" s="1" t="n">
        <v>45657</v>
      </c>
      <c r="D9884" t="inlineStr">
        <is>
          <t>VÄSTERNORRLANDS LÄN</t>
        </is>
      </c>
      <c r="E9884" t="inlineStr">
        <is>
          <t>SOLLEFTEÅ</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39074-2023</t>
        </is>
      </c>
      <c r="B9885" s="1" t="n">
        <v>45163</v>
      </c>
      <c r="C9885" s="1" t="n">
        <v>45657</v>
      </c>
      <c r="D9885" t="inlineStr">
        <is>
          <t>VÄSTERNORRLANDS LÄN</t>
        </is>
      </c>
      <c r="E9885" t="inlineStr">
        <is>
          <t>SUNDSVALL</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39379-2023</t>
        </is>
      </c>
      <c r="B9886" s="1" t="n">
        <v>45163</v>
      </c>
      <c r="C9886" s="1" t="n">
        <v>45657</v>
      </c>
      <c r="D9886" t="inlineStr">
        <is>
          <t>VÄSTERNORRLANDS LÄN</t>
        </is>
      </c>
      <c r="E9886" t="inlineStr">
        <is>
          <t>SOLLEFTEÅ</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38831-2023</t>
        </is>
      </c>
      <c r="B9887" s="1" t="n">
        <v>45163</v>
      </c>
      <c r="C9887" s="1" t="n">
        <v>45657</v>
      </c>
      <c r="D9887" t="inlineStr">
        <is>
          <t>VÄSTERNORRLANDS LÄN</t>
        </is>
      </c>
      <c r="E9887" t="inlineStr">
        <is>
          <t>ÖRNSKÖLDSVIK</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39044-2023</t>
        </is>
      </c>
      <c r="B9888" s="1" t="n">
        <v>45164</v>
      </c>
      <c r="C9888" s="1" t="n">
        <v>45657</v>
      </c>
      <c r="D9888" t="inlineStr">
        <is>
          <t>VÄSTERNORRLANDS LÄN</t>
        </is>
      </c>
      <c r="E9888" t="inlineStr">
        <is>
          <t>HÄRNÖSAND</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39048-2023</t>
        </is>
      </c>
      <c r="B9889" s="1" t="n">
        <v>45164</v>
      </c>
      <c r="C9889" s="1" t="n">
        <v>45657</v>
      </c>
      <c r="D9889" t="inlineStr">
        <is>
          <t>VÄSTERNORRLANDS LÄN</t>
        </is>
      </c>
      <c r="E9889" t="inlineStr">
        <is>
          <t>TIMRÅ</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39072-2023</t>
        </is>
      </c>
      <c r="B9890" s="1" t="n">
        <v>45163</v>
      </c>
      <c r="C9890" s="1" t="n">
        <v>45657</v>
      </c>
      <c r="D9890" t="inlineStr">
        <is>
          <t>VÄSTERNORRLANDS LÄN</t>
        </is>
      </c>
      <c r="E9890" t="inlineStr">
        <is>
          <t>TIMRÅ</t>
        </is>
      </c>
      <c r="F9890" t="inlineStr">
        <is>
          <t>SCA</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39435-2023</t>
        </is>
      </c>
      <c r="B9891" s="1" t="n">
        <v>45163</v>
      </c>
      <c r="C9891" s="1" t="n">
        <v>45657</v>
      </c>
      <c r="D9891" t="inlineStr">
        <is>
          <t>VÄSTERNORRLANDS LÄN</t>
        </is>
      </c>
      <c r="E9891" t="inlineStr">
        <is>
          <t>ÖRNSKÖLDSVIK</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38704-2023</t>
        </is>
      </c>
      <c r="B9892" s="1" t="n">
        <v>45163</v>
      </c>
      <c r="C9892" s="1" t="n">
        <v>45657</v>
      </c>
      <c r="D9892" t="inlineStr">
        <is>
          <t>VÄSTERNORRLANDS LÄN</t>
        </is>
      </c>
      <c r="E9892" t="inlineStr">
        <is>
          <t>ÖRNSKÖLDSVIK</t>
        </is>
      </c>
      <c r="F9892" t="inlineStr">
        <is>
          <t>Holmen skog AB</t>
        </is>
      </c>
      <c r="G9892" t="n">
        <v>15.7</v>
      </c>
      <c r="H9892" t="n">
        <v>0</v>
      </c>
      <c r="I9892" t="n">
        <v>0</v>
      </c>
      <c r="J9892" t="n">
        <v>0</v>
      </c>
      <c r="K9892" t="n">
        <v>0</v>
      </c>
      <c r="L9892" t="n">
        <v>0</v>
      </c>
      <c r="M9892" t="n">
        <v>0</v>
      </c>
      <c r="N9892" t="n">
        <v>0</v>
      </c>
      <c r="O9892" t="n">
        <v>0</v>
      </c>
      <c r="P9892" t="n">
        <v>0</v>
      </c>
      <c r="Q9892" t="n">
        <v>0</v>
      </c>
      <c r="R9892" s="2" t="inlineStr"/>
    </row>
    <row r="9893" ht="15" customHeight="1">
      <c r="A9893" t="inlineStr">
        <is>
          <t>A 39433-2023</t>
        </is>
      </c>
      <c r="B9893" s="1" t="n">
        <v>45163</v>
      </c>
      <c r="C9893" s="1" t="n">
        <v>45657</v>
      </c>
      <c r="D9893" t="inlineStr">
        <is>
          <t>VÄSTERNORRLANDS LÄN</t>
        </is>
      </c>
      <c r="E9893" t="inlineStr">
        <is>
          <t>HÄRNÖSAND</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39536-2023</t>
        </is>
      </c>
      <c r="B9894" s="1" t="n">
        <v>45163</v>
      </c>
      <c r="C9894" s="1" t="n">
        <v>45657</v>
      </c>
      <c r="D9894" t="inlineStr">
        <is>
          <t>VÄSTERNORRLANDS LÄN</t>
        </is>
      </c>
      <c r="E9894" t="inlineStr">
        <is>
          <t>ÖRNSKÖLDSVIK</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39448-2023</t>
        </is>
      </c>
      <c r="B9895" s="1" t="n">
        <v>45163</v>
      </c>
      <c r="C9895" s="1" t="n">
        <v>45657</v>
      </c>
      <c r="D9895" t="inlineStr">
        <is>
          <t>VÄSTERNORRLANDS LÄN</t>
        </is>
      </c>
      <c r="E9895" t="inlineStr">
        <is>
          <t>ÖRNSKÖLDSVIK</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39545-2023</t>
        </is>
      </c>
      <c r="B9896" s="1" t="n">
        <v>45163</v>
      </c>
      <c r="C9896" s="1" t="n">
        <v>45657</v>
      </c>
      <c r="D9896" t="inlineStr">
        <is>
          <t>VÄSTERNORRLANDS LÄN</t>
        </is>
      </c>
      <c r="E9896" t="inlineStr">
        <is>
          <t>ÖRNSKÖLDSVIK</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39541-2023</t>
        </is>
      </c>
      <c r="B9897" s="1" t="n">
        <v>45163</v>
      </c>
      <c r="C9897" s="1" t="n">
        <v>45657</v>
      </c>
      <c r="D9897" t="inlineStr">
        <is>
          <t>VÄSTERNORRLANDS LÄN</t>
        </is>
      </c>
      <c r="E9897" t="inlineStr">
        <is>
          <t>ÖRNSKÖLDSVIK</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39569-2023</t>
        </is>
      </c>
      <c r="B9898" s="1" t="n">
        <v>45163</v>
      </c>
      <c r="C9898" s="1" t="n">
        <v>45657</v>
      </c>
      <c r="D9898" t="inlineStr">
        <is>
          <t>VÄSTERNORRLANDS LÄN</t>
        </is>
      </c>
      <c r="E9898" t="inlineStr">
        <is>
          <t>ÖRNSKÖLDSVIK</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38784-2023</t>
        </is>
      </c>
      <c r="B9899" s="1" t="n">
        <v>45163</v>
      </c>
      <c r="C9899" s="1" t="n">
        <v>45657</v>
      </c>
      <c r="D9899" t="inlineStr">
        <is>
          <t>VÄSTERNORRLANDS LÄN</t>
        </is>
      </c>
      <c r="E9899" t="inlineStr">
        <is>
          <t>ÖRNSKÖLDSVIK</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39449-2023</t>
        </is>
      </c>
      <c r="B9900" s="1" t="n">
        <v>45163</v>
      </c>
      <c r="C9900" s="1" t="n">
        <v>45657</v>
      </c>
      <c r="D9900" t="inlineStr">
        <is>
          <t>VÄSTERNORRLANDS LÄN</t>
        </is>
      </c>
      <c r="E9900" t="inlineStr">
        <is>
          <t>ÖRNSKÖLDSVIK</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39112-2023</t>
        </is>
      </c>
      <c r="B9901" s="1" t="n">
        <v>45164</v>
      </c>
      <c r="C9901" s="1" t="n">
        <v>45657</v>
      </c>
      <c r="D9901" t="inlineStr">
        <is>
          <t>VÄSTERNORRLANDS LÄN</t>
        </is>
      </c>
      <c r="E9901" t="inlineStr">
        <is>
          <t>ÅNGE</t>
        </is>
      </c>
      <c r="F9901" t="inlineStr">
        <is>
          <t>SCA</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39143-2023</t>
        </is>
      </c>
      <c r="B9902" s="1" t="n">
        <v>45165</v>
      </c>
      <c r="C9902" s="1" t="n">
        <v>45657</v>
      </c>
      <c r="D9902" t="inlineStr">
        <is>
          <t>VÄSTERNORRLANDS LÄN</t>
        </is>
      </c>
      <c r="E9902" t="inlineStr">
        <is>
          <t>TIMRÅ</t>
        </is>
      </c>
      <c r="F9902" t="inlineStr">
        <is>
          <t>SCA</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39142-2023</t>
        </is>
      </c>
      <c r="B9903" s="1" t="n">
        <v>45165</v>
      </c>
      <c r="C9903" s="1" t="n">
        <v>45657</v>
      </c>
      <c r="D9903" t="inlineStr">
        <is>
          <t>VÄSTERNORRLANDS LÄN</t>
        </is>
      </c>
      <c r="E9903" t="inlineStr">
        <is>
          <t>TIMRÅ</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39216-2023</t>
        </is>
      </c>
      <c r="B9904" s="1" t="n">
        <v>45166</v>
      </c>
      <c r="C9904" s="1" t="n">
        <v>45657</v>
      </c>
      <c r="D9904" t="inlineStr">
        <is>
          <t>VÄSTERNORRLANDS LÄN</t>
        </is>
      </c>
      <c r="E9904" t="inlineStr">
        <is>
          <t>ÖRNSKÖLDSVIK</t>
        </is>
      </c>
      <c r="F9904" t="inlineStr">
        <is>
          <t>Holmen skog AB</t>
        </is>
      </c>
      <c r="G9904" t="n">
        <v>12.3</v>
      </c>
      <c r="H9904" t="n">
        <v>0</v>
      </c>
      <c r="I9904" t="n">
        <v>0</v>
      </c>
      <c r="J9904" t="n">
        <v>0</v>
      </c>
      <c r="K9904" t="n">
        <v>0</v>
      </c>
      <c r="L9904" t="n">
        <v>0</v>
      </c>
      <c r="M9904" t="n">
        <v>0</v>
      </c>
      <c r="N9904" t="n">
        <v>0</v>
      </c>
      <c r="O9904" t="n">
        <v>0</v>
      </c>
      <c r="P9904" t="n">
        <v>0</v>
      </c>
      <c r="Q9904" t="n">
        <v>0</v>
      </c>
      <c r="R9904" s="2" t="inlineStr"/>
    </row>
    <row r="9905" ht="15" customHeight="1">
      <c r="A9905" t="inlineStr">
        <is>
          <t>A 39276-2023</t>
        </is>
      </c>
      <c r="B9905" s="1" t="n">
        <v>45166</v>
      </c>
      <c r="C9905" s="1" t="n">
        <v>45657</v>
      </c>
      <c r="D9905" t="inlineStr">
        <is>
          <t>VÄSTERNORRLANDS LÄN</t>
        </is>
      </c>
      <c r="E9905" t="inlineStr">
        <is>
          <t>SUNDSVALL</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39302-2023</t>
        </is>
      </c>
      <c r="B9906" s="1" t="n">
        <v>45166</v>
      </c>
      <c r="C9906" s="1" t="n">
        <v>45657</v>
      </c>
      <c r="D9906" t="inlineStr">
        <is>
          <t>VÄSTERNORRLANDS LÄN</t>
        </is>
      </c>
      <c r="E9906" t="inlineStr">
        <is>
          <t>ÖRNSKÖLDSVIK</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39313-2023</t>
        </is>
      </c>
      <c r="B9907" s="1" t="n">
        <v>45166</v>
      </c>
      <c r="C9907" s="1" t="n">
        <v>45657</v>
      </c>
      <c r="D9907" t="inlineStr">
        <is>
          <t>VÄSTERNORRLANDS LÄN</t>
        </is>
      </c>
      <c r="E9907" t="inlineStr">
        <is>
          <t>ÖRNSKÖLDSVIK</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39318-2023</t>
        </is>
      </c>
      <c r="B9908" s="1" t="n">
        <v>45166</v>
      </c>
      <c r="C9908" s="1" t="n">
        <v>45657</v>
      </c>
      <c r="D9908" t="inlineStr">
        <is>
          <t>VÄSTERNORRLANDS LÄN</t>
        </is>
      </c>
      <c r="E9908" t="inlineStr">
        <is>
          <t>ÖRNSKÖLDSVIK</t>
        </is>
      </c>
      <c r="F9908" t="inlineStr">
        <is>
          <t>Holmen skog AB</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39446-2023</t>
        </is>
      </c>
      <c r="B9909" s="1" t="n">
        <v>45166</v>
      </c>
      <c r="C9909" s="1" t="n">
        <v>45657</v>
      </c>
      <c r="D9909" t="inlineStr">
        <is>
          <t>VÄSTERNORRLANDS LÄN</t>
        </is>
      </c>
      <c r="E9909" t="inlineStr">
        <is>
          <t>ÖRNSKÖLDSVIK</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39496-2023</t>
        </is>
      </c>
      <c r="B9910" s="1" t="n">
        <v>45167</v>
      </c>
      <c r="C9910" s="1" t="n">
        <v>45657</v>
      </c>
      <c r="D9910" t="inlineStr">
        <is>
          <t>VÄSTERNORRLANDS LÄN</t>
        </is>
      </c>
      <c r="E9910" t="inlineStr">
        <is>
          <t>SOLLEFTEÅ</t>
        </is>
      </c>
      <c r="F9910" t="inlineStr">
        <is>
          <t>SCA</t>
        </is>
      </c>
      <c r="G9910" t="n">
        <v>9.4</v>
      </c>
      <c r="H9910" t="n">
        <v>0</v>
      </c>
      <c r="I9910" t="n">
        <v>0</v>
      </c>
      <c r="J9910" t="n">
        <v>0</v>
      </c>
      <c r="K9910" t="n">
        <v>0</v>
      </c>
      <c r="L9910" t="n">
        <v>0</v>
      </c>
      <c r="M9910" t="n">
        <v>0</v>
      </c>
      <c r="N9910" t="n">
        <v>0</v>
      </c>
      <c r="O9910" t="n">
        <v>0</v>
      </c>
      <c r="P9910" t="n">
        <v>0</v>
      </c>
      <c r="Q9910" t="n">
        <v>0</v>
      </c>
      <c r="R9910" s="2" t="inlineStr"/>
    </row>
    <row r="9911" ht="15" customHeight="1">
      <c r="A9911" t="inlineStr">
        <is>
          <t>A 39485-2023</t>
        </is>
      </c>
      <c r="B9911" s="1" t="n">
        <v>45167</v>
      </c>
      <c r="C9911" s="1" t="n">
        <v>45657</v>
      </c>
      <c r="D9911" t="inlineStr">
        <is>
          <t>VÄSTERNORRLANDS LÄN</t>
        </is>
      </c>
      <c r="E9911" t="inlineStr">
        <is>
          <t>ÖRNSKÖLDSVIK</t>
        </is>
      </c>
      <c r="G9911" t="n">
        <v>12.1</v>
      </c>
      <c r="H9911" t="n">
        <v>0</v>
      </c>
      <c r="I9911" t="n">
        <v>0</v>
      </c>
      <c r="J9911" t="n">
        <v>0</v>
      </c>
      <c r="K9911" t="n">
        <v>0</v>
      </c>
      <c r="L9911" t="n">
        <v>0</v>
      </c>
      <c r="M9911" t="n">
        <v>0</v>
      </c>
      <c r="N9911" t="n">
        <v>0</v>
      </c>
      <c r="O9911" t="n">
        <v>0</v>
      </c>
      <c r="P9911" t="n">
        <v>0</v>
      </c>
      <c r="Q9911" t="n">
        <v>0</v>
      </c>
      <c r="R9911" s="2" t="inlineStr"/>
    </row>
    <row r="9912" ht="15" customHeight="1">
      <c r="A9912" t="inlineStr">
        <is>
          <t>A 39500-2023</t>
        </is>
      </c>
      <c r="B9912" s="1" t="n">
        <v>45166</v>
      </c>
      <c r="C9912" s="1" t="n">
        <v>45657</v>
      </c>
      <c r="D9912" t="inlineStr">
        <is>
          <t>VÄSTERNORRLANDS LÄN</t>
        </is>
      </c>
      <c r="E9912" t="inlineStr">
        <is>
          <t>ÅNGE</t>
        </is>
      </c>
      <c r="F9912" t="inlineStr">
        <is>
          <t>SCA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39508-2023</t>
        </is>
      </c>
      <c r="B9913" s="1" t="n">
        <v>45167</v>
      </c>
      <c r="C9913" s="1" t="n">
        <v>45657</v>
      </c>
      <c r="D9913" t="inlineStr">
        <is>
          <t>VÄSTERNORRLANDS LÄN</t>
        </is>
      </c>
      <c r="E9913" t="inlineStr">
        <is>
          <t>SUNDSVALL</t>
        </is>
      </c>
      <c r="F9913" t="inlineStr">
        <is>
          <t>Naturvårdsverket</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39497-2023</t>
        </is>
      </c>
      <c r="B9914" s="1" t="n">
        <v>45167</v>
      </c>
      <c r="C9914" s="1" t="n">
        <v>45657</v>
      </c>
      <c r="D9914" t="inlineStr">
        <is>
          <t>VÄSTERNORRLANDS LÄN</t>
        </is>
      </c>
      <c r="E9914" t="inlineStr">
        <is>
          <t>SOLLEFTEÅ</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39498-2023</t>
        </is>
      </c>
      <c r="B9915" s="1" t="n">
        <v>45166</v>
      </c>
      <c r="C9915" s="1" t="n">
        <v>45657</v>
      </c>
      <c r="D9915" t="inlineStr">
        <is>
          <t>VÄSTERNORRLANDS LÄN</t>
        </is>
      </c>
      <c r="E9915" t="inlineStr">
        <is>
          <t>HÄRNÖSAND</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39506-2023</t>
        </is>
      </c>
      <c r="B9916" s="1" t="n">
        <v>45167</v>
      </c>
      <c r="C9916" s="1" t="n">
        <v>45657</v>
      </c>
      <c r="D9916" t="inlineStr">
        <is>
          <t>VÄSTERNORRLANDS LÄN</t>
        </is>
      </c>
      <c r="E9916" t="inlineStr">
        <is>
          <t>SUNDSVALL</t>
        </is>
      </c>
      <c r="F9916" t="inlineStr">
        <is>
          <t>SCA</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39727-2023</t>
        </is>
      </c>
      <c r="B9917" s="1" t="n">
        <v>45166</v>
      </c>
      <c r="C9917" s="1" t="n">
        <v>45657</v>
      </c>
      <c r="D9917" t="inlineStr">
        <is>
          <t>VÄSTERNORRLANDS LÄN</t>
        </is>
      </c>
      <c r="E9917" t="inlineStr">
        <is>
          <t>SOLLEFTEÅ</t>
        </is>
      </c>
      <c r="F9917" t="inlineStr">
        <is>
          <t>SCA</t>
        </is>
      </c>
      <c r="G9917" t="n">
        <v>45.3</v>
      </c>
      <c r="H9917" t="n">
        <v>0</v>
      </c>
      <c r="I9917" t="n">
        <v>0</v>
      </c>
      <c r="J9917" t="n">
        <v>0</v>
      </c>
      <c r="K9917" t="n">
        <v>0</v>
      </c>
      <c r="L9917" t="n">
        <v>0</v>
      </c>
      <c r="M9917" t="n">
        <v>0</v>
      </c>
      <c r="N9917" t="n">
        <v>0</v>
      </c>
      <c r="O9917" t="n">
        <v>0</v>
      </c>
      <c r="P9917" t="n">
        <v>0</v>
      </c>
      <c r="Q9917" t="n">
        <v>0</v>
      </c>
      <c r="R9917" s="2" t="inlineStr"/>
    </row>
    <row r="9918" ht="15" customHeight="1">
      <c r="A9918" t="inlineStr">
        <is>
          <t>A 39909-2023</t>
        </is>
      </c>
      <c r="B9918" s="1" t="n">
        <v>45166</v>
      </c>
      <c r="C9918" s="1" t="n">
        <v>45657</v>
      </c>
      <c r="D9918" t="inlineStr">
        <is>
          <t>VÄSTERNORRLANDS LÄN</t>
        </is>
      </c>
      <c r="E9918" t="inlineStr">
        <is>
          <t>ÖRNSKÖLDSVIK</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39693-2023</t>
        </is>
      </c>
      <c r="B9919" s="1" t="n">
        <v>45166</v>
      </c>
      <c r="C9919" s="1" t="n">
        <v>45657</v>
      </c>
      <c r="D9919" t="inlineStr">
        <is>
          <t>VÄSTERNORRLANDS LÄN</t>
        </is>
      </c>
      <c r="E9919" t="inlineStr">
        <is>
          <t>TIMRÅ</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39486-2023</t>
        </is>
      </c>
      <c r="B9920" s="1" t="n">
        <v>45167</v>
      </c>
      <c r="C9920" s="1" t="n">
        <v>45657</v>
      </c>
      <c r="D9920" t="inlineStr">
        <is>
          <t>VÄSTERNORRLANDS LÄN</t>
        </is>
      </c>
      <c r="E9920" t="inlineStr">
        <is>
          <t>ÖRNSKÖLDSVIK</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39495-2023</t>
        </is>
      </c>
      <c r="B9921" s="1" t="n">
        <v>45167</v>
      </c>
      <c r="C9921" s="1" t="n">
        <v>45657</v>
      </c>
      <c r="D9921" t="inlineStr">
        <is>
          <t>VÄSTERNORRLANDS LÄN</t>
        </is>
      </c>
      <c r="E9921" t="inlineStr">
        <is>
          <t>SOLLEFTEÅ</t>
        </is>
      </c>
      <c r="F9921" t="inlineStr">
        <is>
          <t>SCA</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39532-2023</t>
        </is>
      </c>
      <c r="B9922" s="1" t="n">
        <v>45167</v>
      </c>
      <c r="C9922" s="1" t="n">
        <v>45657</v>
      </c>
      <c r="D9922" t="inlineStr">
        <is>
          <t>VÄSTERNORRLANDS LÄN</t>
        </is>
      </c>
      <c r="E9922" t="inlineStr">
        <is>
          <t>ÖRNSKÖLDSVIK</t>
        </is>
      </c>
      <c r="F9922" t="inlineStr">
        <is>
          <t>Holmen skog AB</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39546-2023</t>
        </is>
      </c>
      <c r="B9923" s="1" t="n">
        <v>45167</v>
      </c>
      <c r="C9923" s="1" t="n">
        <v>45657</v>
      </c>
      <c r="D9923" t="inlineStr">
        <is>
          <t>VÄSTERNORRLANDS LÄN</t>
        </is>
      </c>
      <c r="E9923" t="inlineStr">
        <is>
          <t>ÖRNSKÖLDSVIK</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39697-2023</t>
        </is>
      </c>
      <c r="B9924" s="1" t="n">
        <v>45167</v>
      </c>
      <c r="C9924" s="1" t="n">
        <v>45657</v>
      </c>
      <c r="D9924" t="inlineStr">
        <is>
          <t>VÄSTERNORRLANDS LÄN</t>
        </is>
      </c>
      <c r="E9924" t="inlineStr">
        <is>
          <t>ÖRNSKÖLDSVIK</t>
        </is>
      </c>
      <c r="F9924" t="inlineStr">
        <is>
          <t>Holmen skog AB</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39751-2023</t>
        </is>
      </c>
      <c r="B9925" s="1" t="n">
        <v>45167</v>
      </c>
      <c r="C9925" s="1" t="n">
        <v>45657</v>
      </c>
      <c r="D9925" t="inlineStr">
        <is>
          <t>VÄSTERNORRLANDS LÄN</t>
        </is>
      </c>
      <c r="E9925" t="inlineStr">
        <is>
          <t>ÖRNSKÖLDSVIK</t>
        </is>
      </c>
      <c r="F9925" t="inlineStr">
        <is>
          <t>Holmen skog AB</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39625-2023</t>
        </is>
      </c>
      <c r="B9926" s="1" t="n">
        <v>45167</v>
      </c>
      <c r="C9926" s="1" t="n">
        <v>45657</v>
      </c>
      <c r="D9926" t="inlineStr">
        <is>
          <t>VÄSTERNORRLANDS LÄN</t>
        </is>
      </c>
      <c r="E9926" t="inlineStr">
        <is>
          <t>ÖRNSKÖLDSVIK</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39641-2023</t>
        </is>
      </c>
      <c r="B9927" s="1" t="n">
        <v>45167</v>
      </c>
      <c r="C9927" s="1" t="n">
        <v>45657</v>
      </c>
      <c r="D9927" t="inlineStr">
        <is>
          <t>VÄSTERNORRLANDS LÄN</t>
        </is>
      </c>
      <c r="E9927" t="inlineStr">
        <is>
          <t>KRAMFORS</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39795-2023</t>
        </is>
      </c>
      <c r="B9928" s="1" t="n">
        <v>45167</v>
      </c>
      <c r="C9928" s="1" t="n">
        <v>45657</v>
      </c>
      <c r="D9928" t="inlineStr">
        <is>
          <t>VÄSTERNORRLANDS LÄN</t>
        </is>
      </c>
      <c r="E9928" t="inlineStr">
        <is>
          <t>SUNDSVALL</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39744-2023</t>
        </is>
      </c>
      <c r="B9929" s="1" t="n">
        <v>45167</v>
      </c>
      <c r="C9929" s="1" t="n">
        <v>45657</v>
      </c>
      <c r="D9929" t="inlineStr">
        <is>
          <t>VÄSTERNORRLANDS LÄN</t>
        </is>
      </c>
      <c r="E9929" t="inlineStr">
        <is>
          <t>HÄRNÖSAND</t>
        </is>
      </c>
      <c r="G9929" t="n">
        <v>16.6</v>
      </c>
      <c r="H9929" t="n">
        <v>0</v>
      </c>
      <c r="I9929" t="n">
        <v>0</v>
      </c>
      <c r="J9929" t="n">
        <v>0</v>
      </c>
      <c r="K9929" t="n">
        <v>0</v>
      </c>
      <c r="L9929" t="n">
        <v>0</v>
      </c>
      <c r="M9929" t="n">
        <v>0</v>
      </c>
      <c r="N9929" t="n">
        <v>0</v>
      </c>
      <c r="O9929" t="n">
        <v>0</v>
      </c>
      <c r="P9929" t="n">
        <v>0</v>
      </c>
      <c r="Q9929" t="n">
        <v>0</v>
      </c>
      <c r="R9929" s="2" t="inlineStr"/>
    </row>
    <row r="9930" ht="15" customHeight="1">
      <c r="A9930" t="inlineStr">
        <is>
          <t>A 39797-2023</t>
        </is>
      </c>
      <c r="B9930" s="1" t="n">
        <v>45168</v>
      </c>
      <c r="C9930" s="1" t="n">
        <v>45657</v>
      </c>
      <c r="D9930" t="inlineStr">
        <is>
          <t>VÄSTERNORRLANDS LÄN</t>
        </is>
      </c>
      <c r="E9930" t="inlineStr">
        <is>
          <t>SUNDSVALL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39811-2023</t>
        </is>
      </c>
      <c r="B9931" s="1" t="n">
        <v>45167</v>
      </c>
      <c r="C9931" s="1" t="n">
        <v>45657</v>
      </c>
      <c r="D9931" t="inlineStr">
        <is>
          <t>VÄSTERNORRLANDS LÄN</t>
        </is>
      </c>
      <c r="E9931" t="inlineStr">
        <is>
          <t>ÅNGE</t>
        </is>
      </c>
      <c r="F9931" t="inlineStr">
        <is>
          <t>SCA</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39819-2023</t>
        </is>
      </c>
      <c r="B9932" s="1" t="n">
        <v>45167</v>
      </c>
      <c r="C9932" s="1" t="n">
        <v>45657</v>
      </c>
      <c r="D9932" t="inlineStr">
        <is>
          <t>VÄSTERNORRLANDS LÄN</t>
        </is>
      </c>
      <c r="E9932" t="inlineStr">
        <is>
          <t>TIMRÅ</t>
        </is>
      </c>
      <c r="F9932" t="inlineStr">
        <is>
          <t>SCA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39813-2023</t>
        </is>
      </c>
      <c r="B9933" s="1" t="n">
        <v>45168</v>
      </c>
      <c r="C9933" s="1" t="n">
        <v>45657</v>
      </c>
      <c r="D9933" t="inlineStr">
        <is>
          <t>VÄSTERNORRLANDS LÄN</t>
        </is>
      </c>
      <c r="E9933" t="inlineStr">
        <is>
          <t>ÅNGE</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39821-2023</t>
        </is>
      </c>
      <c r="B9934" s="1" t="n">
        <v>45168</v>
      </c>
      <c r="C9934" s="1" t="n">
        <v>45657</v>
      </c>
      <c r="D9934" t="inlineStr">
        <is>
          <t>VÄSTERNORRLANDS LÄN</t>
        </is>
      </c>
      <c r="E9934" t="inlineStr">
        <is>
          <t>SUNDSVALL</t>
        </is>
      </c>
      <c r="F9934" t="inlineStr">
        <is>
          <t>SCA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40036-2023</t>
        </is>
      </c>
      <c r="B9935" s="1" t="n">
        <v>45167</v>
      </c>
      <c r="C9935" s="1" t="n">
        <v>45657</v>
      </c>
      <c r="D9935" t="inlineStr">
        <is>
          <t>VÄSTERNORRLANDS LÄN</t>
        </is>
      </c>
      <c r="E9935" t="inlineStr">
        <is>
          <t>ÖRNSKÖLDSVIK</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40049-2023</t>
        </is>
      </c>
      <c r="B9936" s="1" t="n">
        <v>45167</v>
      </c>
      <c r="C9936" s="1" t="n">
        <v>45657</v>
      </c>
      <c r="D9936" t="inlineStr">
        <is>
          <t>VÄSTERNORRLANDS LÄN</t>
        </is>
      </c>
      <c r="E9936" t="inlineStr">
        <is>
          <t>KRAMFORS</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39796-2023</t>
        </is>
      </c>
      <c r="B9937" s="1" t="n">
        <v>45167</v>
      </c>
      <c r="C9937" s="1" t="n">
        <v>45657</v>
      </c>
      <c r="D9937" t="inlineStr">
        <is>
          <t>VÄSTERNORRLANDS LÄN</t>
        </is>
      </c>
      <c r="E9937" t="inlineStr">
        <is>
          <t>SUNDSVALL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39812-2023</t>
        </is>
      </c>
      <c r="B9938" s="1" t="n">
        <v>45168</v>
      </c>
      <c r="C9938" s="1" t="n">
        <v>45657</v>
      </c>
      <c r="D9938" t="inlineStr">
        <is>
          <t>VÄSTERNORRLANDS LÄN</t>
        </is>
      </c>
      <c r="E9938" t="inlineStr">
        <is>
          <t>ÅNGE</t>
        </is>
      </c>
      <c r="F9938" t="inlineStr">
        <is>
          <t>SCA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40013-2023</t>
        </is>
      </c>
      <c r="B9939" s="1" t="n">
        <v>45167</v>
      </c>
      <c r="C9939" s="1" t="n">
        <v>45657</v>
      </c>
      <c r="D9939" t="inlineStr">
        <is>
          <t>VÄSTERNORRLANDS LÄN</t>
        </is>
      </c>
      <c r="E9939" t="inlineStr">
        <is>
          <t>ÅNGE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39729-2023</t>
        </is>
      </c>
      <c r="B9940" s="1" t="n">
        <v>45167</v>
      </c>
      <c r="C9940" s="1" t="n">
        <v>45657</v>
      </c>
      <c r="D9940" t="inlineStr">
        <is>
          <t>VÄSTERNORRLANDS LÄN</t>
        </is>
      </c>
      <c r="E9940" t="inlineStr">
        <is>
          <t>ÖRNSKÖLDSVIK</t>
        </is>
      </c>
      <c r="F9940" t="inlineStr">
        <is>
          <t>Holmen skog AB</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39798-2023</t>
        </is>
      </c>
      <c r="B9941" s="1" t="n">
        <v>45168</v>
      </c>
      <c r="C9941" s="1" t="n">
        <v>45657</v>
      </c>
      <c r="D9941" t="inlineStr">
        <is>
          <t>VÄSTERNORRLANDS LÄN</t>
        </is>
      </c>
      <c r="E9941" t="inlineStr">
        <is>
          <t>SUNDSVALL</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39814-2023</t>
        </is>
      </c>
      <c r="B9942" s="1" t="n">
        <v>45168</v>
      </c>
      <c r="C9942" s="1" t="n">
        <v>45657</v>
      </c>
      <c r="D9942" t="inlineStr">
        <is>
          <t>VÄSTERNORRLANDS LÄN</t>
        </is>
      </c>
      <c r="E9942" t="inlineStr">
        <is>
          <t>ÅNGE</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40052-2023</t>
        </is>
      </c>
      <c r="B9943" s="1" t="n">
        <v>45167</v>
      </c>
      <c r="C9943" s="1" t="n">
        <v>45657</v>
      </c>
      <c r="D9943" t="inlineStr">
        <is>
          <t>VÄSTERNORRLANDS LÄN</t>
        </is>
      </c>
      <c r="E9943" t="inlineStr">
        <is>
          <t>KRAMFORS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39991-2023</t>
        </is>
      </c>
      <c r="B9944" s="1" t="n">
        <v>45168</v>
      </c>
      <c r="C9944" s="1" t="n">
        <v>45657</v>
      </c>
      <c r="D9944" t="inlineStr">
        <is>
          <t>VÄSTERNORRLANDS LÄN</t>
        </is>
      </c>
      <c r="E9944" t="inlineStr">
        <is>
          <t>ÅNGE</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39996-2023</t>
        </is>
      </c>
      <c r="B9945" s="1" t="n">
        <v>45168</v>
      </c>
      <c r="C9945" s="1" t="n">
        <v>45657</v>
      </c>
      <c r="D9945" t="inlineStr">
        <is>
          <t>VÄSTERNORRLANDS LÄN</t>
        </is>
      </c>
      <c r="E9945" t="inlineStr">
        <is>
          <t>ÅNGE</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39842-2023</t>
        </is>
      </c>
      <c r="B9946" s="1" t="n">
        <v>45168</v>
      </c>
      <c r="C9946" s="1" t="n">
        <v>45657</v>
      </c>
      <c r="D9946" t="inlineStr">
        <is>
          <t>VÄSTERNORRLANDS LÄN</t>
        </is>
      </c>
      <c r="E9946" t="inlineStr">
        <is>
          <t>ÅNGE</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39827-2023</t>
        </is>
      </c>
      <c r="B9947" s="1" t="n">
        <v>45168</v>
      </c>
      <c r="C9947" s="1" t="n">
        <v>45657</v>
      </c>
      <c r="D9947" t="inlineStr">
        <is>
          <t>VÄSTERNORRLANDS LÄN</t>
        </is>
      </c>
      <c r="E9947" t="inlineStr">
        <is>
          <t>ÖRNSKÖLDSVIK</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39843-2023</t>
        </is>
      </c>
      <c r="B9948" s="1" t="n">
        <v>45168</v>
      </c>
      <c r="C9948" s="1" t="n">
        <v>45657</v>
      </c>
      <c r="D9948" t="inlineStr">
        <is>
          <t>VÄSTERNORRLANDS LÄN</t>
        </is>
      </c>
      <c r="E9948" t="inlineStr">
        <is>
          <t>ÅNGE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40005-2023</t>
        </is>
      </c>
      <c r="B9949" s="1" t="n">
        <v>45168</v>
      </c>
      <c r="C9949" s="1" t="n">
        <v>45657</v>
      </c>
      <c r="D9949" t="inlineStr">
        <is>
          <t>VÄSTERNORRLANDS LÄN</t>
        </is>
      </c>
      <c r="E9949" t="inlineStr">
        <is>
          <t>ÅNGE</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40022-2023</t>
        </is>
      </c>
      <c r="B9950" s="1" t="n">
        <v>45168</v>
      </c>
      <c r="C9950" s="1" t="n">
        <v>45657</v>
      </c>
      <c r="D9950" t="inlineStr">
        <is>
          <t>VÄSTERNORRLANDS LÄN</t>
        </is>
      </c>
      <c r="E9950" t="inlineStr">
        <is>
          <t>ÖRNSKÖLDSVIK</t>
        </is>
      </c>
      <c r="F9950" t="inlineStr">
        <is>
          <t>Holmen skog AB</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40098-2023</t>
        </is>
      </c>
      <c r="B9951" s="1" t="n">
        <v>45169</v>
      </c>
      <c r="C9951" s="1" t="n">
        <v>45657</v>
      </c>
      <c r="D9951" t="inlineStr">
        <is>
          <t>VÄSTERNORRLANDS LÄN</t>
        </is>
      </c>
      <c r="E9951" t="inlineStr">
        <is>
          <t>SOLLEFTEÅ</t>
        </is>
      </c>
      <c r="F9951" t="inlineStr">
        <is>
          <t>SCA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39825-2023</t>
        </is>
      </c>
      <c r="B9952" s="1" t="n">
        <v>45168</v>
      </c>
      <c r="C9952" s="1" t="n">
        <v>45657</v>
      </c>
      <c r="D9952" t="inlineStr">
        <is>
          <t>VÄSTERNORRLANDS LÄN</t>
        </is>
      </c>
      <c r="E9952" t="inlineStr">
        <is>
          <t>ÖRNSKÖLDSVIK</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39936-2023</t>
        </is>
      </c>
      <c r="B9953" s="1" t="n">
        <v>45168</v>
      </c>
      <c r="C9953" s="1" t="n">
        <v>45657</v>
      </c>
      <c r="D9953" t="inlineStr">
        <is>
          <t>VÄSTERNORRLANDS LÄN</t>
        </is>
      </c>
      <c r="E9953" t="inlineStr">
        <is>
          <t>ÅNGE</t>
        </is>
      </c>
      <c r="F9953" t="inlineStr">
        <is>
          <t>Sveaskog</t>
        </is>
      </c>
      <c r="G9953" t="n">
        <v>8.699999999999999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40012-2023</t>
        </is>
      </c>
      <c r="B9954" s="1" t="n">
        <v>45168</v>
      </c>
      <c r="C9954" s="1" t="n">
        <v>45657</v>
      </c>
      <c r="D9954" t="inlineStr">
        <is>
          <t>VÄSTERNORRLANDS LÄN</t>
        </is>
      </c>
      <c r="E9954" t="inlineStr">
        <is>
          <t>ÖRNSKÖLDSVIK</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39975-2023</t>
        </is>
      </c>
      <c r="B9955" s="1" t="n">
        <v>45168</v>
      </c>
      <c r="C9955" s="1" t="n">
        <v>45657</v>
      </c>
      <c r="D9955" t="inlineStr">
        <is>
          <t>VÄSTERNORRLANDS LÄN</t>
        </is>
      </c>
      <c r="E9955" t="inlineStr">
        <is>
          <t>ÅNGE</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40071-2023</t>
        </is>
      </c>
      <c r="B9956" s="1" t="n">
        <v>45168</v>
      </c>
      <c r="C9956" s="1" t="n">
        <v>45657</v>
      </c>
      <c r="D9956" t="inlineStr">
        <is>
          <t>VÄSTERNORRLANDS LÄN</t>
        </is>
      </c>
      <c r="E9956" t="inlineStr">
        <is>
          <t>ÖRNSKÖLDSVIK</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40011-2023</t>
        </is>
      </c>
      <c r="B9957" s="1" t="n">
        <v>45168</v>
      </c>
      <c r="C9957" s="1" t="n">
        <v>45657</v>
      </c>
      <c r="D9957" t="inlineStr">
        <is>
          <t>VÄSTERNORRLANDS LÄN</t>
        </is>
      </c>
      <c r="E9957" t="inlineStr">
        <is>
          <t>SUNDSVALL</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40066-2023</t>
        </is>
      </c>
      <c r="B9958" s="1" t="n">
        <v>45168</v>
      </c>
      <c r="C9958" s="1" t="n">
        <v>45657</v>
      </c>
      <c r="D9958" t="inlineStr">
        <is>
          <t>VÄSTERNORRLANDS LÄN</t>
        </is>
      </c>
      <c r="E9958" t="inlineStr">
        <is>
          <t>ÖRNSKÖLDSVIK</t>
        </is>
      </c>
      <c r="F9958" t="inlineStr">
        <is>
          <t>Holmen skog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40112-2023</t>
        </is>
      </c>
      <c r="B9959" s="1" t="n">
        <v>45168</v>
      </c>
      <c r="C9959" s="1" t="n">
        <v>45657</v>
      </c>
      <c r="D9959" t="inlineStr">
        <is>
          <t>VÄSTERNORRLANDS LÄN</t>
        </is>
      </c>
      <c r="E9959" t="inlineStr">
        <is>
          <t>TIMRÅ</t>
        </is>
      </c>
      <c r="F9959" t="inlineStr">
        <is>
          <t>SCA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40208-2023</t>
        </is>
      </c>
      <c r="B9960" s="1" t="n">
        <v>45168</v>
      </c>
      <c r="C9960" s="1" t="n">
        <v>45657</v>
      </c>
      <c r="D9960" t="inlineStr">
        <is>
          <t>VÄSTERNORRLANDS LÄN</t>
        </is>
      </c>
      <c r="E9960" t="inlineStr">
        <is>
          <t>ÅNGE</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40243-2023</t>
        </is>
      </c>
      <c r="B9961" s="1" t="n">
        <v>45168</v>
      </c>
      <c r="C9961" s="1" t="n">
        <v>45657</v>
      </c>
      <c r="D9961" t="inlineStr">
        <is>
          <t>VÄSTERNORRLANDS LÄN</t>
        </is>
      </c>
      <c r="E9961" t="inlineStr">
        <is>
          <t>HÄRNÖSAND</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40099-2023</t>
        </is>
      </c>
      <c r="B9962" s="1" t="n">
        <v>45169</v>
      </c>
      <c r="C9962" s="1" t="n">
        <v>45657</v>
      </c>
      <c r="D9962" t="inlineStr">
        <is>
          <t>VÄSTERNORRLANDS LÄN</t>
        </is>
      </c>
      <c r="E9962" t="inlineStr">
        <is>
          <t>SOLLEFTEÅ</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40115-2023</t>
        </is>
      </c>
      <c r="B9963" s="1" t="n">
        <v>45169</v>
      </c>
      <c r="C9963" s="1" t="n">
        <v>45657</v>
      </c>
      <c r="D9963" t="inlineStr">
        <is>
          <t>VÄSTERNORRLANDS LÄN</t>
        </is>
      </c>
      <c r="E9963" t="inlineStr">
        <is>
          <t>SOLLEFTEÅ</t>
        </is>
      </c>
      <c r="F9963" t="inlineStr">
        <is>
          <t>SCA</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40204-2023</t>
        </is>
      </c>
      <c r="B9964" s="1" t="n">
        <v>45168</v>
      </c>
      <c r="C9964" s="1" t="n">
        <v>45657</v>
      </c>
      <c r="D9964" t="inlineStr">
        <is>
          <t>VÄSTERNORRLANDS LÄN</t>
        </is>
      </c>
      <c r="E9964" t="inlineStr">
        <is>
          <t>KRAMFORS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40237-2023</t>
        </is>
      </c>
      <c r="B9965" s="1" t="n">
        <v>45168</v>
      </c>
      <c r="C9965" s="1" t="n">
        <v>45657</v>
      </c>
      <c r="D9965" t="inlineStr">
        <is>
          <t>VÄSTERNORRLANDS LÄN</t>
        </is>
      </c>
      <c r="E9965" t="inlineStr">
        <is>
          <t>HÄRNÖSAND</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40368-2023</t>
        </is>
      </c>
      <c r="B9966" s="1" t="n">
        <v>45168</v>
      </c>
      <c r="C9966" s="1" t="n">
        <v>45657</v>
      </c>
      <c r="D9966" t="inlineStr">
        <is>
          <t>VÄSTERNORRLANDS LÄN</t>
        </is>
      </c>
      <c r="E9966" t="inlineStr">
        <is>
          <t>ÖRNSKÖLDSVIK</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39920-2023</t>
        </is>
      </c>
      <c r="B9967" s="1" t="n">
        <v>45168</v>
      </c>
      <c r="C9967" s="1" t="n">
        <v>45657</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39973-2023</t>
        </is>
      </c>
      <c r="B9968" s="1" t="n">
        <v>45168</v>
      </c>
      <c r="C9968" s="1" t="n">
        <v>45657</v>
      </c>
      <c r="D9968" t="inlineStr">
        <is>
          <t>VÄSTERNORRLANDS LÄN</t>
        </is>
      </c>
      <c r="E9968" t="inlineStr">
        <is>
          <t>ÅNGE</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39981-2023</t>
        </is>
      </c>
      <c r="B9969" s="1" t="n">
        <v>45168</v>
      </c>
      <c r="C9969" s="1" t="n">
        <v>45657</v>
      </c>
      <c r="D9969" t="inlineStr">
        <is>
          <t>VÄSTERNORRLANDS LÄN</t>
        </is>
      </c>
      <c r="E9969" t="inlineStr">
        <is>
          <t>SUNDSVALL</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39985-2023</t>
        </is>
      </c>
      <c r="B9970" s="1" t="n">
        <v>45168</v>
      </c>
      <c r="C9970" s="1" t="n">
        <v>45657</v>
      </c>
      <c r="D9970" t="inlineStr">
        <is>
          <t>VÄSTERNORRLANDS LÄN</t>
        </is>
      </c>
      <c r="E9970" t="inlineStr">
        <is>
          <t>ÅNGE</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39995-2023</t>
        </is>
      </c>
      <c r="B9971" s="1" t="n">
        <v>45168</v>
      </c>
      <c r="C9971" s="1" t="n">
        <v>45657</v>
      </c>
      <c r="D9971" t="inlineStr">
        <is>
          <t>VÄSTERNORRLANDS LÄN</t>
        </is>
      </c>
      <c r="E9971" t="inlineStr">
        <is>
          <t>ÅNGE</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40056-2023</t>
        </is>
      </c>
      <c r="B9972" s="1" t="n">
        <v>45168</v>
      </c>
      <c r="C9972" s="1" t="n">
        <v>45657</v>
      </c>
      <c r="D9972" t="inlineStr">
        <is>
          <t>VÄSTERNORRLANDS LÄN</t>
        </is>
      </c>
      <c r="E9972" t="inlineStr">
        <is>
          <t>ÖRNSKÖLDSVIK</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40193-2023</t>
        </is>
      </c>
      <c r="B9973" s="1" t="n">
        <v>45168</v>
      </c>
      <c r="C9973" s="1" t="n">
        <v>45657</v>
      </c>
      <c r="D9973" t="inlineStr">
        <is>
          <t>VÄSTERNORRLANDS LÄN</t>
        </is>
      </c>
      <c r="E9973" t="inlineStr">
        <is>
          <t>KRAMFORS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40232-2023</t>
        </is>
      </c>
      <c r="B9974" s="1" t="n">
        <v>45168</v>
      </c>
      <c r="C9974" s="1" t="n">
        <v>45657</v>
      </c>
      <c r="D9974" t="inlineStr">
        <is>
          <t>VÄSTERNORRLANDS LÄN</t>
        </is>
      </c>
      <c r="E9974" t="inlineStr">
        <is>
          <t>HÄRNÖSAND</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40223-2023</t>
        </is>
      </c>
      <c r="B9975" s="1" t="n">
        <v>45168</v>
      </c>
      <c r="C9975" s="1" t="n">
        <v>45657</v>
      </c>
      <c r="D9975" t="inlineStr">
        <is>
          <t>VÄSTERNORRLANDS LÄN</t>
        </is>
      </c>
      <c r="E9975" t="inlineStr">
        <is>
          <t>ÖRNSKÖLDSVIK</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40452-2023</t>
        </is>
      </c>
      <c r="B9976" s="1" t="n">
        <v>45168</v>
      </c>
      <c r="C9976" s="1" t="n">
        <v>45657</v>
      </c>
      <c r="D9976" t="inlineStr">
        <is>
          <t>VÄSTERNORRLANDS LÄN</t>
        </is>
      </c>
      <c r="E9976" t="inlineStr">
        <is>
          <t>HÄRNÖSAND</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40494-2023</t>
        </is>
      </c>
      <c r="B9977" s="1" t="n">
        <v>45168</v>
      </c>
      <c r="C9977" s="1" t="n">
        <v>45657</v>
      </c>
      <c r="D9977" t="inlineStr">
        <is>
          <t>VÄSTERNORRLANDS LÄN</t>
        </is>
      </c>
      <c r="E9977" t="inlineStr">
        <is>
          <t>KRAMFORS</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40134-2023</t>
        </is>
      </c>
      <c r="B9978" s="1" t="n">
        <v>45169</v>
      </c>
      <c r="C9978" s="1" t="n">
        <v>45657</v>
      </c>
      <c r="D9978" t="inlineStr">
        <is>
          <t>VÄSTERNORRLANDS LÄN</t>
        </is>
      </c>
      <c r="E9978" t="inlineStr">
        <is>
          <t>ÖRNSKÖLDSVIK</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40202-2023</t>
        </is>
      </c>
      <c r="B9979" s="1" t="n">
        <v>45169</v>
      </c>
      <c r="C9979" s="1" t="n">
        <v>45657</v>
      </c>
      <c r="D9979" t="inlineStr">
        <is>
          <t>VÄSTERNORRLANDS LÄN</t>
        </is>
      </c>
      <c r="E9979" t="inlineStr">
        <is>
          <t>SOLLEFTEÅ</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40378-2023</t>
        </is>
      </c>
      <c r="B9980" s="1" t="n">
        <v>45169</v>
      </c>
      <c r="C9980" s="1" t="n">
        <v>45657</v>
      </c>
      <c r="D9980" t="inlineStr">
        <is>
          <t>VÄSTERNORRLANDS LÄN</t>
        </is>
      </c>
      <c r="E9980" t="inlineStr">
        <is>
          <t>ÅNGE</t>
        </is>
      </c>
      <c r="F9980" t="inlineStr">
        <is>
          <t>Holmen skog AB</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40386-2023</t>
        </is>
      </c>
      <c r="B9981" s="1" t="n">
        <v>45169</v>
      </c>
      <c r="C9981" s="1" t="n">
        <v>45657</v>
      </c>
      <c r="D9981" t="inlineStr">
        <is>
          <t>VÄSTERNORRLANDS LÄN</t>
        </is>
      </c>
      <c r="E9981" t="inlineStr">
        <is>
          <t>KRAMFORS</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40403-2023</t>
        </is>
      </c>
      <c r="B9982" s="1" t="n">
        <v>45170</v>
      </c>
      <c r="C9982" s="1" t="n">
        <v>45657</v>
      </c>
      <c r="D9982" t="inlineStr">
        <is>
          <t>VÄSTERNORRLANDS LÄN</t>
        </is>
      </c>
      <c r="E9982" t="inlineStr">
        <is>
          <t>SOLLEFTEÅ</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40119-2023</t>
        </is>
      </c>
      <c r="B9983" s="1" t="n">
        <v>45169</v>
      </c>
      <c r="C9983" s="1" t="n">
        <v>45657</v>
      </c>
      <c r="D9983" t="inlineStr">
        <is>
          <t>VÄSTERNORRLANDS LÄN</t>
        </is>
      </c>
      <c r="E9983" t="inlineStr">
        <is>
          <t>KRAMFORS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40120-2023</t>
        </is>
      </c>
      <c r="B9984" s="1" t="n">
        <v>45169</v>
      </c>
      <c r="C9984" s="1" t="n">
        <v>45657</v>
      </c>
      <c r="D9984" t="inlineStr">
        <is>
          <t>VÄSTERNORRLANDS LÄN</t>
        </is>
      </c>
      <c r="E9984" t="inlineStr">
        <is>
          <t>KRAMFORS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40907-2023</t>
        </is>
      </c>
      <c r="B9985" s="1" t="n">
        <v>45169</v>
      </c>
      <c r="C9985" s="1" t="n">
        <v>45657</v>
      </c>
      <c r="D9985" t="inlineStr">
        <is>
          <t>VÄSTERNORRLANDS LÄN</t>
        </is>
      </c>
      <c r="E9985" t="inlineStr">
        <is>
          <t>SUNDSVALL</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40599-2023</t>
        </is>
      </c>
      <c r="B9986" s="1" t="n">
        <v>45169</v>
      </c>
      <c r="C9986" s="1" t="n">
        <v>45657</v>
      </c>
      <c r="D9986" t="inlineStr">
        <is>
          <t>VÄSTERNORRLANDS LÄN</t>
        </is>
      </c>
      <c r="E9986" t="inlineStr">
        <is>
          <t>KRAMFORS</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40187-2023</t>
        </is>
      </c>
      <c r="B9987" s="1" t="n">
        <v>45169</v>
      </c>
      <c r="C9987" s="1" t="n">
        <v>45657</v>
      </c>
      <c r="D9987" t="inlineStr">
        <is>
          <t>VÄSTERNORRLANDS LÄN</t>
        </is>
      </c>
      <c r="E9987" t="inlineStr">
        <is>
          <t>KRAMFORS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40404-2023</t>
        </is>
      </c>
      <c r="B9988" s="1" t="n">
        <v>45170</v>
      </c>
      <c r="C9988" s="1" t="n">
        <v>45657</v>
      </c>
      <c r="D9988" t="inlineStr">
        <is>
          <t>VÄSTERNORRLANDS LÄN</t>
        </is>
      </c>
      <c r="E9988" t="inlineStr">
        <is>
          <t>SOLLEFTEÅ</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40428-2023</t>
        </is>
      </c>
      <c r="B9989" s="1" t="n">
        <v>45169</v>
      </c>
      <c r="C9989" s="1" t="n">
        <v>45657</v>
      </c>
      <c r="D9989" t="inlineStr">
        <is>
          <t>VÄSTERNORRLANDS LÄN</t>
        </is>
      </c>
      <c r="E9989" t="inlineStr">
        <is>
          <t>SUNDSVALL</t>
        </is>
      </c>
      <c r="F9989" t="inlineStr">
        <is>
          <t>SCA</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40663-2023</t>
        </is>
      </c>
      <c r="B9990" s="1" t="n">
        <v>45169</v>
      </c>
      <c r="C9990" s="1" t="n">
        <v>45657</v>
      </c>
      <c r="D9990" t="inlineStr">
        <is>
          <t>VÄSTERNORRLANDS LÄN</t>
        </is>
      </c>
      <c r="E9990" t="inlineStr">
        <is>
          <t>ÅNGE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40200-2023</t>
        </is>
      </c>
      <c r="B9991" s="1" t="n">
        <v>45169</v>
      </c>
      <c r="C9991" s="1" t="n">
        <v>45657</v>
      </c>
      <c r="D9991" t="inlineStr">
        <is>
          <t>VÄSTERNORRLANDS LÄN</t>
        </is>
      </c>
      <c r="E9991" t="inlineStr">
        <is>
          <t>ÖRNSKÖLDSVIK</t>
        </is>
      </c>
      <c r="F9991" t="inlineStr">
        <is>
          <t>Holmen skog AB</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40909-2023</t>
        </is>
      </c>
      <c r="B9992" s="1" t="n">
        <v>45169</v>
      </c>
      <c r="C9992" s="1" t="n">
        <v>45657</v>
      </c>
      <c r="D9992" t="inlineStr">
        <is>
          <t>VÄSTERNORRLANDS LÄN</t>
        </is>
      </c>
      <c r="E9992" t="inlineStr">
        <is>
          <t>ÖRNSKÖLDSVIK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41028-2023</t>
        </is>
      </c>
      <c r="B9993" s="1" t="n">
        <v>45169</v>
      </c>
      <c r="C9993" s="1" t="n">
        <v>45657</v>
      </c>
      <c r="D9993" t="inlineStr">
        <is>
          <t>VÄSTERNORRLANDS LÄN</t>
        </is>
      </c>
      <c r="E9993" t="inlineStr">
        <is>
          <t>SUNDSVALL</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40425-2023</t>
        </is>
      </c>
      <c r="B9994" s="1" t="n">
        <v>45170</v>
      </c>
      <c r="C9994" s="1" t="n">
        <v>45657</v>
      </c>
      <c r="D9994" t="inlineStr">
        <is>
          <t>VÄSTERNORRLANDS LÄN</t>
        </is>
      </c>
      <c r="E9994" t="inlineStr">
        <is>
          <t>SUNDSVALL</t>
        </is>
      </c>
      <c r="F9994" t="inlineStr">
        <is>
          <t>SCA</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40429-2023</t>
        </is>
      </c>
      <c r="B9995" s="1" t="n">
        <v>45169</v>
      </c>
      <c r="C9995" s="1" t="n">
        <v>45657</v>
      </c>
      <c r="D9995" t="inlineStr">
        <is>
          <t>VÄSTERNORRLANDS LÄN</t>
        </is>
      </c>
      <c r="E9995" t="inlineStr">
        <is>
          <t>SOLLEFTEÅ</t>
        </is>
      </c>
      <c r="F9995" t="inlineStr">
        <is>
          <t>SCA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40421-2023</t>
        </is>
      </c>
      <c r="B9996" s="1" t="n">
        <v>45170</v>
      </c>
      <c r="C9996" s="1" t="n">
        <v>45657</v>
      </c>
      <c r="D9996" t="inlineStr">
        <is>
          <t>VÄSTERNORRLANDS LÄN</t>
        </is>
      </c>
      <c r="E9996" t="inlineStr">
        <is>
          <t>SOLLEFTEÅ</t>
        </is>
      </c>
      <c r="F9996" t="inlineStr">
        <is>
          <t>SCA</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40586-2023</t>
        </is>
      </c>
      <c r="B9997" s="1" t="n">
        <v>45170</v>
      </c>
      <c r="C9997" s="1" t="n">
        <v>45657</v>
      </c>
      <c r="D9997" t="inlineStr">
        <is>
          <t>VÄSTERNORRLANDS LÄN</t>
        </is>
      </c>
      <c r="E9997" t="inlineStr">
        <is>
          <t>ÖRNSKÖLDSVIK</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40454-2023</t>
        </is>
      </c>
      <c r="B9998" s="1" t="n">
        <v>45170</v>
      </c>
      <c r="C9998" s="1" t="n">
        <v>45657</v>
      </c>
      <c r="D9998" t="inlineStr">
        <is>
          <t>VÄSTERNORRLANDS LÄN</t>
        </is>
      </c>
      <c r="E9998" t="inlineStr">
        <is>
          <t>ÖRNSKÖLDSVIK</t>
        </is>
      </c>
      <c r="F9998" t="inlineStr">
        <is>
          <t>Holmen skog AB</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40590-2023</t>
        </is>
      </c>
      <c r="B9999" s="1" t="n">
        <v>45170</v>
      </c>
      <c r="C9999" s="1" t="n">
        <v>45657</v>
      </c>
      <c r="D9999" t="inlineStr">
        <is>
          <t>VÄSTERNORRLANDS LÄN</t>
        </is>
      </c>
      <c r="E9999" t="inlineStr">
        <is>
          <t>ÖRNSKÖLDSVIK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40749-2023</t>
        </is>
      </c>
      <c r="B10000" s="1" t="n">
        <v>45170</v>
      </c>
      <c r="C10000" s="1" t="n">
        <v>45657</v>
      </c>
      <c r="D10000" t="inlineStr">
        <is>
          <t>VÄSTERNORRLANDS LÄN</t>
        </is>
      </c>
      <c r="E10000" t="inlineStr">
        <is>
          <t>SUNDSVALL</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40626-2023</t>
        </is>
      </c>
      <c r="B10001" s="1" t="n">
        <v>45170</v>
      </c>
      <c r="C10001" s="1" t="n">
        <v>45657</v>
      </c>
      <c r="D10001" t="inlineStr">
        <is>
          <t>VÄSTERNORRLANDS LÄN</t>
        </is>
      </c>
      <c r="E10001" t="inlineStr">
        <is>
          <t>ÅNGE</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40622-2023</t>
        </is>
      </c>
      <c r="B10002" s="1" t="n">
        <v>45170</v>
      </c>
      <c r="C10002" s="1" t="n">
        <v>45657</v>
      </c>
      <c r="D10002" t="inlineStr">
        <is>
          <t>VÄSTERNORRLANDS LÄN</t>
        </is>
      </c>
      <c r="E10002" t="inlineStr">
        <is>
          <t>ÅNGE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40722-2023</t>
        </is>
      </c>
      <c r="B10003" s="1" t="n">
        <v>45170</v>
      </c>
      <c r="C10003" s="1" t="n">
        <v>45657</v>
      </c>
      <c r="D10003" t="inlineStr">
        <is>
          <t>VÄSTERNORRLANDS LÄN</t>
        </is>
      </c>
      <c r="E10003" t="inlineStr">
        <is>
          <t>ÖRNSKÖLDSVIK</t>
        </is>
      </c>
      <c r="F10003" t="inlineStr">
        <is>
          <t>Holmen skog AB</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40550-2023</t>
        </is>
      </c>
      <c r="B10004" s="1" t="n">
        <v>45170</v>
      </c>
      <c r="C10004" s="1" t="n">
        <v>45657</v>
      </c>
      <c r="D10004" t="inlineStr">
        <is>
          <t>VÄSTERNORRLANDS LÄN</t>
        </is>
      </c>
      <c r="E10004" t="inlineStr">
        <is>
          <t>ÖRNSKÖLDSVIK</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40598-2023</t>
        </is>
      </c>
      <c r="B10005" s="1" t="n">
        <v>45170</v>
      </c>
      <c r="C10005" s="1" t="n">
        <v>45657</v>
      </c>
      <c r="D10005" t="inlineStr">
        <is>
          <t>VÄSTERNORRLANDS LÄN</t>
        </is>
      </c>
      <c r="E10005" t="inlineStr">
        <is>
          <t>ÖRNSKÖLDSVIK</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40724-2023</t>
        </is>
      </c>
      <c r="B10006" s="1" t="n">
        <v>45170</v>
      </c>
      <c r="C10006" s="1" t="n">
        <v>45657</v>
      </c>
      <c r="D10006" t="inlineStr">
        <is>
          <t>VÄSTERNORRLANDS LÄN</t>
        </is>
      </c>
      <c r="E10006" t="inlineStr">
        <is>
          <t>ÖRNSKÖLDSVIK</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40769-2023</t>
        </is>
      </c>
      <c r="B10007" s="1" t="n">
        <v>45170</v>
      </c>
      <c r="C10007" s="1" t="n">
        <v>45657</v>
      </c>
      <c r="D10007" t="inlineStr">
        <is>
          <t>VÄSTERNORRLANDS LÄN</t>
        </is>
      </c>
      <c r="E10007" t="inlineStr">
        <is>
          <t>TIMRÅ</t>
        </is>
      </c>
      <c r="F10007" t="inlineStr">
        <is>
          <t>SCA</t>
        </is>
      </c>
      <c r="G10007" t="n">
        <v>10.9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40789-2023</t>
        </is>
      </c>
      <c r="B10008" s="1" t="n">
        <v>45171</v>
      </c>
      <c r="C10008" s="1" t="n">
        <v>45657</v>
      </c>
      <c r="D10008" t="inlineStr">
        <is>
          <t>VÄSTERNORRLANDS LÄN</t>
        </is>
      </c>
      <c r="E10008" t="inlineStr">
        <is>
          <t>ÅNGE</t>
        </is>
      </c>
      <c r="F10008" t="inlineStr">
        <is>
          <t>SCA</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40793-2023</t>
        </is>
      </c>
      <c r="B10009" s="1" t="n">
        <v>45171</v>
      </c>
      <c r="C10009" s="1" t="n">
        <v>45657</v>
      </c>
      <c r="D10009" t="inlineStr">
        <is>
          <t>VÄSTERNORRLANDS LÄN</t>
        </is>
      </c>
      <c r="E10009" t="inlineStr">
        <is>
          <t>SUNDSVALL</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40773-2023</t>
        </is>
      </c>
      <c r="B10010" s="1" t="n">
        <v>45171</v>
      </c>
      <c r="C10010" s="1" t="n">
        <v>45657</v>
      </c>
      <c r="D10010" t="inlineStr">
        <is>
          <t>VÄSTERNORRLANDS LÄN</t>
        </is>
      </c>
      <c r="E10010" t="inlineStr">
        <is>
          <t>TIMRÅ</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40762-2023</t>
        </is>
      </c>
      <c r="B10011" s="1" t="n">
        <v>45170</v>
      </c>
      <c r="C10011" s="1" t="n">
        <v>45657</v>
      </c>
      <c r="D10011" t="inlineStr">
        <is>
          <t>VÄSTERNORRLANDS LÄN</t>
        </is>
      </c>
      <c r="E10011" t="inlineStr">
        <is>
          <t>SUNDSVALL</t>
        </is>
      </c>
      <c r="F10011" t="inlineStr">
        <is>
          <t>SCA</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40786-2023</t>
        </is>
      </c>
      <c r="B10012" s="1" t="n">
        <v>45171</v>
      </c>
      <c r="C10012" s="1" t="n">
        <v>45657</v>
      </c>
      <c r="D10012" t="inlineStr">
        <is>
          <t>VÄSTERNORRLANDS LÄN</t>
        </is>
      </c>
      <c r="E10012" t="inlineStr">
        <is>
          <t>SUNDSVALL</t>
        </is>
      </c>
      <c r="F10012" t="inlineStr">
        <is>
          <t>SCA</t>
        </is>
      </c>
      <c r="G10012" t="n">
        <v>18.1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40790-2023</t>
        </is>
      </c>
      <c r="B10013" s="1" t="n">
        <v>45171</v>
      </c>
      <c r="C10013" s="1" t="n">
        <v>45657</v>
      </c>
      <c r="D10013" t="inlineStr">
        <is>
          <t>VÄSTERNORRLANDS LÄN</t>
        </is>
      </c>
      <c r="E10013" t="inlineStr">
        <is>
          <t>ÅNGE</t>
        </is>
      </c>
      <c r="F10013" t="inlineStr">
        <is>
          <t>SCA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40766-2023</t>
        </is>
      </c>
      <c r="B10014" s="1" t="n">
        <v>45170</v>
      </c>
      <c r="C10014" s="1" t="n">
        <v>45657</v>
      </c>
      <c r="D10014" t="inlineStr">
        <is>
          <t>VÄSTERNORRLANDS LÄN</t>
        </is>
      </c>
      <c r="E10014" t="inlineStr">
        <is>
          <t>SOLLEFTEÅ</t>
        </is>
      </c>
      <c r="F10014" t="inlineStr">
        <is>
          <t>SCA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40774-2023</t>
        </is>
      </c>
      <c r="B10015" s="1" t="n">
        <v>45171</v>
      </c>
      <c r="C10015" s="1" t="n">
        <v>45657</v>
      </c>
      <c r="D10015" t="inlineStr">
        <is>
          <t>VÄSTERNORRLANDS LÄN</t>
        </is>
      </c>
      <c r="E10015" t="inlineStr">
        <is>
          <t>TIMRÅ</t>
        </is>
      </c>
      <c r="F10015" t="inlineStr">
        <is>
          <t>SCA</t>
        </is>
      </c>
      <c r="G10015" t="n">
        <v>12.6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40798-2023</t>
        </is>
      </c>
      <c r="B10016" s="1" t="n">
        <v>45170</v>
      </c>
      <c r="C10016" s="1" t="n">
        <v>45657</v>
      </c>
      <c r="D10016" t="inlineStr">
        <is>
          <t>VÄSTERNORRLANDS LÄN</t>
        </is>
      </c>
      <c r="E10016" t="inlineStr">
        <is>
          <t>SUNDSVALL</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40778-2023</t>
        </is>
      </c>
      <c r="B10017" s="1" t="n">
        <v>45170</v>
      </c>
      <c r="C10017" s="1" t="n">
        <v>45657</v>
      </c>
      <c r="D10017" t="inlineStr">
        <is>
          <t>VÄSTERNORRLANDS LÄN</t>
        </is>
      </c>
      <c r="E10017" t="inlineStr">
        <is>
          <t>SUNDSVALL</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41298-2023</t>
        </is>
      </c>
      <c r="B10018" s="1" t="n">
        <v>45170</v>
      </c>
      <c r="C10018" s="1" t="n">
        <v>45657</v>
      </c>
      <c r="D10018" t="inlineStr">
        <is>
          <t>VÄSTERNORRLANDS LÄN</t>
        </is>
      </c>
      <c r="E10018" t="inlineStr">
        <is>
          <t>ÖRNSKÖLDSVIK</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40755-2023</t>
        </is>
      </c>
      <c r="B10019" s="1" t="n">
        <v>45170</v>
      </c>
      <c r="C10019" s="1" t="n">
        <v>45657</v>
      </c>
      <c r="D10019" t="inlineStr">
        <is>
          <t>VÄSTERNORRLANDS LÄN</t>
        </is>
      </c>
      <c r="E10019" t="inlineStr">
        <is>
          <t>ÅNGE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40763-2023</t>
        </is>
      </c>
      <c r="B10020" s="1" t="n">
        <v>45170</v>
      </c>
      <c r="C10020" s="1" t="n">
        <v>45657</v>
      </c>
      <c r="D10020" t="inlineStr">
        <is>
          <t>VÄSTERNORRLANDS LÄN</t>
        </is>
      </c>
      <c r="E10020" t="inlineStr">
        <is>
          <t>SUNDSVALL</t>
        </is>
      </c>
      <c r="F10020" t="inlineStr">
        <is>
          <t>SCA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40791-2023</t>
        </is>
      </c>
      <c r="B10021" s="1" t="n">
        <v>45171</v>
      </c>
      <c r="C10021" s="1" t="n">
        <v>45657</v>
      </c>
      <c r="D10021" t="inlineStr">
        <is>
          <t>VÄSTERNORRLANDS LÄN</t>
        </is>
      </c>
      <c r="E10021" t="inlineStr">
        <is>
          <t>ÅNGE</t>
        </is>
      </c>
      <c r="F10021" t="inlineStr">
        <is>
          <t>SCA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40767-2023</t>
        </is>
      </c>
      <c r="B10022" s="1" t="n">
        <v>45171</v>
      </c>
      <c r="C10022" s="1" t="n">
        <v>45657</v>
      </c>
      <c r="D10022" t="inlineStr">
        <is>
          <t>VÄSTERNORRLANDS LÄN</t>
        </is>
      </c>
      <c r="E10022" t="inlineStr">
        <is>
          <t>TIMRÅ</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40779-2023</t>
        </is>
      </c>
      <c r="B10023" s="1" t="n">
        <v>45171</v>
      </c>
      <c r="C10023" s="1" t="n">
        <v>45657</v>
      </c>
      <c r="D10023" t="inlineStr">
        <is>
          <t>VÄSTERNORRLANDS LÄN</t>
        </is>
      </c>
      <c r="E10023" t="inlineStr">
        <is>
          <t>SUNDSVALL</t>
        </is>
      </c>
      <c r="F10023" t="inlineStr">
        <is>
          <t>SCA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40760-2023</t>
        </is>
      </c>
      <c r="B10024" s="1" t="n">
        <v>45171</v>
      </c>
      <c r="C10024" s="1" t="n">
        <v>45657</v>
      </c>
      <c r="D10024" t="inlineStr">
        <is>
          <t>VÄSTERNORRLANDS LÄN</t>
        </is>
      </c>
      <c r="E10024" t="inlineStr">
        <is>
          <t>SUNDSVALL</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40764-2023</t>
        </is>
      </c>
      <c r="B10025" s="1" t="n">
        <v>45170</v>
      </c>
      <c r="C10025" s="1" t="n">
        <v>45657</v>
      </c>
      <c r="D10025" t="inlineStr">
        <is>
          <t>VÄSTERNORRLANDS LÄN</t>
        </is>
      </c>
      <c r="E10025" t="inlineStr">
        <is>
          <t>SOLLEFTEÅ</t>
        </is>
      </c>
      <c r="F10025" t="inlineStr">
        <is>
          <t>SCA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40768-2023</t>
        </is>
      </c>
      <c r="B10026" s="1" t="n">
        <v>45171</v>
      </c>
      <c r="C10026" s="1" t="n">
        <v>45657</v>
      </c>
      <c r="D10026" t="inlineStr">
        <is>
          <t>VÄSTERNORRLANDS LÄN</t>
        </is>
      </c>
      <c r="E10026" t="inlineStr">
        <is>
          <t>TIMRÅ</t>
        </is>
      </c>
      <c r="F10026" t="inlineStr">
        <is>
          <t>SCA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40834-2023</t>
        </is>
      </c>
      <c r="B10027" s="1" t="n">
        <v>45172</v>
      </c>
      <c r="C10027" s="1" t="n">
        <v>45657</v>
      </c>
      <c r="D10027" t="inlineStr">
        <is>
          <t>VÄSTERNORRLANDS LÄN</t>
        </is>
      </c>
      <c r="E10027" t="inlineStr">
        <is>
          <t>ÅNGE</t>
        </is>
      </c>
      <c r="F10027" t="inlineStr">
        <is>
          <t>Kyrkan</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40831-2023</t>
        </is>
      </c>
      <c r="B10028" s="1" t="n">
        <v>45172</v>
      </c>
      <c r="C10028" s="1" t="n">
        <v>45657</v>
      </c>
      <c r="D10028" t="inlineStr">
        <is>
          <t>VÄSTERNORRLANDS LÄN</t>
        </is>
      </c>
      <c r="E10028" t="inlineStr">
        <is>
          <t>ÅNGE</t>
        </is>
      </c>
      <c r="F10028" t="inlineStr">
        <is>
          <t>Kyrkan</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40832-2023</t>
        </is>
      </c>
      <c r="B10029" s="1" t="n">
        <v>45172</v>
      </c>
      <c r="C10029" s="1" t="n">
        <v>45657</v>
      </c>
      <c r="D10029" t="inlineStr">
        <is>
          <t>VÄSTERNORRLANDS LÄN</t>
        </is>
      </c>
      <c r="E10029" t="inlineStr">
        <is>
          <t>ÅNGE</t>
        </is>
      </c>
      <c r="F10029" t="inlineStr">
        <is>
          <t>Kyrkan</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40862-2023</t>
        </is>
      </c>
      <c r="B10030" s="1" t="n">
        <v>45173</v>
      </c>
      <c r="C10030" s="1" t="n">
        <v>45657</v>
      </c>
      <c r="D10030" t="inlineStr">
        <is>
          <t>VÄSTERNORRLANDS LÄN</t>
        </is>
      </c>
      <c r="E10030" t="inlineStr">
        <is>
          <t>SUNDSVALL</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40879-2023</t>
        </is>
      </c>
      <c r="B10031" s="1" t="n">
        <v>45173</v>
      </c>
      <c r="C10031" s="1" t="n">
        <v>45657</v>
      </c>
      <c r="D10031" t="inlineStr">
        <is>
          <t>VÄSTERNORRLANDS LÄN</t>
        </is>
      </c>
      <c r="E10031" t="inlineStr">
        <is>
          <t>KRAMFORS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40891-2023</t>
        </is>
      </c>
      <c r="B10032" s="1" t="n">
        <v>45173</v>
      </c>
      <c r="C10032" s="1" t="n">
        <v>45657</v>
      </c>
      <c r="D10032" t="inlineStr">
        <is>
          <t>VÄSTERNORRLANDS LÄN</t>
        </is>
      </c>
      <c r="E10032" t="inlineStr">
        <is>
          <t>KRAMFORS</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40851-2023</t>
        </is>
      </c>
      <c r="B10033" s="1" t="n">
        <v>45173</v>
      </c>
      <c r="C10033" s="1" t="n">
        <v>45657</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40867-2023</t>
        </is>
      </c>
      <c r="B10034" s="1" t="n">
        <v>45173</v>
      </c>
      <c r="C10034" s="1" t="n">
        <v>45657</v>
      </c>
      <c r="D10034" t="inlineStr">
        <is>
          <t>VÄSTERNORRLANDS LÄN</t>
        </is>
      </c>
      <c r="E10034" t="inlineStr">
        <is>
          <t>ÖRNSKÖLDSVIK</t>
        </is>
      </c>
      <c r="F10034" t="inlineStr">
        <is>
          <t>Holmen skog AB</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40889-2023</t>
        </is>
      </c>
      <c r="B10035" s="1" t="n">
        <v>45173</v>
      </c>
      <c r="C10035" s="1" t="n">
        <v>45657</v>
      </c>
      <c r="D10035" t="inlineStr">
        <is>
          <t>VÄSTERNORRLANDS LÄN</t>
        </is>
      </c>
      <c r="E10035" t="inlineStr">
        <is>
          <t>ÖRNSKÖLDSVIK</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41145-2023</t>
        </is>
      </c>
      <c r="B10036" s="1" t="n">
        <v>45174</v>
      </c>
      <c r="C10036" s="1" t="n">
        <v>45657</v>
      </c>
      <c r="D10036" t="inlineStr">
        <is>
          <t>VÄSTERNORRLANDS LÄN</t>
        </is>
      </c>
      <c r="E10036" t="inlineStr">
        <is>
          <t>SOLLEFTEÅ</t>
        </is>
      </c>
      <c r="F10036" t="inlineStr">
        <is>
          <t>SCA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41149-2023</t>
        </is>
      </c>
      <c r="B10037" s="1" t="n">
        <v>45174</v>
      </c>
      <c r="C10037" s="1" t="n">
        <v>45657</v>
      </c>
      <c r="D10037" t="inlineStr">
        <is>
          <t>VÄSTERNORRLANDS LÄN</t>
        </is>
      </c>
      <c r="E10037" t="inlineStr">
        <is>
          <t>ÖRNSKÖLDSVIK</t>
        </is>
      </c>
      <c r="F10037" t="inlineStr">
        <is>
          <t>SCA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41146-2023</t>
        </is>
      </c>
      <c r="B10038" s="1" t="n">
        <v>45174</v>
      </c>
      <c r="C10038" s="1" t="n">
        <v>45657</v>
      </c>
      <c r="D10038" t="inlineStr">
        <is>
          <t>VÄSTERNORRLANDS LÄN</t>
        </is>
      </c>
      <c r="E10038" t="inlineStr">
        <is>
          <t>SOLLEFTEÅ</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41153-2023</t>
        </is>
      </c>
      <c r="B10039" s="1" t="n">
        <v>45174</v>
      </c>
      <c r="C10039" s="1" t="n">
        <v>45657</v>
      </c>
      <c r="D10039" t="inlineStr">
        <is>
          <t>VÄSTERNORRLANDS LÄN</t>
        </is>
      </c>
      <c r="E10039" t="inlineStr">
        <is>
          <t>ÖRNSKÖLDSVIK</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41503-2023</t>
        </is>
      </c>
      <c r="B10040" s="1" t="n">
        <v>45173</v>
      </c>
      <c r="C10040" s="1" t="n">
        <v>45657</v>
      </c>
      <c r="D10040" t="inlineStr">
        <is>
          <t>VÄSTERNORRLANDS LÄN</t>
        </is>
      </c>
      <c r="E10040" t="inlineStr">
        <is>
          <t>ÖRNSKÖLDSVIK</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41152-2023</t>
        </is>
      </c>
      <c r="B10041" s="1" t="n">
        <v>45173</v>
      </c>
      <c r="C10041" s="1" t="n">
        <v>45657</v>
      </c>
      <c r="D10041" t="inlineStr">
        <is>
          <t>VÄSTERNORRLANDS LÄN</t>
        </is>
      </c>
      <c r="E10041" t="inlineStr">
        <is>
          <t>HÄRNÖSAND</t>
        </is>
      </c>
      <c r="F10041" t="inlineStr">
        <is>
          <t>SCA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41561-2023</t>
        </is>
      </c>
      <c r="B10042" s="1" t="n">
        <v>45173</v>
      </c>
      <c r="C10042" s="1" t="n">
        <v>45657</v>
      </c>
      <c r="D10042" t="inlineStr">
        <is>
          <t>VÄSTERNORRLANDS LÄN</t>
        </is>
      </c>
      <c r="E10042" t="inlineStr">
        <is>
          <t>ÖRNSKÖLDSVIK</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41710-2023</t>
        </is>
      </c>
      <c r="B10043" s="1" t="n">
        <v>45173</v>
      </c>
      <c r="C10043" s="1" t="n">
        <v>45657</v>
      </c>
      <c r="D10043" t="inlineStr">
        <is>
          <t>VÄSTERNORRLANDS LÄN</t>
        </is>
      </c>
      <c r="E10043" t="inlineStr">
        <is>
          <t>ÖRNSKÖLDSVIK</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40871-2023</t>
        </is>
      </c>
      <c r="B10044" s="1" t="n">
        <v>45173</v>
      </c>
      <c r="C10044" s="1" t="n">
        <v>45657</v>
      </c>
      <c r="D10044" t="inlineStr">
        <is>
          <t>VÄSTERNORRLANDS LÄN</t>
        </is>
      </c>
      <c r="E10044" t="inlineStr">
        <is>
          <t>KRAMFORS</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40875-2023</t>
        </is>
      </c>
      <c r="B10045" s="1" t="n">
        <v>45173</v>
      </c>
      <c r="C10045" s="1" t="n">
        <v>45657</v>
      </c>
      <c r="D10045" t="inlineStr">
        <is>
          <t>VÄSTERNORRLANDS LÄN</t>
        </is>
      </c>
      <c r="E10045" t="inlineStr">
        <is>
          <t>KRAMFORS</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41143-2023</t>
        </is>
      </c>
      <c r="B10046" s="1" t="n">
        <v>45174</v>
      </c>
      <c r="C10046" s="1" t="n">
        <v>45657</v>
      </c>
      <c r="D10046" t="inlineStr">
        <is>
          <t>VÄSTERNORRLANDS LÄN</t>
        </is>
      </c>
      <c r="E10046" t="inlineStr">
        <is>
          <t>SOLLEFTEÅ</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41147-2023</t>
        </is>
      </c>
      <c r="B10047" s="1" t="n">
        <v>45173</v>
      </c>
      <c r="C10047" s="1" t="n">
        <v>45657</v>
      </c>
      <c r="D10047" t="inlineStr">
        <is>
          <t>VÄSTERNORRLANDS LÄN</t>
        </is>
      </c>
      <c r="E10047" t="inlineStr">
        <is>
          <t>HÄRNÖSAND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41532-2023</t>
        </is>
      </c>
      <c r="B10048" s="1" t="n">
        <v>45173</v>
      </c>
      <c r="C10048" s="1" t="n">
        <v>45657</v>
      </c>
      <c r="D10048" t="inlineStr">
        <is>
          <t>VÄSTERNORRLANDS LÄN</t>
        </is>
      </c>
      <c r="E10048" t="inlineStr">
        <is>
          <t>ÖRNSKÖLDSVIK</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41618-2023</t>
        </is>
      </c>
      <c r="B10049" s="1" t="n">
        <v>45173</v>
      </c>
      <c r="C10049" s="1" t="n">
        <v>45657</v>
      </c>
      <c r="D10049" t="inlineStr">
        <is>
          <t>VÄSTERNORRLANDS LÄN</t>
        </is>
      </c>
      <c r="E10049" t="inlineStr">
        <is>
          <t>ÖRNSKÖLDSVIK</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41174-2023</t>
        </is>
      </c>
      <c r="B10050" s="1" t="n">
        <v>45174</v>
      </c>
      <c r="C10050" s="1" t="n">
        <v>45657</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41159-2023</t>
        </is>
      </c>
      <c r="B10051" s="1" t="n">
        <v>45174</v>
      </c>
      <c r="C10051" s="1" t="n">
        <v>45657</v>
      </c>
      <c r="D10051" t="inlineStr">
        <is>
          <t>VÄSTERNORRLANDS LÄN</t>
        </is>
      </c>
      <c r="E10051" t="inlineStr">
        <is>
          <t>ÖRNSKÖLDSVIK</t>
        </is>
      </c>
      <c r="F10051" t="inlineStr">
        <is>
          <t>Holmen skog AB</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41201-2023</t>
        </is>
      </c>
      <c r="B10052" s="1" t="n">
        <v>45174</v>
      </c>
      <c r="C10052" s="1" t="n">
        <v>45657</v>
      </c>
      <c r="D10052" t="inlineStr">
        <is>
          <t>VÄSTERNORRLANDS LÄN</t>
        </is>
      </c>
      <c r="E10052" t="inlineStr">
        <is>
          <t>ÖRNSKÖLDSVIK</t>
        </is>
      </c>
      <c r="F10052" t="inlineStr">
        <is>
          <t>Holmen skog AB</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41213-2023</t>
        </is>
      </c>
      <c r="B10053" s="1" t="n">
        <v>45174</v>
      </c>
      <c r="C10053" s="1" t="n">
        <v>45657</v>
      </c>
      <c r="D10053" t="inlineStr">
        <is>
          <t>VÄSTERNORRLANDS LÄN</t>
        </is>
      </c>
      <c r="E10053" t="inlineStr">
        <is>
          <t>ÖRNSKÖLDSVIK</t>
        </is>
      </c>
      <c r="F10053" t="inlineStr">
        <is>
          <t>Holmen skog AB</t>
        </is>
      </c>
      <c r="G10053" t="n">
        <v>8.4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41232-2023</t>
        </is>
      </c>
      <c r="B10054" s="1" t="n">
        <v>45174</v>
      </c>
      <c r="C10054" s="1" t="n">
        <v>45657</v>
      </c>
      <c r="D10054" t="inlineStr">
        <is>
          <t>VÄSTERNORRLANDS LÄN</t>
        </is>
      </c>
      <c r="E10054" t="inlineStr">
        <is>
          <t>ÖRNSKÖLDSVIK</t>
        </is>
      </c>
      <c r="F10054" t="inlineStr">
        <is>
          <t>Holmen skog AB</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41257-2023</t>
        </is>
      </c>
      <c r="B10055" s="1" t="n">
        <v>45174</v>
      </c>
      <c r="C10055" s="1" t="n">
        <v>45657</v>
      </c>
      <c r="D10055" t="inlineStr">
        <is>
          <t>VÄSTERNORRLANDS LÄN</t>
        </is>
      </c>
      <c r="E10055" t="inlineStr">
        <is>
          <t>SOLLEFTEÅ</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41393-2023</t>
        </is>
      </c>
      <c r="B10056" s="1" t="n">
        <v>45174</v>
      </c>
      <c r="C10056" s="1" t="n">
        <v>45657</v>
      </c>
      <c r="D10056" t="inlineStr">
        <is>
          <t>VÄSTERNORRLANDS LÄN</t>
        </is>
      </c>
      <c r="E10056" t="inlineStr">
        <is>
          <t>ÖRNSKÖLDSVIK</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41999-2023</t>
        </is>
      </c>
      <c r="B10057" s="1" t="n">
        <v>45174</v>
      </c>
      <c r="C10057" s="1" t="n">
        <v>45657</v>
      </c>
      <c r="D10057" t="inlineStr">
        <is>
          <t>VÄSTERNORRLANDS LÄN</t>
        </is>
      </c>
      <c r="E10057" t="inlineStr">
        <is>
          <t>ÖRNSKÖLDSVIK</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42081-2023</t>
        </is>
      </c>
      <c r="B10058" s="1" t="n">
        <v>45174</v>
      </c>
      <c r="C10058" s="1" t="n">
        <v>45657</v>
      </c>
      <c r="D10058" t="inlineStr">
        <is>
          <t>VÄSTERNORRLANDS LÄN</t>
        </is>
      </c>
      <c r="E10058" t="inlineStr">
        <is>
          <t>ÅNGE</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41187-2023</t>
        </is>
      </c>
      <c r="B10059" s="1" t="n">
        <v>45174</v>
      </c>
      <c r="C10059" s="1" t="n">
        <v>45657</v>
      </c>
      <c r="D10059" t="inlineStr">
        <is>
          <t>VÄSTERNORRLANDS LÄN</t>
        </is>
      </c>
      <c r="E10059" t="inlineStr">
        <is>
          <t>ÖRNSKÖLDSVIK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41370-2023</t>
        </is>
      </c>
      <c r="B10060" s="1" t="n">
        <v>45174</v>
      </c>
      <c r="C10060" s="1" t="n">
        <v>45657</v>
      </c>
      <c r="D10060" t="inlineStr">
        <is>
          <t>VÄSTERNORRLANDS LÄN</t>
        </is>
      </c>
      <c r="E10060" t="inlineStr">
        <is>
          <t>ÅNGE</t>
        </is>
      </c>
      <c r="F10060" t="inlineStr">
        <is>
          <t>Sveaskog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41394-2023</t>
        </is>
      </c>
      <c r="B10061" s="1" t="n">
        <v>45174</v>
      </c>
      <c r="C10061" s="1" t="n">
        <v>45657</v>
      </c>
      <c r="D10061" t="inlineStr">
        <is>
          <t>VÄSTERNORRLANDS LÄN</t>
        </is>
      </c>
      <c r="E10061" t="inlineStr">
        <is>
          <t>ÖRNSKÖLDSVIK</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41414-2023</t>
        </is>
      </c>
      <c r="B10062" s="1" t="n">
        <v>45174</v>
      </c>
      <c r="C10062" s="1" t="n">
        <v>45657</v>
      </c>
      <c r="D10062" t="inlineStr">
        <is>
          <t>VÄSTERNORRLANDS LÄN</t>
        </is>
      </c>
      <c r="E10062" t="inlineStr">
        <is>
          <t>SUNDSVALL</t>
        </is>
      </c>
      <c r="F10062" t="inlineStr">
        <is>
          <t>Naturvårdsverket</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41392-2023</t>
        </is>
      </c>
      <c r="B10063" s="1" t="n">
        <v>45175</v>
      </c>
      <c r="C10063" s="1" t="n">
        <v>45657</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41984-2023</t>
        </is>
      </c>
      <c r="B10064" s="1" t="n">
        <v>45174</v>
      </c>
      <c r="C10064" s="1" t="n">
        <v>45657</v>
      </c>
      <c r="D10064" t="inlineStr">
        <is>
          <t>VÄSTERNORRLANDS LÄN</t>
        </is>
      </c>
      <c r="E10064" t="inlineStr">
        <is>
          <t>ÖRNSKÖLDSVIK</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41403-2023</t>
        </is>
      </c>
      <c r="B10065" s="1" t="n">
        <v>45175</v>
      </c>
      <c r="C10065" s="1" t="n">
        <v>45657</v>
      </c>
      <c r="D10065" t="inlineStr">
        <is>
          <t>VÄSTERNORRLANDS LÄN</t>
        </is>
      </c>
      <c r="E10065" t="inlineStr">
        <is>
          <t>SUNDSVALL</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41863-2023</t>
        </is>
      </c>
      <c r="B10066" s="1" t="n">
        <v>45174</v>
      </c>
      <c r="C10066" s="1" t="n">
        <v>45657</v>
      </c>
      <c r="D10066" t="inlineStr">
        <is>
          <t>VÄSTERNORRLANDS LÄN</t>
        </is>
      </c>
      <c r="E10066" t="inlineStr">
        <is>
          <t>ÖRNSKÖLDSVIK</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42073-2023</t>
        </is>
      </c>
      <c r="B10067" s="1" t="n">
        <v>45174</v>
      </c>
      <c r="C10067" s="1" t="n">
        <v>45657</v>
      </c>
      <c r="D10067" t="inlineStr">
        <is>
          <t>VÄSTERNORRLANDS LÄN</t>
        </is>
      </c>
      <c r="E10067" t="inlineStr">
        <is>
          <t>ÅNGE</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42100-2023</t>
        </is>
      </c>
      <c r="B10068" s="1" t="n">
        <v>45174</v>
      </c>
      <c r="C10068" s="1" t="n">
        <v>45657</v>
      </c>
      <c r="D10068" t="inlineStr">
        <is>
          <t>VÄSTERNORRLANDS LÄN</t>
        </is>
      </c>
      <c r="E10068" t="inlineStr">
        <is>
          <t>ÅNGE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41428-2023</t>
        </is>
      </c>
      <c r="B10069" s="1" t="n">
        <v>45175</v>
      </c>
      <c r="C10069" s="1" t="n">
        <v>45657</v>
      </c>
      <c r="D10069" t="inlineStr">
        <is>
          <t>VÄSTERNORRLANDS LÄN</t>
        </is>
      </c>
      <c r="E10069" t="inlineStr">
        <is>
          <t>ÖRNSKÖLDSVIK</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41415-2023</t>
        </is>
      </c>
      <c r="B10070" s="1" t="n">
        <v>45175</v>
      </c>
      <c r="C10070" s="1" t="n">
        <v>45657</v>
      </c>
      <c r="D10070" t="inlineStr">
        <is>
          <t>VÄSTERNORRLANDS LÄN</t>
        </is>
      </c>
      <c r="E10070" t="inlineStr">
        <is>
          <t>ÖRNSKÖLDSVIK</t>
        </is>
      </c>
      <c r="F10070" t="inlineStr">
        <is>
          <t>Holmen skog AB</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41586-2023</t>
        </is>
      </c>
      <c r="B10071" s="1" t="n">
        <v>45175</v>
      </c>
      <c r="C10071" s="1" t="n">
        <v>45657</v>
      </c>
      <c r="D10071" t="inlineStr">
        <is>
          <t>VÄSTERNORRLANDS LÄN</t>
        </is>
      </c>
      <c r="E10071" t="inlineStr">
        <is>
          <t>SUNDSVALL</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42396-2023</t>
        </is>
      </c>
      <c r="B10072" s="1" t="n">
        <v>45175</v>
      </c>
      <c r="C10072" s="1" t="n">
        <v>45657</v>
      </c>
      <c r="D10072" t="inlineStr">
        <is>
          <t>VÄSTERNORRLANDS LÄN</t>
        </is>
      </c>
      <c r="E10072" t="inlineStr">
        <is>
          <t>ÖRNSKÖLDSVIK</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41605-2023</t>
        </is>
      </c>
      <c r="B10073" s="1" t="n">
        <v>45175</v>
      </c>
      <c r="C10073" s="1" t="n">
        <v>45657</v>
      </c>
      <c r="D10073" t="inlineStr">
        <is>
          <t>VÄSTERNORRLANDS LÄN</t>
        </is>
      </c>
      <c r="E10073" t="inlineStr">
        <is>
          <t>TIMRÅ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41600-2023</t>
        </is>
      </c>
      <c r="B10074" s="1" t="n">
        <v>45175</v>
      </c>
      <c r="C10074" s="1" t="n">
        <v>45657</v>
      </c>
      <c r="D10074" t="inlineStr">
        <is>
          <t>VÄSTERNORRLANDS LÄN</t>
        </is>
      </c>
      <c r="E10074" t="inlineStr">
        <is>
          <t>SUNDSVALL</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41472-2023</t>
        </is>
      </c>
      <c r="B10075" s="1" t="n">
        <v>45175</v>
      </c>
      <c r="C10075" s="1" t="n">
        <v>45657</v>
      </c>
      <c r="D10075" t="inlineStr">
        <is>
          <t>VÄSTERNORRLANDS LÄN</t>
        </is>
      </c>
      <c r="E10075" t="inlineStr">
        <is>
          <t>ÖRNSKÖLDSVIK</t>
        </is>
      </c>
      <c r="F10075" t="inlineStr">
        <is>
          <t>Holmen skog AB</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41660-2023</t>
        </is>
      </c>
      <c r="B10076" s="1" t="n">
        <v>45176</v>
      </c>
      <c r="C10076" s="1" t="n">
        <v>45657</v>
      </c>
      <c r="D10076" t="inlineStr">
        <is>
          <t>VÄSTERNORRLANDS LÄN</t>
        </is>
      </c>
      <c r="E10076" t="inlineStr">
        <is>
          <t>HÄRNÖSAND</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41550-2023</t>
        </is>
      </c>
      <c r="B10077" s="1" t="n">
        <v>45175</v>
      </c>
      <c r="C10077" s="1" t="n">
        <v>45657</v>
      </c>
      <c r="D10077" t="inlineStr">
        <is>
          <t>VÄSTERNORRLANDS LÄN</t>
        </is>
      </c>
      <c r="E10077" t="inlineStr">
        <is>
          <t>ÖRNSKÖLDSVIK</t>
        </is>
      </c>
      <c r="F10077" t="inlineStr">
        <is>
          <t>Holmen skog AB</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41612-2023</t>
        </is>
      </c>
      <c r="B10078" s="1" t="n">
        <v>45175</v>
      </c>
      <c r="C10078" s="1" t="n">
        <v>45657</v>
      </c>
      <c r="D10078" t="inlineStr">
        <is>
          <t>VÄSTERNORRLANDS LÄN</t>
        </is>
      </c>
      <c r="E10078" t="inlineStr">
        <is>
          <t>ÖRNSKÖLDSVIK</t>
        </is>
      </c>
      <c r="F10078" t="inlineStr">
        <is>
          <t>Holmen skog AB</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41655-2023</t>
        </is>
      </c>
      <c r="B10079" s="1" t="n">
        <v>45176</v>
      </c>
      <c r="C10079" s="1" t="n">
        <v>45657</v>
      </c>
      <c r="D10079" t="inlineStr">
        <is>
          <t>VÄSTERNORRLANDS LÄN</t>
        </is>
      </c>
      <c r="E10079" t="inlineStr">
        <is>
          <t>SOLLEFTEÅ</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41659-2023</t>
        </is>
      </c>
      <c r="B10080" s="1" t="n">
        <v>45176</v>
      </c>
      <c r="C10080" s="1" t="n">
        <v>45657</v>
      </c>
      <c r="D10080" t="inlineStr">
        <is>
          <t>VÄSTERNORRLANDS LÄN</t>
        </is>
      </c>
      <c r="E10080" t="inlineStr">
        <is>
          <t>ÅNGE</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42405-2023</t>
        </is>
      </c>
      <c r="B10081" s="1" t="n">
        <v>45175</v>
      </c>
      <c r="C10081" s="1" t="n">
        <v>45657</v>
      </c>
      <c r="D10081" t="inlineStr">
        <is>
          <t>VÄSTERNORRLANDS LÄN</t>
        </is>
      </c>
      <c r="E10081" t="inlineStr">
        <is>
          <t>ÖRNSKÖLDSVIK</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42307-2023</t>
        </is>
      </c>
      <c r="B10082" s="1" t="n">
        <v>45175</v>
      </c>
      <c r="C10082" s="1" t="n">
        <v>45657</v>
      </c>
      <c r="D10082" t="inlineStr">
        <is>
          <t>VÄSTERNORRLANDS LÄN</t>
        </is>
      </c>
      <c r="E10082" t="inlineStr">
        <is>
          <t>ÖRNSKÖLDSVIK</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42393-2023</t>
        </is>
      </c>
      <c r="B10083" s="1" t="n">
        <v>45175</v>
      </c>
      <c r="C10083" s="1" t="n">
        <v>45657</v>
      </c>
      <c r="D10083" t="inlineStr">
        <is>
          <t>VÄSTERNORRLANDS LÄN</t>
        </is>
      </c>
      <c r="E10083" t="inlineStr">
        <is>
          <t>ÖRNSKÖLDSVIK</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41817-2023</t>
        </is>
      </c>
      <c r="B10084" s="1" t="n">
        <v>45176</v>
      </c>
      <c r="C10084" s="1" t="n">
        <v>45657</v>
      </c>
      <c r="D10084" t="inlineStr">
        <is>
          <t>VÄSTERNORRLANDS LÄN</t>
        </is>
      </c>
      <c r="E10084" t="inlineStr">
        <is>
          <t>KRAMFORS</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41686-2023</t>
        </is>
      </c>
      <c r="B10085" s="1" t="n">
        <v>45176</v>
      </c>
      <c r="C10085" s="1" t="n">
        <v>45657</v>
      </c>
      <c r="D10085" t="inlineStr">
        <is>
          <t>VÄSTERNORRLANDS LÄN</t>
        </is>
      </c>
      <c r="E10085" t="inlineStr">
        <is>
          <t>ÖRNSKÖLDSVIK</t>
        </is>
      </c>
      <c r="F10085" t="inlineStr">
        <is>
          <t>Holmen skog AB</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41741-2023</t>
        </is>
      </c>
      <c r="B10086" s="1" t="n">
        <v>45176</v>
      </c>
      <c r="C10086" s="1" t="n">
        <v>45657</v>
      </c>
      <c r="D10086" t="inlineStr">
        <is>
          <t>VÄSTERNORRLANDS LÄN</t>
        </is>
      </c>
      <c r="E10086" t="inlineStr">
        <is>
          <t>ÅNGE</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41933-2023</t>
        </is>
      </c>
      <c r="B10087" s="1" t="n">
        <v>45177</v>
      </c>
      <c r="C10087" s="1" t="n">
        <v>45657</v>
      </c>
      <c r="D10087" t="inlineStr">
        <is>
          <t>VÄSTERNORRLANDS LÄN</t>
        </is>
      </c>
      <c r="E10087" t="inlineStr">
        <is>
          <t>SOLLEFTEÅ</t>
        </is>
      </c>
      <c r="F10087" t="inlineStr">
        <is>
          <t>SCA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41848-2023</t>
        </is>
      </c>
      <c r="B10088" s="1" t="n">
        <v>45176</v>
      </c>
      <c r="C10088" s="1" t="n">
        <v>45657</v>
      </c>
      <c r="D10088" t="inlineStr">
        <is>
          <t>VÄSTERNORRLANDS LÄN</t>
        </is>
      </c>
      <c r="E10088" t="inlineStr">
        <is>
          <t>ÖRNSKÖLDSVIK</t>
        </is>
      </c>
      <c r="F10088" t="inlineStr">
        <is>
          <t>Holmen skog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41859-2023</t>
        </is>
      </c>
      <c r="B10089" s="1" t="n">
        <v>45176</v>
      </c>
      <c r="C10089" s="1" t="n">
        <v>45657</v>
      </c>
      <c r="D10089" t="inlineStr">
        <is>
          <t>VÄSTERNORRLANDS LÄN</t>
        </is>
      </c>
      <c r="E10089" t="inlineStr">
        <is>
          <t>ÖRNSKÖLDSVIK</t>
        </is>
      </c>
      <c r="F10089" t="inlineStr">
        <is>
          <t>Holmen skog AB</t>
        </is>
      </c>
      <c r="G10089" t="n">
        <v>15.2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41924-2023</t>
        </is>
      </c>
      <c r="B10090" s="1" t="n">
        <v>45176</v>
      </c>
      <c r="C10090" s="1" t="n">
        <v>45657</v>
      </c>
      <c r="D10090" t="inlineStr">
        <is>
          <t>VÄSTERNORRLANDS LÄN</t>
        </is>
      </c>
      <c r="E10090" t="inlineStr">
        <is>
          <t>SOLLEFTEÅ</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41935-2023</t>
        </is>
      </c>
      <c r="B10091" s="1" t="n">
        <v>45176</v>
      </c>
      <c r="C10091" s="1" t="n">
        <v>45657</v>
      </c>
      <c r="D10091" t="inlineStr">
        <is>
          <t>VÄSTERNORRLANDS LÄN</t>
        </is>
      </c>
      <c r="E10091" t="inlineStr">
        <is>
          <t>SUNDSVALL</t>
        </is>
      </c>
      <c r="F10091" t="inlineStr">
        <is>
          <t>SCA</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42559-2023</t>
        </is>
      </c>
      <c r="B10092" s="1" t="n">
        <v>45176</v>
      </c>
      <c r="C10092" s="1" t="n">
        <v>45657</v>
      </c>
      <c r="D10092" t="inlineStr">
        <is>
          <t>VÄSTERNORRLANDS LÄN</t>
        </is>
      </c>
      <c r="E10092" t="inlineStr">
        <is>
          <t>ÅNGE</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41934-2023</t>
        </is>
      </c>
      <c r="B10093" s="1" t="n">
        <v>45176</v>
      </c>
      <c r="C10093" s="1" t="n">
        <v>45657</v>
      </c>
      <c r="D10093" t="inlineStr">
        <is>
          <t>VÄSTERNORRLANDS LÄN</t>
        </is>
      </c>
      <c r="E10093" t="inlineStr">
        <is>
          <t>SUNDSVALL</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42544-2023</t>
        </is>
      </c>
      <c r="B10094" s="1" t="n">
        <v>45176</v>
      </c>
      <c r="C10094" s="1" t="n">
        <v>45657</v>
      </c>
      <c r="D10094" t="inlineStr">
        <is>
          <t>VÄSTERNORRLANDS LÄN</t>
        </is>
      </c>
      <c r="E10094" t="inlineStr">
        <is>
          <t>ÖRNSKÖLDSVIK</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42698-2023</t>
        </is>
      </c>
      <c r="B10095" s="1" t="n">
        <v>45176</v>
      </c>
      <c r="C10095" s="1" t="n">
        <v>45657</v>
      </c>
      <c r="D10095" t="inlineStr">
        <is>
          <t>VÄSTERNORRLANDS LÄN</t>
        </is>
      </c>
      <c r="E10095" t="inlineStr">
        <is>
          <t>ÖRNSKÖLDSVIK</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42614-2023</t>
        </is>
      </c>
      <c r="B10096" s="1" t="n">
        <v>45176</v>
      </c>
      <c r="C10096" s="1" t="n">
        <v>45657</v>
      </c>
      <c r="D10096" t="inlineStr">
        <is>
          <t>VÄSTERNORRLANDS LÄN</t>
        </is>
      </c>
      <c r="E10096" t="inlineStr">
        <is>
          <t>ÖRNSKÖLDSVIK</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42699-2023</t>
        </is>
      </c>
      <c r="B10097" s="1" t="n">
        <v>45176</v>
      </c>
      <c r="C10097" s="1" t="n">
        <v>45657</v>
      </c>
      <c r="D10097" t="inlineStr">
        <is>
          <t>VÄSTERNORRLANDS LÄN</t>
        </is>
      </c>
      <c r="E10097" t="inlineStr">
        <is>
          <t>ÅNGE</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42535-2023</t>
        </is>
      </c>
      <c r="B10098" s="1" t="n">
        <v>45176</v>
      </c>
      <c r="C10098" s="1" t="n">
        <v>45657</v>
      </c>
      <c r="D10098" t="inlineStr">
        <is>
          <t>VÄSTERNORRLANDS LÄN</t>
        </is>
      </c>
      <c r="E10098" t="inlineStr">
        <is>
          <t>ÖRNSKÖLDSVIK</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42670-2023</t>
        </is>
      </c>
      <c r="B10099" s="1" t="n">
        <v>45176</v>
      </c>
      <c r="C10099" s="1" t="n">
        <v>45657</v>
      </c>
      <c r="D10099" t="inlineStr">
        <is>
          <t>VÄSTERNORRLANDS LÄN</t>
        </is>
      </c>
      <c r="E10099" t="inlineStr">
        <is>
          <t>ÖRNSKÖLDSVIK</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41942-2023</t>
        </is>
      </c>
      <c r="B10100" s="1" t="n">
        <v>45177</v>
      </c>
      <c r="C10100" s="1" t="n">
        <v>45657</v>
      </c>
      <c r="D10100" t="inlineStr">
        <is>
          <t>VÄSTERNORRLANDS LÄN</t>
        </is>
      </c>
      <c r="E10100" t="inlineStr">
        <is>
          <t>ÖRNSKÖLDSVIK</t>
        </is>
      </c>
      <c r="F10100" t="inlineStr">
        <is>
          <t>Holmen skog AB</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41956-2023</t>
        </is>
      </c>
      <c r="B10101" s="1" t="n">
        <v>45177</v>
      </c>
      <c r="C10101" s="1" t="n">
        <v>45657</v>
      </c>
      <c r="D10101" t="inlineStr">
        <is>
          <t>VÄSTERNORRLANDS LÄN</t>
        </is>
      </c>
      <c r="E10101" t="inlineStr">
        <is>
          <t>ÖRNSKÖLDSVIK</t>
        </is>
      </c>
      <c r="F10101" t="inlineStr">
        <is>
          <t>Holmen skog AB</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41979-2023</t>
        </is>
      </c>
      <c r="B10102" s="1" t="n">
        <v>45177</v>
      </c>
      <c r="C10102" s="1" t="n">
        <v>45657</v>
      </c>
      <c r="D10102" t="inlineStr">
        <is>
          <t>VÄSTERNORRLANDS LÄN</t>
        </is>
      </c>
      <c r="E10102" t="inlineStr">
        <is>
          <t>ÖRNSKÖLDSVIK</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42002-2023</t>
        </is>
      </c>
      <c r="B10103" s="1" t="n">
        <v>45177</v>
      </c>
      <c r="C10103" s="1" t="n">
        <v>45657</v>
      </c>
      <c r="D10103" t="inlineStr">
        <is>
          <t>VÄSTERNORRLANDS LÄN</t>
        </is>
      </c>
      <c r="E10103" t="inlineStr">
        <is>
          <t>ÖRNSKÖLDSVIK</t>
        </is>
      </c>
      <c r="F10103" t="inlineStr">
        <is>
          <t>Holmen skog AB</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42130-2023</t>
        </is>
      </c>
      <c r="B10104" s="1" t="n">
        <v>45177</v>
      </c>
      <c r="C10104" s="1" t="n">
        <v>45657</v>
      </c>
      <c r="D10104" t="inlineStr">
        <is>
          <t>VÄSTERNORRLANDS LÄN</t>
        </is>
      </c>
      <c r="E10104" t="inlineStr">
        <is>
          <t>ÅNGE</t>
        </is>
      </c>
      <c r="F10104" t="inlineStr">
        <is>
          <t>Holmen skog AB</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42150-2023</t>
        </is>
      </c>
      <c r="B10105" s="1" t="n">
        <v>45178</v>
      </c>
      <c r="C10105" s="1" t="n">
        <v>45657</v>
      </c>
      <c r="D10105" t="inlineStr">
        <is>
          <t>VÄSTERNORRLANDS LÄN</t>
        </is>
      </c>
      <c r="E10105" t="inlineStr">
        <is>
          <t>SOLLEFTEÅ</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42162-2023</t>
        </is>
      </c>
      <c r="B10106" s="1" t="n">
        <v>45178</v>
      </c>
      <c r="C10106" s="1" t="n">
        <v>45657</v>
      </c>
      <c r="D10106" t="inlineStr">
        <is>
          <t>VÄSTERNORRLANDS LÄN</t>
        </is>
      </c>
      <c r="E10106" t="inlineStr">
        <is>
          <t>SOLLEFTEÅ</t>
        </is>
      </c>
      <c r="F10106" t="inlineStr">
        <is>
          <t>SCA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41953-2023</t>
        </is>
      </c>
      <c r="B10107" s="1" t="n">
        <v>45177</v>
      </c>
      <c r="C10107" s="1" t="n">
        <v>45657</v>
      </c>
      <c r="D10107" t="inlineStr">
        <is>
          <t>VÄSTERNORRLANDS LÄN</t>
        </is>
      </c>
      <c r="E10107" t="inlineStr">
        <is>
          <t>ÖRNSKÖLDSVIK</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41976-2023</t>
        </is>
      </c>
      <c r="B10108" s="1" t="n">
        <v>45177</v>
      </c>
      <c r="C10108" s="1" t="n">
        <v>45657</v>
      </c>
      <c r="D10108" t="inlineStr">
        <is>
          <t>VÄSTERNORRLANDS LÄN</t>
        </is>
      </c>
      <c r="E10108" t="inlineStr">
        <is>
          <t>ÖRNSKÖLDSVIK</t>
        </is>
      </c>
      <c r="F10108" t="inlineStr">
        <is>
          <t>Holmen skog AB</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41995-2023</t>
        </is>
      </c>
      <c r="B10109" s="1" t="n">
        <v>45177</v>
      </c>
      <c r="C10109" s="1" t="n">
        <v>45657</v>
      </c>
      <c r="D10109" t="inlineStr">
        <is>
          <t>VÄSTERNORRLANDS LÄN</t>
        </is>
      </c>
      <c r="E10109" t="inlineStr">
        <is>
          <t>ÖRNSKÖLDSVIK</t>
        </is>
      </c>
      <c r="F10109" t="inlineStr">
        <is>
          <t>Holmen skog AB</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42140-2023</t>
        </is>
      </c>
      <c r="B10110" s="1" t="n">
        <v>45178</v>
      </c>
      <c r="C10110" s="1" t="n">
        <v>45657</v>
      </c>
      <c r="D10110" t="inlineStr">
        <is>
          <t>VÄSTERNORRLANDS LÄN</t>
        </is>
      </c>
      <c r="E10110" t="inlineStr">
        <is>
          <t>SOLLEFTEÅ</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42148-2023</t>
        </is>
      </c>
      <c r="B10111" s="1" t="n">
        <v>45178</v>
      </c>
      <c r="C10111" s="1" t="n">
        <v>45657</v>
      </c>
      <c r="D10111" t="inlineStr">
        <is>
          <t>VÄSTERNORRLANDS LÄN</t>
        </is>
      </c>
      <c r="E10111" t="inlineStr">
        <is>
          <t>SUNDSVALL</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42160-2023</t>
        </is>
      </c>
      <c r="B10112" s="1" t="n">
        <v>45177</v>
      </c>
      <c r="C10112" s="1" t="n">
        <v>45657</v>
      </c>
      <c r="D10112" t="inlineStr">
        <is>
          <t>VÄSTERNORRLANDS LÄN</t>
        </is>
      </c>
      <c r="E10112" t="inlineStr">
        <is>
          <t>SOLLEFTEÅ</t>
        </is>
      </c>
      <c r="F10112" t="inlineStr">
        <is>
          <t>SCA</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42164-2023</t>
        </is>
      </c>
      <c r="B10113" s="1" t="n">
        <v>45178</v>
      </c>
      <c r="C10113" s="1" t="n">
        <v>45657</v>
      </c>
      <c r="D10113" t="inlineStr">
        <is>
          <t>VÄSTERNORRLANDS LÄN</t>
        </is>
      </c>
      <c r="E10113" t="inlineStr">
        <is>
          <t>SOLLEFTEÅ</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42770-2023</t>
        </is>
      </c>
      <c r="B10114" s="1" t="n">
        <v>45177</v>
      </c>
      <c r="C10114" s="1" t="n">
        <v>45657</v>
      </c>
      <c r="D10114" t="inlineStr">
        <is>
          <t>VÄSTERNORRLANDS LÄN</t>
        </is>
      </c>
      <c r="E10114" t="inlineStr">
        <is>
          <t>HÄRNÖSAND</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42139-2023</t>
        </is>
      </c>
      <c r="B10115" s="1" t="n">
        <v>45177</v>
      </c>
      <c r="C10115" s="1" t="n">
        <v>45657</v>
      </c>
      <c r="D10115" t="inlineStr">
        <is>
          <t>VÄSTERNORRLANDS LÄN</t>
        </is>
      </c>
      <c r="E10115" t="inlineStr">
        <is>
          <t>ÅNGE</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42147-2023</t>
        </is>
      </c>
      <c r="B10116" s="1" t="n">
        <v>45177</v>
      </c>
      <c r="C10116" s="1" t="n">
        <v>45657</v>
      </c>
      <c r="D10116" t="inlineStr">
        <is>
          <t>VÄSTERNORRLANDS LÄN</t>
        </is>
      </c>
      <c r="E10116" t="inlineStr">
        <is>
          <t>SOLLEFTEÅ</t>
        </is>
      </c>
      <c r="G10116" t="n">
        <v>24.4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42163-2023</t>
        </is>
      </c>
      <c r="B10117" s="1" t="n">
        <v>45178</v>
      </c>
      <c r="C10117" s="1" t="n">
        <v>45657</v>
      </c>
      <c r="D10117" t="inlineStr">
        <is>
          <t>VÄSTERNORRLANDS LÄN</t>
        </is>
      </c>
      <c r="E10117" t="inlineStr">
        <is>
          <t>ÖRNSKÖLDSVIK</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42766-2023</t>
        </is>
      </c>
      <c r="B10118" s="1" t="n">
        <v>45177</v>
      </c>
      <c r="C10118" s="1" t="n">
        <v>45657</v>
      </c>
      <c r="D10118" t="inlineStr">
        <is>
          <t>VÄSTERNORRLANDS LÄN</t>
        </is>
      </c>
      <c r="E10118" t="inlineStr">
        <is>
          <t>HÄRNÖSAND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42847-2023</t>
        </is>
      </c>
      <c r="B10119" s="1" t="n">
        <v>45177</v>
      </c>
      <c r="C10119" s="1" t="n">
        <v>45657</v>
      </c>
      <c r="D10119" t="inlineStr">
        <is>
          <t>VÄSTERNORRLANDS LÄN</t>
        </is>
      </c>
      <c r="E10119" t="inlineStr">
        <is>
          <t>ÖRNSKÖLDSVIK</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42059-2023</t>
        </is>
      </c>
      <c r="B10120" s="1" t="n">
        <v>45177</v>
      </c>
      <c r="C10120" s="1" t="n">
        <v>45657</v>
      </c>
      <c r="D10120" t="inlineStr">
        <is>
          <t>VÄSTERNORRLANDS LÄN</t>
        </is>
      </c>
      <c r="E10120" t="inlineStr">
        <is>
          <t>ÖRNSKÖLDSVIK</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42153-2023</t>
        </is>
      </c>
      <c r="B10121" s="1" t="n">
        <v>45178</v>
      </c>
      <c r="C10121" s="1" t="n">
        <v>45657</v>
      </c>
      <c r="D10121" t="inlineStr">
        <is>
          <t>VÄSTERNORRLANDS LÄN</t>
        </is>
      </c>
      <c r="E10121" t="inlineStr">
        <is>
          <t>SUNDSVALL</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42161-2023</t>
        </is>
      </c>
      <c r="B10122" s="1" t="n">
        <v>45178</v>
      </c>
      <c r="C10122" s="1" t="n">
        <v>45657</v>
      </c>
      <c r="D10122" t="inlineStr">
        <is>
          <t>VÄSTERNORRLANDS LÄN</t>
        </is>
      </c>
      <c r="E10122" t="inlineStr">
        <is>
          <t>TIMRÅ</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42923-2023</t>
        </is>
      </c>
      <c r="B10123" s="1" t="n">
        <v>45177</v>
      </c>
      <c r="C10123" s="1" t="n">
        <v>45657</v>
      </c>
      <c r="D10123" t="inlineStr">
        <is>
          <t>VÄSTERNORRLANDS LÄN</t>
        </is>
      </c>
      <c r="E10123" t="inlineStr">
        <is>
          <t>SUNDSVALL</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42237-2023</t>
        </is>
      </c>
      <c r="B10124" s="1" t="n">
        <v>45180</v>
      </c>
      <c r="C10124" s="1" t="n">
        <v>45657</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42264-2023</t>
        </is>
      </c>
      <c r="B10125" s="1" t="n">
        <v>45180</v>
      </c>
      <c r="C10125" s="1" t="n">
        <v>45657</v>
      </c>
      <c r="D10125" t="inlineStr">
        <is>
          <t>VÄSTERNORRLANDS LÄN</t>
        </is>
      </c>
      <c r="E10125" t="inlineStr">
        <is>
          <t>ÖRNSKÖLDSVIK</t>
        </is>
      </c>
      <c r="F10125" t="inlineStr">
        <is>
          <t>Holmen skog AB</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42346-2023</t>
        </is>
      </c>
      <c r="B10126" s="1" t="n">
        <v>45180</v>
      </c>
      <c r="C10126" s="1" t="n">
        <v>45657</v>
      </c>
      <c r="D10126" t="inlineStr">
        <is>
          <t>VÄSTERNORRLANDS LÄN</t>
        </is>
      </c>
      <c r="E10126" t="inlineStr">
        <is>
          <t>ÅNGE</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42242-2023</t>
        </is>
      </c>
      <c r="B10127" s="1" t="n">
        <v>45180</v>
      </c>
      <c r="C10127" s="1" t="n">
        <v>45657</v>
      </c>
      <c r="D10127" t="inlineStr">
        <is>
          <t>VÄSTERNORRLANDS LÄN</t>
        </is>
      </c>
      <c r="E10127" t="inlineStr">
        <is>
          <t>ÅNGE</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42235-2023</t>
        </is>
      </c>
      <c r="B10128" s="1" t="n">
        <v>45180</v>
      </c>
      <c r="C10128" s="1" t="n">
        <v>45657</v>
      </c>
      <c r="D10128" t="inlineStr">
        <is>
          <t>VÄSTERNORRLANDS LÄN</t>
        </is>
      </c>
      <c r="E10128" t="inlineStr">
        <is>
          <t>ÖRNSKÖLDSVIK</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42440-2023</t>
        </is>
      </c>
      <c r="B10129" s="1" t="n">
        <v>45180</v>
      </c>
      <c r="C10129" s="1" t="n">
        <v>45657</v>
      </c>
      <c r="D10129" t="inlineStr">
        <is>
          <t>VÄSTERNORRLANDS LÄN</t>
        </is>
      </c>
      <c r="E10129" t="inlineStr">
        <is>
          <t>SOLLEFTEÅ</t>
        </is>
      </c>
      <c r="F10129" t="inlineStr">
        <is>
          <t>Holmen skog AB</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42506-2023</t>
        </is>
      </c>
      <c r="B10130" s="1" t="n">
        <v>45180</v>
      </c>
      <c r="C10130" s="1" t="n">
        <v>45657</v>
      </c>
      <c r="D10130" t="inlineStr">
        <is>
          <t>VÄSTERNORRLANDS LÄN</t>
        </is>
      </c>
      <c r="E10130" t="inlineStr">
        <is>
          <t>ÅNGE</t>
        </is>
      </c>
      <c r="F10130" t="inlineStr">
        <is>
          <t>SCA</t>
        </is>
      </c>
      <c r="G10130" t="n">
        <v>20.9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42271-2023</t>
        </is>
      </c>
      <c r="B10131" s="1" t="n">
        <v>45180</v>
      </c>
      <c r="C10131" s="1" t="n">
        <v>45657</v>
      </c>
      <c r="D10131" t="inlineStr">
        <is>
          <t>VÄSTERNORRLANDS LÄN</t>
        </is>
      </c>
      <c r="E10131" t="inlineStr">
        <is>
          <t>ÖRNSKÖLDSVIK</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42265-2023</t>
        </is>
      </c>
      <c r="B10132" s="1" t="n">
        <v>45180</v>
      </c>
      <c r="C10132" s="1" t="n">
        <v>45657</v>
      </c>
      <c r="D10132" t="inlineStr">
        <is>
          <t>VÄSTERNORRLANDS LÄN</t>
        </is>
      </c>
      <c r="E10132" t="inlineStr">
        <is>
          <t>ÖRNSKÖLDSVIK</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42347-2023</t>
        </is>
      </c>
      <c r="B10133" s="1" t="n">
        <v>45180</v>
      </c>
      <c r="C10133" s="1" t="n">
        <v>45657</v>
      </c>
      <c r="D10133" t="inlineStr">
        <is>
          <t>VÄSTERNORRLANDS LÄN</t>
        </is>
      </c>
      <c r="E10133" t="inlineStr">
        <is>
          <t>ÖRNSKÖLDSVIK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42356-2023</t>
        </is>
      </c>
      <c r="B10134" s="1" t="n">
        <v>45180</v>
      </c>
      <c r="C10134" s="1" t="n">
        <v>45657</v>
      </c>
      <c r="D10134" t="inlineStr">
        <is>
          <t>VÄSTERNORRLANDS LÄN</t>
        </is>
      </c>
      <c r="E10134" t="inlineStr">
        <is>
          <t>ÖRNSKÖLDSVIK</t>
        </is>
      </c>
      <c r="F10134" t="inlineStr">
        <is>
          <t>Holmen skog AB</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42458-2023</t>
        </is>
      </c>
      <c r="B10135" s="1" t="n">
        <v>45180</v>
      </c>
      <c r="C10135" s="1" t="n">
        <v>45657</v>
      </c>
      <c r="D10135" t="inlineStr">
        <is>
          <t>VÄSTERNORRLANDS LÄN</t>
        </is>
      </c>
      <c r="E10135" t="inlineStr">
        <is>
          <t>ÖRNSKÖLDSVIK</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42461-2023</t>
        </is>
      </c>
      <c r="B10136" s="1" t="n">
        <v>45180</v>
      </c>
      <c r="C10136" s="1" t="n">
        <v>45657</v>
      </c>
      <c r="D10136" t="inlineStr">
        <is>
          <t>VÄSTERNORRLANDS LÄN</t>
        </is>
      </c>
      <c r="E10136" t="inlineStr">
        <is>
          <t>ÖRNSKÖLDSVIK</t>
        </is>
      </c>
      <c r="F10136" t="inlineStr">
        <is>
          <t>Holmen skog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42507-2023</t>
        </is>
      </c>
      <c r="B10137" s="1" t="n">
        <v>45181</v>
      </c>
      <c r="C10137" s="1" t="n">
        <v>45657</v>
      </c>
      <c r="D10137" t="inlineStr">
        <is>
          <t>VÄSTERNORRLANDS LÄN</t>
        </is>
      </c>
      <c r="E10137" t="inlineStr">
        <is>
          <t>SUNDSVALL</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42511-2023</t>
        </is>
      </c>
      <c r="B10138" s="1" t="n">
        <v>45181</v>
      </c>
      <c r="C10138" s="1" t="n">
        <v>45657</v>
      </c>
      <c r="D10138" t="inlineStr">
        <is>
          <t>VÄSTERNORRLANDS LÄN</t>
        </is>
      </c>
      <c r="E10138" t="inlineStr">
        <is>
          <t>HÄRNÖSAND</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43013-2023</t>
        </is>
      </c>
      <c r="B10139" s="1" t="n">
        <v>45180</v>
      </c>
      <c r="C10139" s="1" t="n">
        <v>45657</v>
      </c>
      <c r="D10139" t="inlineStr">
        <is>
          <t>VÄSTERNORRLANDS LÄN</t>
        </is>
      </c>
      <c r="E10139" t="inlineStr">
        <is>
          <t>ÖRNSKÖLDSVIK</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42514-2023</t>
        </is>
      </c>
      <c r="B10140" s="1" t="n">
        <v>45181</v>
      </c>
      <c r="C10140" s="1" t="n">
        <v>45657</v>
      </c>
      <c r="D10140" t="inlineStr">
        <is>
          <t>VÄSTERNORRLANDS LÄN</t>
        </is>
      </c>
      <c r="E10140" t="inlineStr">
        <is>
          <t>SOLLEFTEÅ</t>
        </is>
      </c>
      <c r="F10140" t="inlineStr">
        <is>
          <t>SCA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42518-2023</t>
        </is>
      </c>
      <c r="B10141" s="1" t="n">
        <v>45180</v>
      </c>
      <c r="C10141" s="1" t="n">
        <v>45657</v>
      </c>
      <c r="D10141" t="inlineStr">
        <is>
          <t>VÄSTERNORRLANDS LÄN</t>
        </is>
      </c>
      <c r="E10141" t="inlineStr">
        <is>
          <t>SUNDSVALL</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43053-2023</t>
        </is>
      </c>
      <c r="B10142" s="1" t="n">
        <v>45180</v>
      </c>
      <c r="C10142" s="1" t="n">
        <v>45657</v>
      </c>
      <c r="D10142" t="inlineStr">
        <is>
          <t>VÄSTERNORRLANDS LÄN</t>
        </is>
      </c>
      <c r="E10142" t="inlineStr">
        <is>
          <t>ÅNGE</t>
        </is>
      </c>
      <c r="F10142" t="inlineStr">
        <is>
          <t>SCA</t>
        </is>
      </c>
      <c r="G10142" t="n">
        <v>9.300000000000001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42513-2023</t>
        </is>
      </c>
      <c r="B10143" s="1" t="n">
        <v>45180</v>
      </c>
      <c r="C10143" s="1" t="n">
        <v>45657</v>
      </c>
      <c r="D10143" t="inlineStr">
        <is>
          <t>VÄSTERNORRLANDS LÄN</t>
        </is>
      </c>
      <c r="E10143" t="inlineStr">
        <is>
          <t>TIMRÅ</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42517-2023</t>
        </is>
      </c>
      <c r="B10144" s="1" t="n">
        <v>45180</v>
      </c>
      <c r="C10144" s="1" t="n">
        <v>45657</v>
      </c>
      <c r="D10144" t="inlineStr">
        <is>
          <t>VÄSTERNORRLANDS LÄN</t>
        </is>
      </c>
      <c r="E10144" t="inlineStr">
        <is>
          <t>SUNDSVALL</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43024-2023</t>
        </is>
      </c>
      <c r="B10145" s="1" t="n">
        <v>45180</v>
      </c>
      <c r="C10145" s="1" t="n">
        <v>45657</v>
      </c>
      <c r="D10145" t="inlineStr">
        <is>
          <t>VÄSTERNORRLANDS LÄN</t>
        </is>
      </c>
      <c r="E10145" t="inlineStr">
        <is>
          <t>ÖRNSKÖLDSVIK</t>
        </is>
      </c>
      <c r="G10145" t="n">
        <v>19.3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43218-2023</t>
        </is>
      </c>
      <c r="B10146" s="1" t="n">
        <v>45180</v>
      </c>
      <c r="C10146" s="1" t="n">
        <v>45657</v>
      </c>
      <c r="D10146" t="inlineStr">
        <is>
          <t>VÄSTERNORRLANDS LÄN</t>
        </is>
      </c>
      <c r="E10146" t="inlineStr">
        <is>
          <t>ÅNGE</t>
        </is>
      </c>
      <c r="F10146" t="inlineStr">
        <is>
          <t>SCA</t>
        </is>
      </c>
      <c r="G10146" t="n">
        <v>37.3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43138-2023</t>
        </is>
      </c>
      <c r="B10147" s="1" t="n">
        <v>45180</v>
      </c>
      <c r="C10147" s="1" t="n">
        <v>45657</v>
      </c>
      <c r="D10147" t="inlineStr">
        <is>
          <t>VÄSTERNORRLANDS LÄN</t>
        </is>
      </c>
      <c r="E10147" t="inlineStr">
        <is>
          <t>SUNDSVALL</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43190-2023</t>
        </is>
      </c>
      <c r="B10148" s="1" t="n">
        <v>45180</v>
      </c>
      <c r="C10148" s="1" t="n">
        <v>45657</v>
      </c>
      <c r="D10148" t="inlineStr">
        <is>
          <t>VÄSTERNORRLANDS LÄN</t>
        </is>
      </c>
      <c r="E10148" t="inlineStr">
        <is>
          <t>SUNDSVALL</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43136-2023</t>
        </is>
      </c>
      <c r="B10149" s="1" t="n">
        <v>45180</v>
      </c>
      <c r="C10149" s="1" t="n">
        <v>45657</v>
      </c>
      <c r="D10149" t="inlineStr">
        <is>
          <t>VÄSTERNORRLANDS LÄN</t>
        </is>
      </c>
      <c r="E10149" t="inlineStr">
        <is>
          <t>KRAMFORS</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43186-2023</t>
        </is>
      </c>
      <c r="B10150" s="1" t="n">
        <v>45180</v>
      </c>
      <c r="C10150" s="1" t="n">
        <v>45657</v>
      </c>
      <c r="D10150" t="inlineStr">
        <is>
          <t>VÄSTERNORRLANDS LÄN</t>
        </is>
      </c>
      <c r="E10150" t="inlineStr">
        <is>
          <t>ÅNGE</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43248-2023</t>
        </is>
      </c>
      <c r="B10151" s="1" t="n">
        <v>45180</v>
      </c>
      <c r="C10151" s="1" t="n">
        <v>45657</v>
      </c>
      <c r="D10151" t="inlineStr">
        <is>
          <t>VÄSTERNORRLANDS LÄN</t>
        </is>
      </c>
      <c r="E10151" t="inlineStr">
        <is>
          <t>HÄRNÖSAND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42512-2023</t>
        </is>
      </c>
      <c r="B10152" s="1" t="n">
        <v>45181</v>
      </c>
      <c r="C10152" s="1" t="n">
        <v>45657</v>
      </c>
      <c r="D10152" t="inlineStr">
        <is>
          <t>VÄSTERNORRLANDS LÄN</t>
        </is>
      </c>
      <c r="E10152" t="inlineStr">
        <is>
          <t>SOLLEFTEÅ</t>
        </is>
      </c>
      <c r="F10152" t="inlineStr">
        <is>
          <t>SCA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42516-2023</t>
        </is>
      </c>
      <c r="B10153" s="1" t="n">
        <v>45180</v>
      </c>
      <c r="C10153" s="1" t="n">
        <v>45657</v>
      </c>
      <c r="D10153" t="inlineStr">
        <is>
          <t>VÄSTERNORRLANDS LÄN</t>
        </is>
      </c>
      <c r="E10153" t="inlineStr">
        <is>
          <t>TIMRÅ</t>
        </is>
      </c>
      <c r="F10153" t="inlineStr">
        <is>
          <t>SCA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43487-2023</t>
        </is>
      </c>
      <c r="B10154" s="1" t="n">
        <v>45181</v>
      </c>
      <c r="C10154" s="1" t="n">
        <v>45657</v>
      </c>
      <c r="D10154" t="inlineStr">
        <is>
          <t>VÄSTERNORRLANDS LÄN</t>
        </is>
      </c>
      <c r="E10154" t="inlineStr">
        <is>
          <t>SOLLEFTEÅ</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43177-2023</t>
        </is>
      </c>
      <c r="B10155" s="1" t="n">
        <v>45181</v>
      </c>
      <c r="C10155" s="1" t="n">
        <v>45657</v>
      </c>
      <c r="D10155" t="inlineStr">
        <is>
          <t>VÄSTERNORRLANDS LÄN</t>
        </is>
      </c>
      <c r="E10155" t="inlineStr">
        <is>
          <t>SOLLEFTEÅ</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43512-2023</t>
        </is>
      </c>
      <c r="B10156" s="1" t="n">
        <v>45181</v>
      </c>
      <c r="C10156" s="1" t="n">
        <v>45657</v>
      </c>
      <c r="D10156" t="inlineStr">
        <is>
          <t>VÄSTERNORRLANDS LÄN</t>
        </is>
      </c>
      <c r="E10156" t="inlineStr">
        <is>
          <t>SOLLEFTEÅ</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43552-2023</t>
        </is>
      </c>
      <c r="B10157" s="1" t="n">
        <v>45181</v>
      </c>
      <c r="C10157" s="1" t="n">
        <v>45657</v>
      </c>
      <c r="D10157" t="inlineStr">
        <is>
          <t>VÄSTERNORRLANDS LÄN</t>
        </is>
      </c>
      <c r="E10157" t="inlineStr">
        <is>
          <t>ÅNGE</t>
        </is>
      </c>
      <c r="F10157" t="inlineStr">
        <is>
          <t>SCA</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42522-2023</t>
        </is>
      </c>
      <c r="B10158" s="1" t="n">
        <v>45181</v>
      </c>
      <c r="C10158" s="1" t="n">
        <v>45657</v>
      </c>
      <c r="D10158" t="inlineStr">
        <is>
          <t>VÄSTERNORRLANDS LÄN</t>
        </is>
      </c>
      <c r="E10158" t="inlineStr">
        <is>
          <t>ÖRNSKÖLDSVIK</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42533-2023</t>
        </is>
      </c>
      <c r="B10159" s="1" t="n">
        <v>45181</v>
      </c>
      <c r="C10159" s="1" t="n">
        <v>45657</v>
      </c>
      <c r="D10159" t="inlineStr">
        <is>
          <t>VÄSTERNORRLANDS LÄN</t>
        </is>
      </c>
      <c r="E10159" t="inlineStr">
        <is>
          <t>ÖRNSKÖLDSVIK</t>
        </is>
      </c>
      <c r="F10159" t="inlineStr">
        <is>
          <t>Holmen skog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42556-2023</t>
        </is>
      </c>
      <c r="B10160" s="1" t="n">
        <v>45181</v>
      </c>
      <c r="C10160" s="1" t="n">
        <v>45657</v>
      </c>
      <c r="D10160" t="inlineStr">
        <is>
          <t>VÄSTERNORRLANDS LÄN</t>
        </is>
      </c>
      <c r="E10160" t="inlineStr">
        <is>
          <t>ÖRNSKÖLDSVIK</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42764-2023</t>
        </is>
      </c>
      <c r="B10161" s="1" t="n">
        <v>45181</v>
      </c>
      <c r="C10161" s="1" t="n">
        <v>45657</v>
      </c>
      <c r="D10161" t="inlineStr">
        <is>
          <t>VÄSTERNORRLANDS LÄN</t>
        </is>
      </c>
      <c r="E10161" t="inlineStr">
        <is>
          <t>ÖRNSKÖLDSVIK</t>
        </is>
      </c>
      <c r="F10161" t="inlineStr">
        <is>
          <t>Holmen skog AB</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42603-2023</t>
        </is>
      </c>
      <c r="B10162" s="1" t="n">
        <v>45181</v>
      </c>
      <c r="C10162" s="1" t="n">
        <v>45657</v>
      </c>
      <c r="D10162" t="inlineStr">
        <is>
          <t>VÄSTERNORRLANDS LÄN</t>
        </is>
      </c>
      <c r="E10162" t="inlineStr">
        <is>
          <t>ÖRNSKÖLDSVIK</t>
        </is>
      </c>
      <c r="F10162" t="inlineStr">
        <is>
          <t>Holmen skog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42561-2023</t>
        </is>
      </c>
      <c r="B10163" s="1" t="n">
        <v>45181</v>
      </c>
      <c r="C10163" s="1" t="n">
        <v>45657</v>
      </c>
      <c r="D10163" t="inlineStr">
        <is>
          <t>VÄSTERNORRLANDS LÄN</t>
        </is>
      </c>
      <c r="E10163" t="inlineStr">
        <is>
          <t>ÖRNSKÖLDSVIK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42646-2023</t>
        </is>
      </c>
      <c r="B10164" s="1" t="n">
        <v>45181</v>
      </c>
      <c r="C10164" s="1" t="n">
        <v>45657</v>
      </c>
      <c r="D10164" t="inlineStr">
        <is>
          <t>VÄSTERNORRLANDS LÄN</t>
        </is>
      </c>
      <c r="E10164" t="inlineStr">
        <is>
          <t>HÄRNÖSAND</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42865-2023</t>
        </is>
      </c>
      <c r="B10165" s="1" t="n">
        <v>45182</v>
      </c>
      <c r="C10165" s="1" t="n">
        <v>45657</v>
      </c>
      <c r="D10165" t="inlineStr">
        <is>
          <t>VÄSTERNORRLANDS LÄN</t>
        </is>
      </c>
      <c r="E10165" t="inlineStr">
        <is>
          <t>ÖRNSKÖLDSVIK</t>
        </is>
      </c>
      <c r="F10165" t="inlineStr">
        <is>
          <t>Holmen skog AB</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42918-2023</t>
        </is>
      </c>
      <c r="B10166" s="1" t="n">
        <v>45182</v>
      </c>
      <c r="C10166" s="1" t="n">
        <v>45657</v>
      </c>
      <c r="D10166" t="inlineStr">
        <is>
          <t>VÄSTERNORRLANDS LÄN</t>
        </is>
      </c>
      <c r="E10166" t="inlineStr">
        <is>
          <t>KRAMFORS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42992-2023</t>
        </is>
      </c>
      <c r="B10167" s="1" t="n">
        <v>45182</v>
      </c>
      <c r="C10167" s="1" t="n">
        <v>45657</v>
      </c>
      <c r="D10167" t="inlineStr">
        <is>
          <t>VÄSTERNORRLANDS LÄN</t>
        </is>
      </c>
      <c r="E10167" t="inlineStr">
        <is>
          <t>KRAMFORS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42866-2023</t>
        </is>
      </c>
      <c r="B10168" s="1" t="n">
        <v>45182</v>
      </c>
      <c r="C10168" s="1" t="n">
        <v>45657</v>
      </c>
      <c r="D10168" t="inlineStr">
        <is>
          <t>VÄSTERNORRLANDS LÄN</t>
        </is>
      </c>
      <c r="E10168" t="inlineStr">
        <is>
          <t>ÖRNSKÖLDSVIK</t>
        </is>
      </c>
      <c r="F10168" t="inlineStr">
        <is>
          <t>Holmen skog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42805-2023</t>
        </is>
      </c>
      <c r="B10169" s="1" t="n">
        <v>45182</v>
      </c>
      <c r="C10169" s="1" t="n">
        <v>45657</v>
      </c>
      <c r="D10169" t="inlineStr">
        <is>
          <t>VÄSTERNORRLANDS LÄN</t>
        </is>
      </c>
      <c r="E10169" t="inlineStr">
        <is>
          <t>ÖRNSKÖLDSVIK</t>
        </is>
      </c>
      <c r="F10169" t="inlineStr">
        <is>
          <t>Holmen skog AB</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42813-2023</t>
        </is>
      </c>
      <c r="B10170" s="1" t="n">
        <v>45182</v>
      </c>
      <c r="C10170" s="1" t="n">
        <v>45657</v>
      </c>
      <c r="D10170" t="inlineStr">
        <is>
          <t>VÄSTERNORRLANDS LÄN</t>
        </is>
      </c>
      <c r="E10170" t="inlineStr">
        <is>
          <t>ÖRNSKÖLDSVIK</t>
        </is>
      </c>
      <c r="F10170" t="inlineStr">
        <is>
          <t>Holmen skog AB</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42881-2023</t>
        </is>
      </c>
      <c r="B10171" s="1" t="n">
        <v>45182</v>
      </c>
      <c r="C10171" s="1" t="n">
        <v>45657</v>
      </c>
      <c r="D10171" t="inlineStr">
        <is>
          <t>VÄSTERNORRLANDS LÄN</t>
        </is>
      </c>
      <c r="E10171" t="inlineStr">
        <is>
          <t>ÅNGE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42999-2023</t>
        </is>
      </c>
      <c r="B10172" s="1" t="n">
        <v>45182</v>
      </c>
      <c r="C10172" s="1" t="n">
        <v>45657</v>
      </c>
      <c r="D10172" t="inlineStr">
        <is>
          <t>VÄSTERNORRLANDS LÄN</t>
        </is>
      </c>
      <c r="E10172" t="inlineStr">
        <is>
          <t>ÖRNSKÖLDSVIK</t>
        </is>
      </c>
      <c r="F10172" t="inlineStr">
        <is>
          <t>Holmen skog AB</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43005-2023</t>
        </is>
      </c>
      <c r="B10173" s="1" t="n">
        <v>45182</v>
      </c>
      <c r="C10173" s="1" t="n">
        <v>45657</v>
      </c>
      <c r="D10173" t="inlineStr">
        <is>
          <t>VÄSTERNORRLANDS LÄN</t>
        </is>
      </c>
      <c r="E10173" t="inlineStr">
        <is>
          <t>KRAMFORS</t>
        </is>
      </c>
      <c r="G10173" t="n">
        <v>13.8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42916-2023</t>
        </is>
      </c>
      <c r="B10174" s="1" t="n">
        <v>45182</v>
      </c>
      <c r="C10174" s="1" t="n">
        <v>45657</v>
      </c>
      <c r="D10174" t="inlineStr">
        <is>
          <t>VÄSTERNORRLANDS LÄN</t>
        </is>
      </c>
      <c r="E10174" t="inlineStr">
        <is>
          <t>KRAMFORS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43096-2023</t>
        </is>
      </c>
      <c r="B10175" s="1" t="n">
        <v>45182</v>
      </c>
      <c r="C10175" s="1" t="n">
        <v>45657</v>
      </c>
      <c r="D10175" t="inlineStr">
        <is>
          <t>VÄSTERNORRLANDS LÄN</t>
        </is>
      </c>
      <c r="E10175" t="inlineStr">
        <is>
          <t>ÅNGE</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43100-2023</t>
        </is>
      </c>
      <c r="B10176" s="1" t="n">
        <v>45182</v>
      </c>
      <c r="C10176" s="1" t="n">
        <v>45657</v>
      </c>
      <c r="D10176" t="inlineStr">
        <is>
          <t>VÄSTERNORRLANDS LÄN</t>
        </is>
      </c>
      <c r="E10176" t="inlineStr">
        <is>
          <t>ÖRNSKÖLDSVIK</t>
        </is>
      </c>
      <c r="G10176" t="n">
        <v>12.9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43104-2023</t>
        </is>
      </c>
      <c r="B10177" s="1" t="n">
        <v>45182</v>
      </c>
      <c r="C10177" s="1" t="n">
        <v>45657</v>
      </c>
      <c r="D10177" t="inlineStr">
        <is>
          <t>VÄSTERNORRLANDS LÄN</t>
        </is>
      </c>
      <c r="E10177" t="inlineStr">
        <is>
          <t>SUNDSVALL</t>
        </is>
      </c>
      <c r="F10177" t="inlineStr">
        <is>
          <t>SCA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43124-2023</t>
        </is>
      </c>
      <c r="B10178" s="1" t="n">
        <v>45182</v>
      </c>
      <c r="C10178" s="1" t="n">
        <v>45657</v>
      </c>
      <c r="D10178" t="inlineStr">
        <is>
          <t>VÄSTERNORRLANDS LÄN</t>
        </is>
      </c>
      <c r="E10178" t="inlineStr">
        <is>
          <t>TIMRÅ</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43130-2023</t>
        </is>
      </c>
      <c r="B10179" s="1" t="n">
        <v>45183</v>
      </c>
      <c r="C10179" s="1" t="n">
        <v>45657</v>
      </c>
      <c r="D10179" t="inlineStr">
        <is>
          <t>VÄSTERNORRLANDS LÄN</t>
        </is>
      </c>
      <c r="E10179" t="inlineStr">
        <is>
          <t>TIMRÅ</t>
        </is>
      </c>
      <c r="F10179" t="inlineStr">
        <is>
          <t>SCA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43927-2023</t>
        </is>
      </c>
      <c r="B10180" s="1" t="n">
        <v>45182</v>
      </c>
      <c r="C10180" s="1" t="n">
        <v>45657</v>
      </c>
      <c r="D10180" t="inlineStr">
        <is>
          <t>VÄSTERNORRLANDS LÄN</t>
        </is>
      </c>
      <c r="E10180" t="inlineStr">
        <is>
          <t>ÖRNSKÖLDSVIK</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43128-2023</t>
        </is>
      </c>
      <c r="B10181" s="1" t="n">
        <v>45182</v>
      </c>
      <c r="C10181" s="1" t="n">
        <v>45657</v>
      </c>
      <c r="D10181" t="inlineStr">
        <is>
          <t>VÄSTERNORRLANDS LÄN</t>
        </is>
      </c>
      <c r="E10181" t="inlineStr">
        <is>
          <t>TIMRÅ</t>
        </is>
      </c>
      <c r="F10181" t="inlineStr">
        <is>
          <t>SCA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43928-2023</t>
        </is>
      </c>
      <c r="B10182" s="1" t="n">
        <v>45182</v>
      </c>
      <c r="C10182" s="1" t="n">
        <v>45657</v>
      </c>
      <c r="D10182" t="inlineStr">
        <is>
          <t>VÄSTERNORRLANDS LÄN</t>
        </is>
      </c>
      <c r="E10182" t="inlineStr">
        <is>
          <t>ÖRNSKÖLDSVIK</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44062-2023</t>
        </is>
      </c>
      <c r="B10183" s="1" t="n">
        <v>45182</v>
      </c>
      <c r="C10183" s="1" t="n">
        <v>45657</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43924-2023</t>
        </is>
      </c>
      <c r="B10184" s="1" t="n">
        <v>45182</v>
      </c>
      <c r="C10184" s="1" t="n">
        <v>45657</v>
      </c>
      <c r="D10184" t="inlineStr">
        <is>
          <t>VÄSTERNORRLANDS LÄN</t>
        </is>
      </c>
      <c r="E10184" t="inlineStr">
        <is>
          <t>ÖRNSKÖLDSVIK</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44059-2023</t>
        </is>
      </c>
      <c r="B10185" s="1" t="n">
        <v>45182</v>
      </c>
      <c r="C10185" s="1" t="n">
        <v>45657</v>
      </c>
      <c r="D10185" t="inlineStr">
        <is>
          <t>VÄSTERNORRLANDS LÄN</t>
        </is>
      </c>
      <c r="E10185" t="inlineStr">
        <is>
          <t>ÖRNSKÖLDSVIK</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44011-2023</t>
        </is>
      </c>
      <c r="B10186" s="1" t="n">
        <v>45182</v>
      </c>
      <c r="C10186" s="1" t="n">
        <v>45657</v>
      </c>
      <c r="D10186" t="inlineStr">
        <is>
          <t>VÄSTERNORRLANDS LÄN</t>
        </is>
      </c>
      <c r="E10186" t="inlineStr">
        <is>
          <t>ÖRNSKÖLDSVIK</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43101-2023</t>
        </is>
      </c>
      <c r="B10187" s="1" t="n">
        <v>45182</v>
      </c>
      <c r="C10187" s="1" t="n">
        <v>45657</v>
      </c>
      <c r="D10187" t="inlineStr">
        <is>
          <t>VÄSTERNORRLANDS LÄN</t>
        </is>
      </c>
      <c r="E10187" t="inlineStr">
        <is>
          <t>HÄRNÖSAND</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43113-2023</t>
        </is>
      </c>
      <c r="B10188" s="1" t="n">
        <v>45182</v>
      </c>
      <c r="C10188" s="1" t="n">
        <v>45657</v>
      </c>
      <c r="D10188" t="inlineStr">
        <is>
          <t>VÄSTERNORRLANDS LÄN</t>
        </is>
      </c>
      <c r="E10188" t="inlineStr">
        <is>
          <t>TIMRÅ</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43129-2023</t>
        </is>
      </c>
      <c r="B10189" s="1" t="n">
        <v>45182</v>
      </c>
      <c r="C10189" s="1" t="n">
        <v>45657</v>
      </c>
      <c r="D10189" t="inlineStr">
        <is>
          <t>VÄSTERNORRLANDS LÄN</t>
        </is>
      </c>
      <c r="E10189" t="inlineStr">
        <is>
          <t>TIMRÅ</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43164-2023</t>
        </is>
      </c>
      <c r="B10190" s="1" t="n">
        <v>45183</v>
      </c>
      <c r="C10190" s="1" t="n">
        <v>45657</v>
      </c>
      <c r="D10190" t="inlineStr">
        <is>
          <t>VÄSTERNORRLANDS LÄN</t>
        </is>
      </c>
      <c r="E10190" t="inlineStr">
        <is>
          <t>SUNDSVALL</t>
        </is>
      </c>
      <c r="F10190" t="inlineStr">
        <is>
          <t>Holmen skog AB</t>
        </is>
      </c>
      <c r="G10190" t="n">
        <v>8.300000000000001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43189-2023</t>
        </is>
      </c>
      <c r="B10191" s="1" t="n">
        <v>45183</v>
      </c>
      <c r="C10191" s="1" t="n">
        <v>45657</v>
      </c>
      <c r="D10191" t="inlineStr">
        <is>
          <t>VÄSTERNORRLANDS LÄN</t>
        </is>
      </c>
      <c r="E10191" t="inlineStr">
        <is>
          <t>ÖRNSKÖLDSVIK</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43283-2023</t>
        </is>
      </c>
      <c r="B10192" s="1" t="n">
        <v>45183</v>
      </c>
      <c r="C10192" s="1" t="n">
        <v>45657</v>
      </c>
      <c r="D10192" t="inlineStr">
        <is>
          <t>VÄSTERNORRLANDS LÄN</t>
        </is>
      </c>
      <c r="E10192" t="inlineStr">
        <is>
          <t>ÖRNSKÖLDSVIK</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43191-2023</t>
        </is>
      </c>
      <c r="B10193" s="1" t="n">
        <v>45183</v>
      </c>
      <c r="C10193" s="1" t="n">
        <v>45657</v>
      </c>
      <c r="D10193" t="inlineStr">
        <is>
          <t>VÄSTERNORRLANDS LÄN</t>
        </is>
      </c>
      <c r="E10193" t="inlineStr">
        <is>
          <t>ÖRNSKÖLDSVIK</t>
        </is>
      </c>
      <c r="F10193" t="inlineStr">
        <is>
          <t>Holmen skog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43236-2023</t>
        </is>
      </c>
      <c r="B10194" s="1" t="n">
        <v>45183</v>
      </c>
      <c r="C10194" s="1" t="n">
        <v>45657</v>
      </c>
      <c r="D10194" t="inlineStr">
        <is>
          <t>VÄSTERNORRLANDS LÄN</t>
        </is>
      </c>
      <c r="E10194" t="inlineStr">
        <is>
          <t>ÖRNSKÖLDSVIK</t>
        </is>
      </c>
      <c r="F10194" t="inlineStr">
        <is>
          <t>Holmen skog AB</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43242-2023</t>
        </is>
      </c>
      <c r="B10195" s="1" t="n">
        <v>45183</v>
      </c>
      <c r="C10195" s="1" t="n">
        <v>45657</v>
      </c>
      <c r="D10195" t="inlineStr">
        <is>
          <t>VÄSTERNORRLANDS LÄN</t>
        </is>
      </c>
      <c r="E10195" t="inlineStr">
        <is>
          <t>ÖRNSKÖLDSVIK</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43325-2023</t>
        </is>
      </c>
      <c r="B10196" s="1" t="n">
        <v>45183</v>
      </c>
      <c r="C10196" s="1" t="n">
        <v>45657</v>
      </c>
      <c r="D10196" t="inlineStr">
        <is>
          <t>VÄSTERNORRLANDS LÄN</t>
        </is>
      </c>
      <c r="E10196" t="inlineStr">
        <is>
          <t>ÖRNSKÖLDSVIK</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43282-2023</t>
        </is>
      </c>
      <c r="B10197" s="1" t="n">
        <v>45183</v>
      </c>
      <c r="C10197" s="1" t="n">
        <v>45657</v>
      </c>
      <c r="D10197" t="inlineStr">
        <is>
          <t>VÄSTERNORRLANDS LÄN</t>
        </is>
      </c>
      <c r="E10197" t="inlineStr">
        <is>
          <t>ÖRNSKÖLDSVIK</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43411-2023</t>
        </is>
      </c>
      <c r="B10198" s="1" t="n">
        <v>45183</v>
      </c>
      <c r="C10198" s="1" t="n">
        <v>45657</v>
      </c>
      <c r="D10198" t="inlineStr">
        <is>
          <t>VÄSTERNORRLANDS LÄN</t>
        </is>
      </c>
      <c r="E10198" t="inlineStr">
        <is>
          <t>TIMRÅ</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43419-2023</t>
        </is>
      </c>
      <c r="B10199" s="1" t="n">
        <v>45184</v>
      </c>
      <c r="C10199" s="1" t="n">
        <v>45657</v>
      </c>
      <c r="D10199" t="inlineStr">
        <is>
          <t>VÄSTERNORRLANDS LÄN</t>
        </is>
      </c>
      <c r="E10199" t="inlineStr">
        <is>
          <t>SUNDSVALL</t>
        </is>
      </c>
      <c r="F10199" t="inlineStr">
        <is>
          <t>SCA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43425-2023</t>
        </is>
      </c>
      <c r="B10200" s="1" t="n">
        <v>45184</v>
      </c>
      <c r="C10200" s="1" t="n">
        <v>45657</v>
      </c>
      <c r="D10200" t="inlineStr">
        <is>
          <t>VÄSTERNORRLANDS LÄN</t>
        </is>
      </c>
      <c r="E10200" t="inlineStr">
        <is>
          <t>SUNDSVALL</t>
        </is>
      </c>
      <c r="F10200" t="inlineStr">
        <is>
          <t>SCA</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44157-2023</t>
        </is>
      </c>
      <c r="B10201" s="1" t="n">
        <v>45183</v>
      </c>
      <c r="C10201" s="1" t="n">
        <v>45657</v>
      </c>
      <c r="D10201" t="inlineStr">
        <is>
          <t>VÄSTERNORRLANDS LÄN</t>
        </is>
      </c>
      <c r="E10201" t="inlineStr">
        <is>
          <t>SUNDSVALL</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44306-2023</t>
        </is>
      </c>
      <c r="B10202" s="1" t="n">
        <v>45183</v>
      </c>
      <c r="C10202" s="1" t="n">
        <v>45657</v>
      </c>
      <c r="D10202" t="inlineStr">
        <is>
          <t>VÄSTERNORRLANDS LÄN</t>
        </is>
      </c>
      <c r="E10202" t="inlineStr">
        <is>
          <t>SUNDSVALL</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43423-2023</t>
        </is>
      </c>
      <c r="B10203" s="1" t="n">
        <v>45183</v>
      </c>
      <c r="C10203" s="1" t="n">
        <v>45657</v>
      </c>
      <c r="D10203" t="inlineStr">
        <is>
          <t>VÄSTERNORRLANDS LÄN</t>
        </is>
      </c>
      <c r="E10203" t="inlineStr">
        <is>
          <t>SUNDSVALL</t>
        </is>
      </c>
      <c r="F10203" t="inlineStr">
        <is>
          <t>SCA</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44137-2023</t>
        </is>
      </c>
      <c r="B10204" s="1" t="n">
        <v>45183</v>
      </c>
      <c r="C10204" s="1" t="n">
        <v>45657</v>
      </c>
      <c r="D10204" t="inlineStr">
        <is>
          <t>VÄSTERNORRLANDS LÄN</t>
        </is>
      </c>
      <c r="E10204" t="inlineStr">
        <is>
          <t>KRAMFORS</t>
        </is>
      </c>
      <c r="G10204" t="n">
        <v>9.699999999999999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44178-2023</t>
        </is>
      </c>
      <c r="B10205" s="1" t="n">
        <v>45183</v>
      </c>
      <c r="C10205" s="1" t="n">
        <v>45657</v>
      </c>
      <c r="D10205" t="inlineStr">
        <is>
          <t>VÄSTERNORRLANDS LÄN</t>
        </is>
      </c>
      <c r="E10205" t="inlineStr">
        <is>
          <t>ÅNGE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43334-2023</t>
        </is>
      </c>
      <c r="B10206" s="1" t="n">
        <v>45183</v>
      </c>
      <c r="C10206" s="1" t="n">
        <v>45657</v>
      </c>
      <c r="D10206" t="inlineStr">
        <is>
          <t>VÄSTERNORRLANDS LÄN</t>
        </is>
      </c>
      <c r="E10206" t="inlineStr">
        <is>
          <t>ÖRNSKÖLDSVIK</t>
        </is>
      </c>
      <c r="F10206" t="inlineStr">
        <is>
          <t>Holmen skog AB</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43412-2023</t>
        </is>
      </c>
      <c r="B10207" s="1" t="n">
        <v>45184</v>
      </c>
      <c r="C10207" s="1" t="n">
        <v>45657</v>
      </c>
      <c r="D10207" t="inlineStr">
        <is>
          <t>VÄSTERNORRLANDS LÄN</t>
        </is>
      </c>
      <c r="E10207" t="inlineStr">
        <is>
          <t>TIMRÅ</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43420-2023</t>
        </is>
      </c>
      <c r="B10208" s="1" t="n">
        <v>45183</v>
      </c>
      <c r="C10208" s="1" t="n">
        <v>45657</v>
      </c>
      <c r="D10208" t="inlineStr">
        <is>
          <t>VÄSTERNORRLANDS LÄN</t>
        </is>
      </c>
      <c r="E10208" t="inlineStr">
        <is>
          <t>SUNDSVALL</t>
        </is>
      </c>
      <c r="F10208" t="inlineStr">
        <is>
          <t>SCA</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44148-2023</t>
        </is>
      </c>
      <c r="B10209" s="1" t="n">
        <v>45183</v>
      </c>
      <c r="C10209" s="1" t="n">
        <v>45657</v>
      </c>
      <c r="D10209" t="inlineStr">
        <is>
          <t>VÄSTERNORRLANDS LÄN</t>
        </is>
      </c>
      <c r="E10209" t="inlineStr">
        <is>
          <t>KRAMFORS</t>
        </is>
      </c>
      <c r="F10209" t="inlineStr">
        <is>
          <t>Kommuner</t>
        </is>
      </c>
      <c r="G10209" t="n">
        <v>14.7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44180-2023</t>
        </is>
      </c>
      <c r="B10210" s="1" t="n">
        <v>45183</v>
      </c>
      <c r="C10210" s="1" t="n">
        <v>45657</v>
      </c>
      <c r="D10210" t="inlineStr">
        <is>
          <t>VÄSTERNORRLANDS LÄN</t>
        </is>
      </c>
      <c r="E10210" t="inlineStr">
        <is>
          <t>ÅNGE</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43245-2023</t>
        </is>
      </c>
      <c r="B10211" s="1" t="n">
        <v>45183</v>
      </c>
      <c r="C10211" s="1" t="n">
        <v>45657</v>
      </c>
      <c r="D10211" t="inlineStr">
        <is>
          <t>VÄSTERNORRLANDS LÄN</t>
        </is>
      </c>
      <c r="E10211" t="inlineStr">
        <is>
          <t>ÖRNSKÖLDSVIK</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43275-2023</t>
        </is>
      </c>
      <c r="B10212" s="1" t="n">
        <v>45183</v>
      </c>
      <c r="C10212" s="1" t="n">
        <v>45657</v>
      </c>
      <c r="D10212" t="inlineStr">
        <is>
          <t>VÄSTERNORRLANDS LÄN</t>
        </is>
      </c>
      <c r="E10212" t="inlineStr">
        <is>
          <t>SUNDSVALL</t>
        </is>
      </c>
      <c r="F10212" t="inlineStr">
        <is>
          <t>Holmen skog AB</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43418-2023</t>
        </is>
      </c>
      <c r="B10213" s="1" t="n">
        <v>45183</v>
      </c>
      <c r="C10213" s="1" t="n">
        <v>45657</v>
      </c>
      <c r="D10213" t="inlineStr">
        <is>
          <t>VÄSTERNORRLANDS LÄN</t>
        </is>
      </c>
      <c r="E10213" t="inlineStr">
        <is>
          <t>HÄRNÖSAND</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43422-2023</t>
        </is>
      </c>
      <c r="B10214" s="1" t="n">
        <v>45183</v>
      </c>
      <c r="C10214" s="1" t="n">
        <v>45657</v>
      </c>
      <c r="D10214" t="inlineStr">
        <is>
          <t>VÄSTERNORRLANDS LÄN</t>
        </is>
      </c>
      <c r="E10214" t="inlineStr">
        <is>
          <t>SUNDSVALL</t>
        </is>
      </c>
      <c r="F10214" t="inlineStr">
        <is>
          <t>SCA</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44173-2023</t>
        </is>
      </c>
      <c r="B10215" s="1" t="n">
        <v>45183</v>
      </c>
      <c r="C10215" s="1" t="n">
        <v>45657</v>
      </c>
      <c r="D10215" t="inlineStr">
        <is>
          <t>VÄSTERNORRLANDS LÄN</t>
        </is>
      </c>
      <c r="E10215" t="inlineStr">
        <is>
          <t>KRAMFORS</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44551-2023</t>
        </is>
      </c>
      <c r="B10216" s="1" t="n">
        <v>45183</v>
      </c>
      <c r="C10216" s="1" t="n">
        <v>45657</v>
      </c>
      <c r="D10216" t="inlineStr">
        <is>
          <t>VÄSTERNORRLANDS LÄN</t>
        </is>
      </c>
      <c r="E10216" t="inlineStr">
        <is>
          <t>SUNDSVALL</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44533-2023</t>
        </is>
      </c>
      <c r="B10217" s="1" t="n">
        <v>45183</v>
      </c>
      <c r="C10217" s="1" t="n">
        <v>45657</v>
      </c>
      <c r="D10217" t="inlineStr">
        <is>
          <t>VÄSTERNORRLANDS LÄN</t>
        </is>
      </c>
      <c r="E10217" t="inlineStr">
        <is>
          <t>SOLLEFTEÅ</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43427-2023</t>
        </is>
      </c>
      <c r="B10218" s="1" t="n">
        <v>45184</v>
      </c>
      <c r="C10218" s="1" t="n">
        <v>45657</v>
      </c>
      <c r="D10218" t="inlineStr">
        <is>
          <t>VÄSTERNORRLANDS LÄN</t>
        </is>
      </c>
      <c r="E10218" t="inlineStr">
        <is>
          <t>ÖRNSKÖLDSVIK</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43531-2023</t>
        </is>
      </c>
      <c r="B10219" s="1" t="n">
        <v>45184</v>
      </c>
      <c r="C10219" s="1" t="n">
        <v>45657</v>
      </c>
      <c r="D10219" t="inlineStr">
        <is>
          <t>VÄSTERNORRLANDS LÄN</t>
        </is>
      </c>
      <c r="E10219" t="inlineStr">
        <is>
          <t>SOLLEFTEÅ</t>
        </is>
      </c>
      <c r="F10219" t="inlineStr">
        <is>
          <t>Holmen skog AB</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43615-2023</t>
        </is>
      </c>
      <c r="B10220" s="1" t="n">
        <v>45184</v>
      </c>
      <c r="C10220" s="1" t="n">
        <v>45657</v>
      </c>
      <c r="D10220" t="inlineStr">
        <is>
          <t>VÄSTERNORRLANDS LÄN</t>
        </is>
      </c>
      <c r="E10220" t="inlineStr">
        <is>
          <t>ÅNGE</t>
        </is>
      </c>
      <c r="F10220" t="inlineStr">
        <is>
          <t>Holmen skog AB</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43618-2023</t>
        </is>
      </c>
      <c r="B10221" s="1" t="n">
        <v>45184</v>
      </c>
      <c r="C10221" s="1" t="n">
        <v>45657</v>
      </c>
      <c r="D10221" t="inlineStr">
        <is>
          <t>VÄSTERNORRLANDS LÄN</t>
        </is>
      </c>
      <c r="E10221" t="inlineStr">
        <is>
          <t>ÅNGE</t>
        </is>
      </c>
      <c r="G10221" t="n">
        <v>22.6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43622-2023</t>
        </is>
      </c>
      <c r="B10222" s="1" t="n">
        <v>45184</v>
      </c>
      <c r="C10222" s="1" t="n">
        <v>45657</v>
      </c>
      <c r="D10222" t="inlineStr">
        <is>
          <t>VÄSTERNORRLANDS LÄN</t>
        </is>
      </c>
      <c r="E10222" t="inlineStr">
        <is>
          <t>ÅNGE</t>
        </is>
      </c>
      <c r="F10222" t="inlineStr">
        <is>
          <t>Holmen skog AB</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43597-2023</t>
        </is>
      </c>
      <c r="B10223" s="1" t="n">
        <v>45184</v>
      </c>
      <c r="C10223" s="1" t="n">
        <v>45657</v>
      </c>
      <c r="D10223" t="inlineStr">
        <is>
          <t>VÄSTERNORRLANDS LÄN</t>
        </is>
      </c>
      <c r="E10223" t="inlineStr">
        <is>
          <t>ÖRNSKÖLDSVIK</t>
        </is>
      </c>
      <c r="F10223" t="inlineStr">
        <is>
          <t>Holmen skog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43504-2023</t>
        </is>
      </c>
      <c r="B10224" s="1" t="n">
        <v>45184</v>
      </c>
      <c r="C10224" s="1" t="n">
        <v>45657</v>
      </c>
      <c r="D10224" t="inlineStr">
        <is>
          <t>VÄSTERNORRLANDS LÄN</t>
        </is>
      </c>
      <c r="E10224" t="inlineStr">
        <is>
          <t>SOLLEFTEÅ</t>
        </is>
      </c>
      <c r="F10224" t="inlineStr">
        <is>
          <t>Holmen skog AB</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43617-2023</t>
        </is>
      </c>
      <c r="B10225" s="1" t="n">
        <v>45184</v>
      </c>
      <c r="C10225" s="1" t="n">
        <v>45657</v>
      </c>
      <c r="D10225" t="inlineStr">
        <is>
          <t>VÄSTERNORRLANDS LÄN</t>
        </is>
      </c>
      <c r="E10225" t="inlineStr">
        <is>
          <t>ÖRNSKÖLDSVIK</t>
        </is>
      </c>
      <c r="F10225" t="inlineStr">
        <is>
          <t>Holmen skog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44639-2023</t>
        </is>
      </c>
      <c r="B10226" s="1" t="n">
        <v>45184</v>
      </c>
      <c r="C10226" s="1" t="n">
        <v>45657</v>
      </c>
      <c r="D10226" t="inlineStr">
        <is>
          <t>VÄSTERNORRLANDS LÄN</t>
        </is>
      </c>
      <c r="E10226" t="inlineStr">
        <is>
          <t>ÅNGE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43664-2023</t>
        </is>
      </c>
      <c r="B10227" s="1" t="n">
        <v>45187</v>
      </c>
      <c r="C10227" s="1" t="n">
        <v>45657</v>
      </c>
      <c r="D10227" t="inlineStr">
        <is>
          <t>VÄSTERNORRLANDS LÄN</t>
        </is>
      </c>
      <c r="E10227" t="inlineStr">
        <is>
          <t>ÖRNSKÖLDSVIK</t>
        </is>
      </c>
      <c r="F10227" t="inlineStr">
        <is>
          <t>Holmen skog AB</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43672-2023</t>
        </is>
      </c>
      <c r="B10228" s="1" t="n">
        <v>45187</v>
      </c>
      <c r="C10228" s="1" t="n">
        <v>45657</v>
      </c>
      <c r="D10228" t="inlineStr">
        <is>
          <t>VÄSTERNORRLANDS LÄN</t>
        </is>
      </c>
      <c r="E10228" t="inlineStr">
        <is>
          <t>ÖRNSKÖLDSVIK</t>
        </is>
      </c>
      <c r="F10228" t="inlineStr">
        <is>
          <t>Holmen skog AB</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43733-2023</t>
        </is>
      </c>
      <c r="B10229" s="1" t="n">
        <v>45187</v>
      </c>
      <c r="C10229" s="1" t="n">
        <v>45657</v>
      </c>
      <c r="D10229" t="inlineStr">
        <is>
          <t>VÄSTERNORRLANDS LÄN</t>
        </is>
      </c>
      <c r="E10229" t="inlineStr">
        <is>
          <t>ÖRNSKÖLDSVIK</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43691-2023</t>
        </is>
      </c>
      <c r="B10230" s="1" t="n">
        <v>45187</v>
      </c>
      <c r="C10230" s="1" t="n">
        <v>45657</v>
      </c>
      <c r="D10230" t="inlineStr">
        <is>
          <t>VÄSTERNORRLANDS LÄN</t>
        </is>
      </c>
      <c r="E10230" t="inlineStr">
        <is>
          <t>ÖRNSKÖLDSVIK</t>
        </is>
      </c>
      <c r="F10230" t="inlineStr">
        <is>
          <t>Holmen skog AB</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43916-2023</t>
        </is>
      </c>
      <c r="B10231" s="1" t="n">
        <v>45187</v>
      </c>
      <c r="C10231" s="1" t="n">
        <v>45657</v>
      </c>
      <c r="D10231" t="inlineStr">
        <is>
          <t>VÄSTERNORRLANDS LÄN</t>
        </is>
      </c>
      <c r="E10231" t="inlineStr">
        <is>
          <t>ÅNGE</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43909-2023</t>
        </is>
      </c>
      <c r="B10232" s="1" t="n">
        <v>45187</v>
      </c>
      <c r="C10232" s="1" t="n">
        <v>45657</v>
      </c>
      <c r="D10232" t="inlineStr">
        <is>
          <t>VÄSTERNORRLANDS LÄN</t>
        </is>
      </c>
      <c r="E10232" t="inlineStr">
        <is>
          <t>ÖRNSKÖLDSVIK</t>
        </is>
      </c>
      <c r="F10232" t="inlineStr">
        <is>
          <t>Holmen skog AB</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43951-2023</t>
        </is>
      </c>
      <c r="B10233" s="1" t="n">
        <v>45188</v>
      </c>
      <c r="C10233" s="1" t="n">
        <v>45657</v>
      </c>
      <c r="D10233" t="inlineStr">
        <is>
          <t>VÄSTERNORRLANDS LÄN</t>
        </is>
      </c>
      <c r="E10233" t="inlineStr">
        <is>
          <t>SUNDSVALL</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43959-2023</t>
        </is>
      </c>
      <c r="B10234" s="1" t="n">
        <v>45188</v>
      </c>
      <c r="C10234" s="1" t="n">
        <v>45657</v>
      </c>
      <c r="D10234" t="inlineStr">
        <is>
          <t>VÄSTERNORRLANDS LÄN</t>
        </is>
      </c>
      <c r="E10234" t="inlineStr">
        <is>
          <t>TIMRÅ</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43946-2023</t>
        </is>
      </c>
      <c r="B10235" s="1" t="n">
        <v>45187</v>
      </c>
      <c r="C10235" s="1" t="n">
        <v>45657</v>
      </c>
      <c r="D10235" t="inlineStr">
        <is>
          <t>VÄSTERNORRLANDS LÄN</t>
        </is>
      </c>
      <c r="E10235" t="inlineStr">
        <is>
          <t>SUNDSVALL</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43950-2023</t>
        </is>
      </c>
      <c r="B10236" s="1" t="n">
        <v>45188</v>
      </c>
      <c r="C10236" s="1" t="n">
        <v>45657</v>
      </c>
      <c r="D10236" t="inlineStr">
        <is>
          <t>VÄSTERNORRLANDS LÄN</t>
        </is>
      </c>
      <c r="E10236" t="inlineStr">
        <is>
          <t>SUNDSVALL</t>
        </is>
      </c>
      <c r="F10236" t="inlineStr">
        <is>
          <t>SCA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43913-2023</t>
        </is>
      </c>
      <c r="B10237" s="1" t="n">
        <v>45187</v>
      </c>
      <c r="C10237" s="1" t="n">
        <v>45657</v>
      </c>
      <c r="D10237" t="inlineStr">
        <is>
          <t>VÄSTERNORRLANDS LÄN</t>
        </is>
      </c>
      <c r="E10237" t="inlineStr">
        <is>
          <t>ÖRNSKÖLDSVIK</t>
        </is>
      </c>
      <c r="F10237" t="inlineStr">
        <is>
          <t>Holmen skog AB</t>
        </is>
      </c>
      <c r="G10237" t="n">
        <v>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43917-2023</t>
        </is>
      </c>
      <c r="B10238" s="1" t="n">
        <v>45187</v>
      </c>
      <c r="C10238" s="1" t="n">
        <v>45657</v>
      </c>
      <c r="D10238" t="inlineStr">
        <is>
          <t>VÄSTERNORRLANDS LÄN</t>
        </is>
      </c>
      <c r="E10238" t="inlineStr">
        <is>
          <t>SUNDSVALL</t>
        </is>
      </c>
      <c r="F10238" t="inlineStr">
        <is>
          <t>Holmen skog AB</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43964-2023</t>
        </is>
      </c>
      <c r="B10239" s="1" t="n">
        <v>45187</v>
      </c>
      <c r="C10239" s="1" t="n">
        <v>45657</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43980-2023</t>
        </is>
      </c>
      <c r="B10240" s="1" t="n">
        <v>45187</v>
      </c>
      <c r="C10240" s="1" t="n">
        <v>45657</v>
      </c>
      <c r="D10240" t="inlineStr">
        <is>
          <t>VÄSTERNORRLANDS LÄN</t>
        </is>
      </c>
      <c r="E10240" t="inlineStr">
        <is>
          <t>HÄRNÖSAND</t>
        </is>
      </c>
      <c r="F10240" t="inlineStr">
        <is>
          <t>SCA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43985-2023</t>
        </is>
      </c>
      <c r="B10241" s="1" t="n">
        <v>45187</v>
      </c>
      <c r="C10241" s="1" t="n">
        <v>45657</v>
      </c>
      <c r="D10241" t="inlineStr">
        <is>
          <t>VÄSTERNORRLANDS LÄN</t>
        </is>
      </c>
      <c r="E10241" t="inlineStr">
        <is>
          <t>ÖRNSKÖLDSVIK</t>
        </is>
      </c>
      <c r="F10241" t="inlineStr">
        <is>
          <t>SCA</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43984-2023</t>
        </is>
      </c>
      <c r="B10242" s="1" t="n">
        <v>45187</v>
      </c>
      <c r="C10242" s="1" t="n">
        <v>45657</v>
      </c>
      <c r="D10242" t="inlineStr">
        <is>
          <t>VÄSTERNORRLANDS LÄN</t>
        </is>
      </c>
      <c r="E10242" t="inlineStr">
        <is>
          <t>ÅNGE</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43972-2023</t>
        </is>
      </c>
      <c r="B10243" s="1" t="n">
        <v>45188</v>
      </c>
      <c r="C10243" s="1" t="n">
        <v>45657</v>
      </c>
      <c r="D10243" t="inlineStr">
        <is>
          <t>VÄSTERNORRLANDS LÄN</t>
        </is>
      </c>
      <c r="E10243" t="inlineStr">
        <is>
          <t>SUNDSVALL</t>
        </is>
      </c>
      <c r="F10243" t="inlineStr">
        <is>
          <t>SCA</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43993-2023</t>
        </is>
      </c>
      <c r="B10244" s="1" t="n">
        <v>45187</v>
      </c>
      <c r="C10244" s="1" t="n">
        <v>45657</v>
      </c>
      <c r="D10244" t="inlineStr">
        <is>
          <t>VÄSTERNORRLANDS LÄN</t>
        </is>
      </c>
      <c r="E10244" t="inlineStr">
        <is>
          <t>SUNDSVALL</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43965-2023</t>
        </is>
      </c>
      <c r="B10245" s="1" t="n">
        <v>45187</v>
      </c>
      <c r="C10245" s="1" t="n">
        <v>45657</v>
      </c>
      <c r="D10245" t="inlineStr">
        <is>
          <t>VÄSTERNORRLANDS LÄN</t>
        </is>
      </c>
      <c r="E10245" t="inlineStr">
        <is>
          <t>SUNDSVALL</t>
        </is>
      </c>
      <c r="F10245" t="inlineStr">
        <is>
          <t>SCA</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45048-2023</t>
        </is>
      </c>
      <c r="B10246" s="1" t="n">
        <v>45187</v>
      </c>
      <c r="C10246" s="1" t="n">
        <v>45657</v>
      </c>
      <c r="D10246" t="inlineStr">
        <is>
          <t>VÄSTERNORRLANDS LÄN</t>
        </is>
      </c>
      <c r="E10246" t="inlineStr">
        <is>
          <t>SUNDSVALL</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45193-2023</t>
        </is>
      </c>
      <c r="B10247" s="1" t="n">
        <v>45187</v>
      </c>
      <c r="C10247" s="1" t="n">
        <v>45657</v>
      </c>
      <c r="D10247" t="inlineStr">
        <is>
          <t>VÄSTERNORRLANDS LÄN</t>
        </is>
      </c>
      <c r="E10247" t="inlineStr">
        <is>
          <t>SOLLEFTEÅ</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45057-2023</t>
        </is>
      </c>
      <c r="B10248" s="1" t="n">
        <v>45187</v>
      </c>
      <c r="C10248" s="1" t="n">
        <v>45657</v>
      </c>
      <c r="D10248" t="inlineStr">
        <is>
          <t>VÄSTERNORRLANDS LÄN</t>
        </is>
      </c>
      <c r="E10248" t="inlineStr">
        <is>
          <t>SUNDSVALL</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43983-2023</t>
        </is>
      </c>
      <c r="B10249" s="1" t="n">
        <v>45188</v>
      </c>
      <c r="C10249" s="1" t="n">
        <v>45657</v>
      </c>
      <c r="D10249" t="inlineStr">
        <is>
          <t>VÄSTERNORRLANDS LÄN</t>
        </is>
      </c>
      <c r="E10249" t="inlineStr">
        <is>
          <t>TIMRÅ</t>
        </is>
      </c>
      <c r="F10249" t="inlineStr">
        <is>
          <t>SCA</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43987-2023</t>
        </is>
      </c>
      <c r="B10250" s="1" t="n">
        <v>45188</v>
      </c>
      <c r="C10250" s="1" t="n">
        <v>45657</v>
      </c>
      <c r="D10250" t="inlineStr">
        <is>
          <t>VÄSTERNORRLANDS LÄN</t>
        </is>
      </c>
      <c r="E10250" t="inlineStr">
        <is>
          <t>SUNDSVALL</t>
        </is>
      </c>
      <c r="F10250" t="inlineStr">
        <is>
          <t>SCA</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43962-2023</t>
        </is>
      </c>
      <c r="B10251" s="1" t="n">
        <v>45187</v>
      </c>
      <c r="C10251" s="1" t="n">
        <v>45657</v>
      </c>
      <c r="D10251" t="inlineStr">
        <is>
          <t>VÄSTERNORRLANDS LÄN</t>
        </is>
      </c>
      <c r="E10251" t="inlineStr">
        <is>
          <t>TIMRÅ</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43978-2023</t>
        </is>
      </c>
      <c r="B10252" s="1" t="n">
        <v>45187</v>
      </c>
      <c r="C10252" s="1" t="n">
        <v>45657</v>
      </c>
      <c r="D10252" t="inlineStr">
        <is>
          <t>VÄSTERNORRLANDS LÄN</t>
        </is>
      </c>
      <c r="E10252" t="inlineStr">
        <is>
          <t>SUNDSVALL</t>
        </is>
      </c>
      <c r="F10252" t="inlineStr">
        <is>
          <t>SCA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43986-2023</t>
        </is>
      </c>
      <c r="B10253" s="1" t="n">
        <v>45187</v>
      </c>
      <c r="C10253" s="1" t="n">
        <v>45657</v>
      </c>
      <c r="D10253" t="inlineStr">
        <is>
          <t>VÄSTERNORRLANDS LÄN</t>
        </is>
      </c>
      <c r="E10253" t="inlineStr">
        <is>
          <t>ÖRNSKÖLDSVIK</t>
        </is>
      </c>
      <c r="F10253" t="inlineStr">
        <is>
          <t>SCA</t>
        </is>
      </c>
      <c r="G10253" t="n">
        <v>11.2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43966-2023</t>
        </is>
      </c>
      <c r="B10254" s="1" t="n">
        <v>45188</v>
      </c>
      <c r="C10254" s="1" t="n">
        <v>45657</v>
      </c>
      <c r="D10254" t="inlineStr">
        <is>
          <t>VÄSTERNORRLANDS LÄN</t>
        </is>
      </c>
      <c r="E10254" t="inlineStr">
        <is>
          <t>ÖRNSKÖLDSVIK</t>
        </is>
      </c>
      <c r="F10254" t="inlineStr">
        <is>
          <t>SCA</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43994-2023</t>
        </is>
      </c>
      <c r="B10255" s="1" t="n">
        <v>45187</v>
      </c>
      <c r="C10255" s="1" t="n">
        <v>45657</v>
      </c>
      <c r="D10255" t="inlineStr">
        <is>
          <t>VÄSTERNORRLANDS LÄN</t>
        </is>
      </c>
      <c r="E10255" t="inlineStr">
        <is>
          <t>TIMRÅ</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44022-2023</t>
        </is>
      </c>
      <c r="B10256" s="1" t="n">
        <v>45188</v>
      </c>
      <c r="C10256" s="1" t="n">
        <v>45657</v>
      </c>
      <c r="D10256" t="inlineStr">
        <is>
          <t>VÄSTERNORRLANDS LÄN</t>
        </is>
      </c>
      <c r="E10256" t="inlineStr">
        <is>
          <t>SUNDSVALL</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44072-2023</t>
        </is>
      </c>
      <c r="B10257" s="1" t="n">
        <v>45188</v>
      </c>
      <c r="C10257" s="1" t="n">
        <v>45657</v>
      </c>
      <c r="D10257" t="inlineStr">
        <is>
          <t>VÄSTERNORRLANDS LÄN</t>
        </is>
      </c>
      <c r="E10257" t="inlineStr">
        <is>
          <t>SUNDSVALL</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44037-2023</t>
        </is>
      </c>
      <c r="B10258" s="1" t="n">
        <v>45188</v>
      </c>
      <c r="C10258" s="1" t="n">
        <v>45657</v>
      </c>
      <c r="D10258" t="inlineStr">
        <is>
          <t>VÄSTERNORRLANDS LÄN</t>
        </is>
      </c>
      <c r="E10258" t="inlineStr">
        <is>
          <t>ÖRNSKÖLDSVIK</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44210-2023</t>
        </is>
      </c>
      <c r="B10259" s="1" t="n">
        <v>45188</v>
      </c>
      <c r="C10259" s="1" t="n">
        <v>45657</v>
      </c>
      <c r="D10259" t="inlineStr">
        <is>
          <t>VÄSTERNORRLANDS LÄN</t>
        </is>
      </c>
      <c r="E10259" t="inlineStr">
        <is>
          <t>ÖRNSKÖLDSVIK</t>
        </is>
      </c>
      <c r="F10259" t="inlineStr">
        <is>
          <t>Holmen skog AB</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44013-2023</t>
        </is>
      </c>
      <c r="B10260" s="1" t="n">
        <v>45188</v>
      </c>
      <c r="C10260" s="1" t="n">
        <v>45657</v>
      </c>
      <c r="D10260" t="inlineStr">
        <is>
          <t>VÄSTERNORRLANDS LÄN</t>
        </is>
      </c>
      <c r="E10260" t="inlineStr">
        <is>
          <t>ÅNGE</t>
        </is>
      </c>
      <c r="F10260" t="inlineStr">
        <is>
          <t>Holmen skog AB</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44268-2023</t>
        </is>
      </c>
      <c r="B10261" s="1" t="n">
        <v>45188</v>
      </c>
      <c r="C10261" s="1" t="n">
        <v>45657</v>
      </c>
      <c r="D10261" t="inlineStr">
        <is>
          <t>VÄSTERNORRLANDS LÄN</t>
        </is>
      </c>
      <c r="E10261" t="inlineStr">
        <is>
          <t>ÅNGE</t>
        </is>
      </c>
      <c r="F10261" t="inlineStr">
        <is>
          <t>Holmen skog AB</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44272-2023</t>
        </is>
      </c>
      <c r="B10262" s="1" t="n">
        <v>45188</v>
      </c>
      <c r="C10262" s="1" t="n">
        <v>45657</v>
      </c>
      <c r="D10262" t="inlineStr">
        <is>
          <t>VÄSTERNORRLANDS LÄN</t>
        </is>
      </c>
      <c r="E10262" t="inlineStr">
        <is>
          <t>SUNDSVALL</t>
        </is>
      </c>
      <c r="F10262" t="inlineStr">
        <is>
          <t>Holmen skog AB</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44288-2023</t>
        </is>
      </c>
      <c r="B10263" s="1" t="n">
        <v>45188</v>
      </c>
      <c r="C10263" s="1" t="n">
        <v>45657</v>
      </c>
      <c r="D10263" t="inlineStr">
        <is>
          <t>VÄSTERNORRLANDS LÄN</t>
        </is>
      </c>
      <c r="E10263" t="inlineStr">
        <is>
          <t>ÖRNSKÖLDSVIK</t>
        </is>
      </c>
      <c r="F10263" t="inlineStr">
        <is>
          <t>Holmen skog AB</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44165-2023</t>
        </is>
      </c>
      <c r="B10264" s="1" t="n">
        <v>45188</v>
      </c>
      <c r="C10264" s="1" t="n">
        <v>45657</v>
      </c>
      <c r="D10264" t="inlineStr">
        <is>
          <t>VÄSTERNORRLANDS LÄN</t>
        </is>
      </c>
      <c r="E10264" t="inlineStr">
        <is>
          <t>ÖRNSKÖLDSVIK</t>
        </is>
      </c>
      <c r="F10264" t="inlineStr">
        <is>
          <t>Holmen skog AB</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44236-2023</t>
        </is>
      </c>
      <c r="B10265" s="1" t="n">
        <v>45188</v>
      </c>
      <c r="C10265" s="1" t="n">
        <v>45657</v>
      </c>
      <c r="D10265" t="inlineStr">
        <is>
          <t>VÄSTERNORRLANDS LÄN</t>
        </is>
      </c>
      <c r="E10265" t="inlineStr">
        <is>
          <t>ÖRNSKÖLDSVIK</t>
        </is>
      </c>
      <c r="F10265" t="inlineStr">
        <is>
          <t>Holmen skog AB</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44258-2023</t>
        </is>
      </c>
      <c r="B10266" s="1" t="n">
        <v>45188</v>
      </c>
      <c r="C10266" s="1" t="n">
        <v>45657</v>
      </c>
      <c r="D10266" t="inlineStr">
        <is>
          <t>VÄSTERNORRLANDS LÄN</t>
        </is>
      </c>
      <c r="E10266" t="inlineStr">
        <is>
          <t>ÖRNSKÖLDSVIK</t>
        </is>
      </c>
      <c r="F10266" t="inlineStr">
        <is>
          <t>Holmen skog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44275-2023</t>
        </is>
      </c>
      <c r="B10267" s="1" t="n">
        <v>45188</v>
      </c>
      <c r="C10267" s="1" t="n">
        <v>45657</v>
      </c>
      <c r="D10267" t="inlineStr">
        <is>
          <t>VÄSTERNORRLANDS LÄN</t>
        </is>
      </c>
      <c r="E10267" t="inlineStr">
        <is>
          <t>ÖRNSKÖLDSVIK</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44160-2023</t>
        </is>
      </c>
      <c r="B10268" s="1" t="n">
        <v>45188</v>
      </c>
      <c r="C10268" s="1" t="n">
        <v>45657</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44202-2023</t>
        </is>
      </c>
      <c r="B10269" s="1" t="n">
        <v>45188</v>
      </c>
      <c r="C10269" s="1" t="n">
        <v>45657</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44389-2023</t>
        </is>
      </c>
      <c r="B10270" s="1" t="n">
        <v>45189</v>
      </c>
      <c r="C10270" s="1" t="n">
        <v>45657</v>
      </c>
      <c r="D10270" t="inlineStr">
        <is>
          <t>VÄSTERNORRLANDS LÄN</t>
        </is>
      </c>
      <c r="E10270" t="inlineStr">
        <is>
          <t>SOLLEFTEÅ</t>
        </is>
      </c>
      <c r="F10270" t="inlineStr">
        <is>
          <t>SCA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44393-2023</t>
        </is>
      </c>
      <c r="B10271" s="1" t="n">
        <v>45189</v>
      </c>
      <c r="C10271" s="1" t="n">
        <v>45657</v>
      </c>
      <c r="D10271" t="inlineStr">
        <is>
          <t>VÄSTERNORRLANDS LÄN</t>
        </is>
      </c>
      <c r="E10271" t="inlineStr">
        <is>
          <t>SOLLEFTEÅ</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44397-2023</t>
        </is>
      </c>
      <c r="B10272" s="1" t="n">
        <v>45188</v>
      </c>
      <c r="C10272" s="1" t="n">
        <v>45657</v>
      </c>
      <c r="D10272" t="inlineStr">
        <is>
          <t>VÄSTERNORRLANDS LÄN</t>
        </is>
      </c>
      <c r="E10272" t="inlineStr">
        <is>
          <t>HÄRNÖSAND</t>
        </is>
      </c>
      <c r="F10272" t="inlineStr">
        <is>
          <t>SCA</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44405-2023</t>
        </is>
      </c>
      <c r="B10273" s="1" t="n">
        <v>45188</v>
      </c>
      <c r="C10273" s="1" t="n">
        <v>45657</v>
      </c>
      <c r="D10273" t="inlineStr">
        <is>
          <t>VÄSTERNORRLANDS LÄN</t>
        </is>
      </c>
      <c r="E10273" t="inlineStr">
        <is>
          <t>TIMRÅ</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44380-2023</t>
        </is>
      </c>
      <c r="B10274" s="1" t="n">
        <v>45189</v>
      </c>
      <c r="C10274" s="1" t="n">
        <v>45657</v>
      </c>
      <c r="D10274" t="inlineStr">
        <is>
          <t>VÄSTERNORRLANDS LÄN</t>
        </is>
      </c>
      <c r="E10274" t="inlineStr">
        <is>
          <t>KRAMFORS</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44388-2023</t>
        </is>
      </c>
      <c r="B10275" s="1" t="n">
        <v>45189</v>
      </c>
      <c r="C10275" s="1" t="n">
        <v>45657</v>
      </c>
      <c r="D10275" t="inlineStr">
        <is>
          <t>VÄSTERNORRLANDS LÄN</t>
        </is>
      </c>
      <c r="E10275" t="inlineStr">
        <is>
          <t>SOLLEFTEÅ</t>
        </is>
      </c>
      <c r="F10275" t="inlineStr">
        <is>
          <t>SCA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44392-2023</t>
        </is>
      </c>
      <c r="B10276" s="1" t="n">
        <v>45189</v>
      </c>
      <c r="C10276" s="1" t="n">
        <v>45657</v>
      </c>
      <c r="D10276" t="inlineStr">
        <is>
          <t>VÄSTERNORRLANDS LÄN</t>
        </is>
      </c>
      <c r="E10276" t="inlineStr">
        <is>
          <t>SOLLEFTEÅ</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44404-2023</t>
        </is>
      </c>
      <c r="B10277" s="1" t="n">
        <v>45188</v>
      </c>
      <c r="C10277" s="1" t="n">
        <v>45657</v>
      </c>
      <c r="D10277" t="inlineStr">
        <is>
          <t>VÄSTERNORRLANDS LÄN</t>
        </is>
      </c>
      <c r="E10277" t="inlineStr">
        <is>
          <t>TIMRÅ</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44408-2023</t>
        </is>
      </c>
      <c r="B10278" s="1" t="n">
        <v>45189</v>
      </c>
      <c r="C10278" s="1" t="n">
        <v>45657</v>
      </c>
      <c r="D10278" t="inlineStr">
        <is>
          <t>VÄSTERNORRLANDS LÄN</t>
        </is>
      </c>
      <c r="E10278" t="inlineStr">
        <is>
          <t>SOLLEFTEÅ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44348-2023</t>
        </is>
      </c>
      <c r="B10279" s="1" t="n">
        <v>45188</v>
      </c>
      <c r="C10279" s="1" t="n">
        <v>45657</v>
      </c>
      <c r="D10279" t="inlineStr">
        <is>
          <t>VÄSTERNORRLANDS LÄN</t>
        </is>
      </c>
      <c r="E10279" t="inlineStr">
        <is>
          <t>ÖRNSKÖLDSVIK</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45572-2023</t>
        </is>
      </c>
      <c r="B10280" s="1" t="n">
        <v>45188</v>
      </c>
      <c r="C10280" s="1" t="n">
        <v>45657</v>
      </c>
      <c r="D10280" t="inlineStr">
        <is>
          <t>VÄSTERNORRLANDS LÄN</t>
        </is>
      </c>
      <c r="E10280" t="inlineStr">
        <is>
          <t>ÅNGE</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45598-2023</t>
        </is>
      </c>
      <c r="B10281" s="1" t="n">
        <v>45188</v>
      </c>
      <c r="C10281" s="1" t="n">
        <v>45657</v>
      </c>
      <c r="D10281" t="inlineStr">
        <is>
          <t>VÄSTERNORRLANDS LÄN</t>
        </is>
      </c>
      <c r="E10281" t="inlineStr">
        <is>
          <t>ÅNGE</t>
        </is>
      </c>
      <c r="F10281" t="inlineStr">
        <is>
          <t>SCA</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45590-2023</t>
        </is>
      </c>
      <c r="B10282" s="1" t="n">
        <v>45188</v>
      </c>
      <c r="C10282" s="1" t="n">
        <v>45657</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44379-2023</t>
        </is>
      </c>
      <c r="B10283" s="1" t="n">
        <v>45188</v>
      </c>
      <c r="C10283" s="1" t="n">
        <v>45657</v>
      </c>
      <c r="D10283" t="inlineStr">
        <is>
          <t>VÄSTERNORRLANDS LÄN</t>
        </is>
      </c>
      <c r="E10283" t="inlineStr">
        <is>
          <t>TIMRÅ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44383-2023</t>
        </is>
      </c>
      <c r="B10284" s="1" t="n">
        <v>45189</v>
      </c>
      <c r="C10284" s="1" t="n">
        <v>45657</v>
      </c>
      <c r="D10284" t="inlineStr">
        <is>
          <t>VÄSTERNORRLANDS LÄN</t>
        </is>
      </c>
      <c r="E10284" t="inlineStr">
        <is>
          <t>SUNDSVALL</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44391-2023</t>
        </is>
      </c>
      <c r="B10285" s="1" t="n">
        <v>45189</v>
      </c>
      <c r="C10285" s="1" t="n">
        <v>45657</v>
      </c>
      <c r="D10285" t="inlineStr">
        <is>
          <t>VÄSTERNORRLANDS LÄN</t>
        </is>
      </c>
      <c r="E10285" t="inlineStr">
        <is>
          <t>SOLLEFTEÅ</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44395-2023</t>
        </is>
      </c>
      <c r="B10286" s="1" t="n">
        <v>45188</v>
      </c>
      <c r="C10286" s="1" t="n">
        <v>45657</v>
      </c>
      <c r="D10286" t="inlineStr">
        <is>
          <t>VÄSTERNORRLANDS LÄN</t>
        </is>
      </c>
      <c r="E10286" t="inlineStr">
        <is>
          <t>SUNDSVALL</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44407-2023</t>
        </is>
      </c>
      <c r="B10287" s="1" t="n">
        <v>45189</v>
      </c>
      <c r="C10287" s="1" t="n">
        <v>45657</v>
      </c>
      <c r="D10287" t="inlineStr">
        <is>
          <t>VÄSTERNORRLANDS LÄN</t>
        </is>
      </c>
      <c r="E10287" t="inlineStr">
        <is>
          <t>SOLLEFTEÅ</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45644-2023</t>
        </is>
      </c>
      <c r="B10288" s="1" t="n">
        <v>45188</v>
      </c>
      <c r="C10288" s="1" t="n">
        <v>45657</v>
      </c>
      <c r="D10288" t="inlineStr">
        <is>
          <t>VÄSTERNORRLANDS LÄN</t>
        </is>
      </c>
      <c r="E10288" t="inlineStr">
        <is>
          <t>SOLLEFTEÅ</t>
        </is>
      </c>
      <c r="F10288" t="inlineStr">
        <is>
          <t>SCA</t>
        </is>
      </c>
      <c r="G10288" t="n">
        <v>1</v>
      </c>
      <c r="H10288" t="n">
        <v>0</v>
      </c>
      <c r="I10288" t="n">
        <v>0</v>
      </c>
      <c r="J10288" t="n">
        <v>0</v>
      </c>
      <c r="K10288" t="n">
        <v>0</v>
      </c>
      <c r="L10288" t="n">
        <v>0</v>
      </c>
      <c r="M10288" t="n">
        <v>0</v>
      </c>
      <c r="N10288" t="n">
        <v>0</v>
      </c>
      <c r="O10288" t="n">
        <v>0</v>
      </c>
      <c r="P10288" t="n">
        <v>0</v>
      </c>
      <c r="Q10288" t="n">
        <v>0</v>
      </c>
      <c r="R10288" s="2" t="inlineStr"/>
      <c r="U10288">
        <f>HYPERLINK("https://klasma.github.io/Logging_2283/knärot/A 45644-2023 karta knärot.png", "A 45644-2023")</f>
        <v/>
      </c>
      <c r="V10288">
        <f>HYPERLINK("https://klasma.github.io/Logging_2283/klagomål/A 45644-2023 FSC-klagomål.docx", "A 45644-2023")</f>
        <v/>
      </c>
      <c r="W10288">
        <f>HYPERLINK("https://klasma.github.io/Logging_2283/klagomålsmail/A 45644-2023 FSC-klagomål mail.docx", "A 45644-2023")</f>
        <v/>
      </c>
      <c r="X10288">
        <f>HYPERLINK("https://klasma.github.io/Logging_2283/tillsyn/A 45644-2023 tillsynsbegäran.docx", "A 45644-2023")</f>
        <v/>
      </c>
      <c r="Y10288">
        <f>HYPERLINK("https://klasma.github.io/Logging_2283/tillsynsmail/A 45644-2023 tillsynsbegäran mail.docx", "A 45644-2023")</f>
        <v/>
      </c>
    </row>
    <row r="10289" ht="15" customHeight="1">
      <c r="A10289" t="inlineStr">
        <is>
          <t>A 44378-2023</t>
        </is>
      </c>
      <c r="B10289" s="1" t="n">
        <v>45189</v>
      </c>
      <c r="C10289" s="1" t="n">
        <v>45657</v>
      </c>
      <c r="D10289" t="inlineStr">
        <is>
          <t>VÄSTERNORRLANDS LÄN</t>
        </is>
      </c>
      <c r="E10289" t="inlineStr">
        <is>
          <t>TIMRÅ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44394-2023</t>
        </is>
      </c>
      <c r="B10290" s="1" t="n">
        <v>45188</v>
      </c>
      <c r="C10290" s="1" t="n">
        <v>45657</v>
      </c>
      <c r="D10290" t="inlineStr">
        <is>
          <t>VÄSTERNORRLANDS LÄN</t>
        </is>
      </c>
      <c r="E10290" t="inlineStr">
        <is>
          <t>SUNDSVALL</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44410-2023</t>
        </is>
      </c>
      <c r="B10291" s="1" t="n">
        <v>45189</v>
      </c>
      <c r="C10291" s="1" t="n">
        <v>45657</v>
      </c>
      <c r="D10291" t="inlineStr">
        <is>
          <t>VÄSTERNORRLANDS LÄN</t>
        </is>
      </c>
      <c r="E10291" t="inlineStr">
        <is>
          <t>SOLLEFTEÅ</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44500-2023</t>
        </is>
      </c>
      <c r="B10292" s="1" t="n">
        <v>45189</v>
      </c>
      <c r="C10292" s="1" t="n">
        <v>45657</v>
      </c>
      <c r="D10292" t="inlineStr">
        <is>
          <t>VÄSTERNORRLANDS LÄN</t>
        </is>
      </c>
      <c r="E10292" t="inlineStr">
        <is>
          <t>ÖRNSKÖLDSVIK</t>
        </is>
      </c>
      <c r="F10292" t="inlineStr">
        <is>
          <t>Holmen skog AB</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44522-2023</t>
        </is>
      </c>
      <c r="B10293" s="1" t="n">
        <v>45189</v>
      </c>
      <c r="C10293" s="1" t="n">
        <v>45657</v>
      </c>
      <c r="D10293" t="inlineStr">
        <is>
          <t>VÄSTERNORRLANDS LÄN</t>
        </is>
      </c>
      <c r="E10293" t="inlineStr">
        <is>
          <t>ÖRNSKÖLDSVIK</t>
        </is>
      </c>
      <c r="G10293" t="n">
        <v>22.6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44574-2023</t>
        </is>
      </c>
      <c r="B10294" s="1" t="n">
        <v>45189</v>
      </c>
      <c r="C10294" s="1" t="n">
        <v>45657</v>
      </c>
      <c r="D10294" t="inlineStr">
        <is>
          <t>VÄSTERNORRLANDS LÄN</t>
        </is>
      </c>
      <c r="E10294" t="inlineStr">
        <is>
          <t>ÖRNSKÖLDSVIK</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44685-2023</t>
        </is>
      </c>
      <c r="B10295" s="1" t="n">
        <v>45189</v>
      </c>
      <c r="C10295" s="1" t="n">
        <v>45657</v>
      </c>
      <c r="D10295" t="inlineStr">
        <is>
          <t>VÄSTERNORRLANDS LÄN</t>
        </is>
      </c>
      <c r="E10295" t="inlineStr">
        <is>
          <t>KRAMFORS</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44525-2023</t>
        </is>
      </c>
      <c r="B10296" s="1" t="n">
        <v>45189</v>
      </c>
      <c r="C10296" s="1" t="n">
        <v>45657</v>
      </c>
      <c r="D10296" t="inlineStr">
        <is>
          <t>VÄSTERNORRLANDS LÄN</t>
        </is>
      </c>
      <c r="E10296" t="inlineStr">
        <is>
          <t>ÖRNSKÖLDSVIK</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45704-2023</t>
        </is>
      </c>
      <c r="B10297" s="1" t="n">
        <v>45189</v>
      </c>
      <c r="C10297" s="1" t="n">
        <v>45657</v>
      </c>
      <c r="D10297" t="inlineStr">
        <is>
          <t>VÄSTERNORRLANDS LÄN</t>
        </is>
      </c>
      <c r="E10297" t="inlineStr">
        <is>
          <t>ÖRNSKÖLDSVIK</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45735-2023</t>
        </is>
      </c>
      <c r="B10298" s="1" t="n">
        <v>45189</v>
      </c>
      <c r="C10298" s="1" t="n">
        <v>45657</v>
      </c>
      <c r="D10298" t="inlineStr">
        <is>
          <t>VÄSTERNORRLANDS LÄN</t>
        </is>
      </c>
      <c r="E10298" t="inlineStr">
        <is>
          <t>HÄRNÖSAND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45784-2023</t>
        </is>
      </c>
      <c r="B10299" s="1" t="n">
        <v>45189</v>
      </c>
      <c r="C10299" s="1" t="n">
        <v>45657</v>
      </c>
      <c r="D10299" t="inlineStr">
        <is>
          <t>VÄSTERNORRLANDS LÄN</t>
        </is>
      </c>
      <c r="E10299" t="inlineStr">
        <is>
          <t>ÖRNSKÖLDSVIK</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45815-2023</t>
        </is>
      </c>
      <c r="B10300" s="1" t="n">
        <v>45189</v>
      </c>
      <c r="C10300" s="1" t="n">
        <v>45657</v>
      </c>
      <c r="D10300" t="inlineStr">
        <is>
          <t>VÄSTERNORRLANDS LÄN</t>
        </is>
      </c>
      <c r="E10300" t="inlineStr">
        <is>
          <t>ÖRNSKÖLDSVIK</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45824-2023</t>
        </is>
      </c>
      <c r="B10301" s="1" t="n">
        <v>45189</v>
      </c>
      <c r="C10301" s="1" t="n">
        <v>45657</v>
      </c>
      <c r="D10301" t="inlineStr">
        <is>
          <t>VÄSTERNORRLANDS LÄN</t>
        </is>
      </c>
      <c r="E10301" t="inlineStr">
        <is>
          <t>ÖRNSKÖLDSVIK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44615-2023</t>
        </is>
      </c>
      <c r="B10302" s="1" t="n">
        <v>45189</v>
      </c>
      <c r="C10302" s="1" t="n">
        <v>45657</v>
      </c>
      <c r="D10302" t="inlineStr">
        <is>
          <t>VÄSTERNORRLANDS LÄN</t>
        </is>
      </c>
      <c r="E10302" t="inlineStr">
        <is>
          <t>KRAMFORS</t>
        </is>
      </c>
      <c r="G10302" t="n">
        <v>10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44492-2023</t>
        </is>
      </c>
      <c r="B10303" s="1" t="n">
        <v>45189</v>
      </c>
      <c r="C10303" s="1" t="n">
        <v>45657</v>
      </c>
      <c r="D10303" t="inlineStr">
        <is>
          <t>VÄSTERNORRLANDS LÄN</t>
        </is>
      </c>
      <c r="E10303" t="inlineStr">
        <is>
          <t>ÖRNSKÖLDSVIK</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44498-2023</t>
        </is>
      </c>
      <c r="B10304" s="1" t="n">
        <v>45189</v>
      </c>
      <c r="C10304" s="1" t="n">
        <v>45657</v>
      </c>
      <c r="D10304" t="inlineStr">
        <is>
          <t>VÄSTERNORRLANDS LÄN</t>
        </is>
      </c>
      <c r="E10304" t="inlineStr">
        <is>
          <t>ÖRNSKÖLDSVIK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44688-2023</t>
        </is>
      </c>
      <c r="B10305" s="1" t="n">
        <v>45190</v>
      </c>
      <c r="C10305" s="1" t="n">
        <v>45657</v>
      </c>
      <c r="D10305" t="inlineStr">
        <is>
          <t>VÄSTERNORRLANDS LÄN</t>
        </is>
      </c>
      <c r="E10305" t="inlineStr">
        <is>
          <t>SUNDSVALL</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44905-2023</t>
        </is>
      </c>
      <c r="B10306" s="1" t="n">
        <v>45189</v>
      </c>
      <c r="C10306" s="1" t="n">
        <v>45657</v>
      </c>
      <c r="D10306" t="inlineStr">
        <is>
          <t>VÄSTERNORRLANDS LÄN</t>
        </is>
      </c>
      <c r="E10306" t="inlineStr">
        <is>
          <t>SOLLEFTEÅ</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44591-2023</t>
        </is>
      </c>
      <c r="B10307" s="1" t="n">
        <v>45189</v>
      </c>
      <c r="C10307" s="1" t="n">
        <v>45657</v>
      </c>
      <c r="D10307" t="inlineStr">
        <is>
          <t>VÄSTERNORRLANDS LÄN</t>
        </is>
      </c>
      <c r="E10307" t="inlineStr">
        <is>
          <t>ÖRNSKÖLDSVIK</t>
        </is>
      </c>
      <c r="F10307" t="inlineStr">
        <is>
          <t>Holmen skog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45774-2023</t>
        </is>
      </c>
      <c r="B10308" s="1" t="n">
        <v>45189</v>
      </c>
      <c r="C10308" s="1" t="n">
        <v>45657</v>
      </c>
      <c r="D10308" t="inlineStr">
        <is>
          <t>VÄSTERNORRLANDS LÄN</t>
        </is>
      </c>
      <c r="E10308" t="inlineStr">
        <is>
          <t>TIMRÅ</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45820-2023</t>
        </is>
      </c>
      <c r="B10309" s="1" t="n">
        <v>45189</v>
      </c>
      <c r="C10309" s="1" t="n">
        <v>45657</v>
      </c>
      <c r="D10309" t="inlineStr">
        <is>
          <t>VÄSTERNORRLANDS LÄN</t>
        </is>
      </c>
      <c r="E10309" t="inlineStr">
        <is>
          <t>ÖRNSKÖLDSVIK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44687-2023</t>
        </is>
      </c>
      <c r="B10310" s="1" t="n">
        <v>45189</v>
      </c>
      <c r="C10310" s="1" t="n">
        <v>45657</v>
      </c>
      <c r="D10310" t="inlineStr">
        <is>
          <t>VÄSTERNORRLANDS LÄN</t>
        </is>
      </c>
      <c r="E10310" t="inlineStr">
        <is>
          <t>ÖRNSKÖLDSVIK</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45715-2023</t>
        </is>
      </c>
      <c r="B10311" s="1" t="n">
        <v>45189</v>
      </c>
      <c r="C10311" s="1" t="n">
        <v>45657</v>
      </c>
      <c r="D10311" t="inlineStr">
        <is>
          <t>VÄSTERNORRLANDS LÄN</t>
        </is>
      </c>
      <c r="E10311" t="inlineStr">
        <is>
          <t>ÖRNSKÖLDSVIK</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45773-2023</t>
        </is>
      </c>
      <c r="B10312" s="1" t="n">
        <v>45189</v>
      </c>
      <c r="C10312" s="1" t="n">
        <v>45657</v>
      </c>
      <c r="D10312" t="inlineStr">
        <is>
          <t>VÄSTERNORRLANDS LÄN</t>
        </is>
      </c>
      <c r="E10312" t="inlineStr">
        <is>
          <t>ÖRNSKÖLDSVIK</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44707-2023</t>
        </is>
      </c>
      <c r="B10313" s="1" t="n">
        <v>45190</v>
      </c>
      <c r="C10313" s="1" t="n">
        <v>45657</v>
      </c>
      <c r="D10313" t="inlineStr">
        <is>
          <t>VÄSTERNORRLANDS LÄN</t>
        </is>
      </c>
      <c r="E10313" t="inlineStr">
        <is>
          <t>KRAMFORS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44727-2023</t>
        </is>
      </c>
      <c r="B10314" s="1" t="n">
        <v>45190</v>
      </c>
      <c r="C10314" s="1" t="n">
        <v>45657</v>
      </c>
      <c r="D10314" t="inlineStr">
        <is>
          <t>VÄSTERNORRLANDS LÄN</t>
        </is>
      </c>
      <c r="E10314" t="inlineStr">
        <is>
          <t>ÖRNSKÖLDSVIK</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44726-2023</t>
        </is>
      </c>
      <c r="B10315" s="1" t="n">
        <v>45190</v>
      </c>
      <c r="C10315" s="1" t="n">
        <v>45657</v>
      </c>
      <c r="D10315" t="inlineStr">
        <is>
          <t>VÄSTERNORRLANDS LÄN</t>
        </is>
      </c>
      <c r="E10315" t="inlineStr">
        <is>
          <t>ÖRNSKÖLDSVIK</t>
        </is>
      </c>
      <c r="G10315" t="n">
        <v>15.9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44772-2023</t>
        </is>
      </c>
      <c r="B10316" s="1" t="n">
        <v>45190</v>
      </c>
      <c r="C10316" s="1" t="n">
        <v>45657</v>
      </c>
      <c r="D10316" t="inlineStr">
        <is>
          <t>VÄSTERNORRLANDS LÄN</t>
        </is>
      </c>
      <c r="E10316" t="inlineStr">
        <is>
          <t>SUNDSVALL</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44781-2023</t>
        </is>
      </c>
      <c r="B10317" s="1" t="n">
        <v>45190</v>
      </c>
      <c r="C10317" s="1" t="n">
        <v>45657</v>
      </c>
      <c r="D10317" t="inlineStr">
        <is>
          <t>VÄSTERNORRLANDS LÄN</t>
        </is>
      </c>
      <c r="E10317" t="inlineStr">
        <is>
          <t>SOLLEFTEÅ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44861-2023</t>
        </is>
      </c>
      <c r="B10318" s="1" t="n">
        <v>45190</v>
      </c>
      <c r="C10318" s="1" t="n">
        <v>45657</v>
      </c>
      <c r="D10318" t="inlineStr">
        <is>
          <t>VÄSTERNORRLANDS LÄN</t>
        </is>
      </c>
      <c r="E10318" t="inlineStr">
        <is>
          <t>ÖRNSKÖLDSVIK</t>
        </is>
      </c>
      <c r="F10318" t="inlineStr">
        <is>
          <t>Holmen skog AB</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44873-2023</t>
        </is>
      </c>
      <c r="B10319" s="1" t="n">
        <v>45190</v>
      </c>
      <c r="C10319" s="1" t="n">
        <v>45657</v>
      </c>
      <c r="D10319" t="inlineStr">
        <is>
          <t>VÄSTERNORRLANDS LÄN</t>
        </is>
      </c>
      <c r="E10319" t="inlineStr">
        <is>
          <t>ÖRNSKÖLDSVIK</t>
        </is>
      </c>
      <c r="F10319" t="inlineStr">
        <is>
          <t>Holmen skog AB</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44966-2023</t>
        </is>
      </c>
      <c r="B10320" s="1" t="n">
        <v>45191</v>
      </c>
      <c r="C10320" s="1" t="n">
        <v>45657</v>
      </c>
      <c r="D10320" t="inlineStr">
        <is>
          <t>VÄSTERNORRLANDS LÄN</t>
        </is>
      </c>
      <c r="E10320" t="inlineStr">
        <is>
          <t>SUNDSVALL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44971-2023</t>
        </is>
      </c>
      <c r="B10321" s="1" t="n">
        <v>45190</v>
      </c>
      <c r="C10321" s="1" t="n">
        <v>45657</v>
      </c>
      <c r="D10321" t="inlineStr">
        <is>
          <t>VÄSTERNORRLANDS LÄN</t>
        </is>
      </c>
      <c r="E10321" t="inlineStr">
        <is>
          <t>KRAMFORS</t>
        </is>
      </c>
      <c r="G10321" t="n">
        <v>12.8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44975-2023</t>
        </is>
      </c>
      <c r="B10322" s="1" t="n">
        <v>45191</v>
      </c>
      <c r="C10322" s="1" t="n">
        <v>45657</v>
      </c>
      <c r="D10322" t="inlineStr">
        <is>
          <t>VÄSTERNORRLANDS LÄN</t>
        </is>
      </c>
      <c r="E10322" t="inlineStr">
        <is>
          <t>SUNDSVALL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44979-2023</t>
        </is>
      </c>
      <c r="B10323" s="1" t="n">
        <v>45191</v>
      </c>
      <c r="C10323" s="1" t="n">
        <v>45657</v>
      </c>
      <c r="D10323" t="inlineStr">
        <is>
          <t>VÄSTERNORRLANDS LÄN</t>
        </is>
      </c>
      <c r="E10323" t="inlineStr">
        <is>
          <t>ÅNGE</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44991-2023</t>
        </is>
      </c>
      <c r="B10324" s="1" t="n">
        <v>45190</v>
      </c>
      <c r="C10324" s="1" t="n">
        <v>45657</v>
      </c>
      <c r="D10324" t="inlineStr">
        <is>
          <t>VÄSTERNORRLANDS LÄN</t>
        </is>
      </c>
      <c r="E10324" t="inlineStr">
        <is>
          <t>TIMRÅ</t>
        </is>
      </c>
      <c r="F10324" t="inlineStr">
        <is>
          <t>SCA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45007-2023</t>
        </is>
      </c>
      <c r="B10325" s="1" t="n">
        <v>45190</v>
      </c>
      <c r="C10325" s="1" t="n">
        <v>45657</v>
      </c>
      <c r="D10325" t="inlineStr">
        <is>
          <t>VÄSTERNORRLANDS LÄN</t>
        </is>
      </c>
      <c r="E10325" t="inlineStr">
        <is>
          <t>SOLLEFTEÅ</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45015-2023</t>
        </is>
      </c>
      <c r="B10326" s="1" t="n">
        <v>45191</v>
      </c>
      <c r="C10326" s="1" t="n">
        <v>45657</v>
      </c>
      <c r="D10326" t="inlineStr">
        <is>
          <t>VÄSTERNORRLANDS LÄN</t>
        </is>
      </c>
      <c r="E10326" t="inlineStr">
        <is>
          <t>SOLLEFTEÅ</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45023-2023</t>
        </is>
      </c>
      <c r="B10327" s="1" t="n">
        <v>45191</v>
      </c>
      <c r="C10327" s="1" t="n">
        <v>45657</v>
      </c>
      <c r="D10327" t="inlineStr">
        <is>
          <t>VÄSTERNORRLANDS LÄN</t>
        </is>
      </c>
      <c r="E10327" t="inlineStr">
        <is>
          <t>SUNDSVALL</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45027-2023</t>
        </is>
      </c>
      <c r="B10328" s="1" t="n">
        <v>45191</v>
      </c>
      <c r="C10328" s="1" t="n">
        <v>45657</v>
      </c>
      <c r="D10328" t="inlineStr">
        <is>
          <t>VÄSTERNORRLANDS LÄN</t>
        </is>
      </c>
      <c r="E10328" t="inlineStr">
        <is>
          <t>ÅNGE</t>
        </is>
      </c>
      <c r="F10328" t="inlineStr">
        <is>
          <t>SCA</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44984-2023</t>
        </is>
      </c>
      <c r="B10329" s="1" t="n">
        <v>45191</v>
      </c>
      <c r="C10329" s="1" t="n">
        <v>45657</v>
      </c>
      <c r="D10329" t="inlineStr">
        <is>
          <t>VÄSTERNORRLANDS LÄN</t>
        </is>
      </c>
      <c r="E10329" t="inlineStr">
        <is>
          <t>SOLLEFTEÅ</t>
        </is>
      </c>
      <c r="F10329" t="inlineStr">
        <is>
          <t>SCA</t>
        </is>
      </c>
      <c r="G10329" t="n">
        <v>8.1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45000-2023</t>
        </is>
      </c>
      <c r="B10330" s="1" t="n">
        <v>45191</v>
      </c>
      <c r="C10330" s="1" t="n">
        <v>45657</v>
      </c>
      <c r="D10330" t="inlineStr">
        <is>
          <t>VÄSTERNORRLANDS LÄN</t>
        </is>
      </c>
      <c r="E10330" t="inlineStr">
        <is>
          <t>SUNDSVALL</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45004-2023</t>
        </is>
      </c>
      <c r="B10331" s="1" t="n">
        <v>45190</v>
      </c>
      <c r="C10331" s="1" t="n">
        <v>45657</v>
      </c>
      <c r="D10331" t="inlineStr">
        <is>
          <t>VÄSTERNORRLANDS LÄN</t>
        </is>
      </c>
      <c r="E10331" t="inlineStr">
        <is>
          <t>KRAMFORS</t>
        </is>
      </c>
      <c r="F10331" t="inlineStr">
        <is>
          <t>SCA</t>
        </is>
      </c>
      <c r="G10331" t="n">
        <v>15.1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45016-2023</t>
        </is>
      </c>
      <c r="B10332" s="1" t="n">
        <v>45191</v>
      </c>
      <c r="C10332" s="1" t="n">
        <v>45657</v>
      </c>
      <c r="D10332" t="inlineStr">
        <is>
          <t>VÄSTERNORRLANDS LÄN</t>
        </is>
      </c>
      <c r="E10332" t="inlineStr">
        <is>
          <t>SOLLEFTEÅ</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44945-2023</t>
        </is>
      </c>
      <c r="B10333" s="1" t="n">
        <v>45190</v>
      </c>
      <c r="C10333" s="1" t="n">
        <v>45657</v>
      </c>
      <c r="D10333" t="inlineStr">
        <is>
          <t>VÄSTERNORRLANDS LÄN</t>
        </is>
      </c>
      <c r="E10333" t="inlineStr">
        <is>
          <t>ÖRNSKÖLDSVIK</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44965-2023</t>
        </is>
      </c>
      <c r="B10334" s="1" t="n">
        <v>45190</v>
      </c>
      <c r="C10334" s="1" t="n">
        <v>45657</v>
      </c>
      <c r="D10334" t="inlineStr">
        <is>
          <t>VÄSTERNORRLANDS LÄN</t>
        </is>
      </c>
      <c r="E10334" t="inlineStr">
        <is>
          <t>SUNDSVALL</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44970-2023</t>
        </is>
      </c>
      <c r="B10335" s="1" t="n">
        <v>45191</v>
      </c>
      <c r="C10335" s="1" t="n">
        <v>45657</v>
      </c>
      <c r="D10335" t="inlineStr">
        <is>
          <t>VÄSTERNORRLANDS LÄN</t>
        </is>
      </c>
      <c r="E10335" t="inlineStr">
        <is>
          <t>KRAMFORS</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44974-2023</t>
        </is>
      </c>
      <c r="B10336" s="1" t="n">
        <v>45191</v>
      </c>
      <c r="C10336" s="1" t="n">
        <v>45657</v>
      </c>
      <c r="D10336" t="inlineStr">
        <is>
          <t>VÄSTERNORRLANDS LÄN</t>
        </is>
      </c>
      <c r="E10336" t="inlineStr">
        <is>
          <t>KRAMFORS</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44986-2023</t>
        </is>
      </c>
      <c r="B10337" s="1" t="n">
        <v>45190</v>
      </c>
      <c r="C10337" s="1" t="n">
        <v>45657</v>
      </c>
      <c r="D10337" t="inlineStr">
        <is>
          <t>VÄSTERNORRLANDS LÄN</t>
        </is>
      </c>
      <c r="E10337" t="inlineStr">
        <is>
          <t>SOLLEFTEÅ</t>
        </is>
      </c>
      <c r="F10337" t="inlineStr">
        <is>
          <t>SCA</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44990-2023</t>
        </is>
      </c>
      <c r="B10338" s="1" t="n">
        <v>45190</v>
      </c>
      <c r="C10338" s="1" t="n">
        <v>45657</v>
      </c>
      <c r="D10338" t="inlineStr">
        <is>
          <t>VÄSTERNORRLANDS LÄN</t>
        </is>
      </c>
      <c r="E10338" t="inlineStr">
        <is>
          <t>TIMRÅ</t>
        </is>
      </c>
      <c r="F10338" t="inlineStr">
        <is>
          <t>SCA</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44994-2023</t>
        </is>
      </c>
      <c r="B10339" s="1" t="n">
        <v>45190</v>
      </c>
      <c r="C10339" s="1" t="n">
        <v>45657</v>
      </c>
      <c r="D10339" t="inlineStr">
        <is>
          <t>VÄSTERNORRLANDS LÄN</t>
        </is>
      </c>
      <c r="E10339" t="inlineStr">
        <is>
          <t>SOLLEFTEÅ</t>
        </is>
      </c>
      <c r="F10339" t="inlineStr">
        <is>
          <t>SCA</t>
        </is>
      </c>
      <c r="G10339" t="n">
        <v>26.8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44998-2023</t>
        </is>
      </c>
      <c r="B10340" s="1" t="n">
        <v>45191</v>
      </c>
      <c r="C10340" s="1" t="n">
        <v>45657</v>
      </c>
      <c r="D10340" t="inlineStr">
        <is>
          <t>VÄSTERNORRLANDS LÄN</t>
        </is>
      </c>
      <c r="E10340" t="inlineStr">
        <is>
          <t>SOLLEFTEÅ</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45014-2023</t>
        </is>
      </c>
      <c r="B10341" s="1" t="n">
        <v>45191</v>
      </c>
      <c r="C10341" s="1" t="n">
        <v>45657</v>
      </c>
      <c r="D10341" t="inlineStr">
        <is>
          <t>VÄSTERNORRLANDS LÄN</t>
        </is>
      </c>
      <c r="E10341" t="inlineStr">
        <is>
          <t>SOLLEFTEÅ</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45001-2023</t>
        </is>
      </c>
      <c r="B10342" s="1" t="n">
        <v>45191</v>
      </c>
      <c r="C10342" s="1" t="n">
        <v>45657</v>
      </c>
      <c r="D10342" t="inlineStr">
        <is>
          <t>VÄSTERNORRLANDS LÄN</t>
        </is>
      </c>
      <c r="E10342" t="inlineStr">
        <is>
          <t>SUNDSVALL</t>
        </is>
      </c>
      <c r="F10342" t="inlineStr">
        <is>
          <t>SCA</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45017-2023</t>
        </is>
      </c>
      <c r="B10343" s="1" t="n">
        <v>45190</v>
      </c>
      <c r="C10343" s="1" t="n">
        <v>45657</v>
      </c>
      <c r="D10343" t="inlineStr">
        <is>
          <t>VÄSTERNORRLANDS LÄN</t>
        </is>
      </c>
      <c r="E10343" t="inlineStr">
        <is>
          <t>SOLLEFTEÅ</t>
        </is>
      </c>
      <c r="F10343" t="inlineStr">
        <is>
          <t>SCA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45024-2023</t>
        </is>
      </c>
      <c r="B10344" s="1" t="n">
        <v>45191</v>
      </c>
      <c r="C10344" s="1" t="n">
        <v>45657</v>
      </c>
      <c r="D10344" t="inlineStr">
        <is>
          <t>VÄSTERNORRLANDS LÄN</t>
        </is>
      </c>
      <c r="E10344" t="inlineStr">
        <is>
          <t>SUNDSVALL</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46166-2023</t>
        </is>
      </c>
      <c r="B10345" s="1" t="n">
        <v>45190</v>
      </c>
      <c r="C10345" s="1" t="n">
        <v>45657</v>
      </c>
      <c r="D10345" t="inlineStr">
        <is>
          <t>VÄSTERNORRLANDS LÄN</t>
        </is>
      </c>
      <c r="E10345" t="inlineStr">
        <is>
          <t>KRAMFORS</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46212-2023</t>
        </is>
      </c>
      <c r="B10346" s="1" t="n">
        <v>45190</v>
      </c>
      <c r="C10346" s="1" t="n">
        <v>45657</v>
      </c>
      <c r="D10346" t="inlineStr">
        <is>
          <t>VÄSTERNORRLANDS LÄN</t>
        </is>
      </c>
      <c r="E10346" t="inlineStr">
        <is>
          <t>SOLLEFTEÅ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45025-2023</t>
        </is>
      </c>
      <c r="B10347" s="1" t="n">
        <v>45191</v>
      </c>
      <c r="C10347" s="1" t="n">
        <v>45657</v>
      </c>
      <c r="D10347" t="inlineStr">
        <is>
          <t>VÄSTERNORRLANDS LÄN</t>
        </is>
      </c>
      <c r="E10347" t="inlineStr">
        <is>
          <t>SUNDSVALL</t>
        </is>
      </c>
      <c r="F10347" t="inlineStr">
        <is>
          <t>SCA</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46207-2023</t>
        </is>
      </c>
      <c r="B10348" s="1" t="n">
        <v>45190</v>
      </c>
      <c r="C10348" s="1" t="n">
        <v>45657</v>
      </c>
      <c r="D10348" t="inlineStr">
        <is>
          <t>VÄSTERNORRLANDS LÄN</t>
        </is>
      </c>
      <c r="E10348" t="inlineStr">
        <is>
          <t>SOLLEFTEÅ</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46175-2023</t>
        </is>
      </c>
      <c r="B10349" s="1" t="n">
        <v>45190</v>
      </c>
      <c r="C10349" s="1" t="n">
        <v>45657</v>
      </c>
      <c r="D10349" t="inlineStr">
        <is>
          <t>VÄSTERNORRLANDS LÄN</t>
        </is>
      </c>
      <c r="E10349" t="inlineStr">
        <is>
          <t>KRAMFORS</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45062-2023</t>
        </is>
      </c>
      <c r="B10350" s="1" t="n">
        <v>45191</v>
      </c>
      <c r="C10350" s="1" t="n">
        <v>45657</v>
      </c>
      <c r="D10350" t="inlineStr">
        <is>
          <t>VÄSTERNORRLANDS LÄN</t>
        </is>
      </c>
      <c r="E10350" t="inlineStr">
        <is>
          <t>SUNDSVALL</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45067-2023</t>
        </is>
      </c>
      <c r="B10351" s="1" t="n">
        <v>45191</v>
      </c>
      <c r="C10351" s="1" t="n">
        <v>45657</v>
      </c>
      <c r="D10351" t="inlineStr">
        <is>
          <t>VÄSTERNORRLANDS LÄN</t>
        </is>
      </c>
      <c r="E10351" t="inlineStr">
        <is>
          <t>ÖRNSKÖLDSVIK</t>
        </is>
      </c>
      <c r="F10351" t="inlineStr">
        <is>
          <t>Holmen skog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45150-2023</t>
        </is>
      </c>
      <c r="B10352" s="1" t="n">
        <v>45191</v>
      </c>
      <c r="C10352" s="1" t="n">
        <v>45657</v>
      </c>
      <c r="D10352" t="inlineStr">
        <is>
          <t>VÄSTERNORRLANDS LÄN</t>
        </is>
      </c>
      <c r="E10352" t="inlineStr">
        <is>
          <t>SUNDSVALL</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45105-2023</t>
        </is>
      </c>
      <c r="B10353" s="1" t="n">
        <v>45191</v>
      </c>
      <c r="C10353" s="1" t="n">
        <v>45657</v>
      </c>
      <c r="D10353" t="inlineStr">
        <is>
          <t>VÄSTERNORRLANDS LÄN</t>
        </is>
      </c>
      <c r="E10353" t="inlineStr">
        <is>
          <t>ÖRNSKÖLDSVIK</t>
        </is>
      </c>
      <c r="F10353" t="inlineStr">
        <is>
          <t>Holmen skog AB</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45144-2023</t>
        </is>
      </c>
      <c r="B10354" s="1" t="n">
        <v>45191</v>
      </c>
      <c r="C10354" s="1" t="n">
        <v>45657</v>
      </c>
      <c r="D10354" t="inlineStr">
        <is>
          <t>VÄSTERNORRLANDS LÄN</t>
        </is>
      </c>
      <c r="E10354" t="inlineStr">
        <is>
          <t>SUNDSVALL</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45321-2023</t>
        </is>
      </c>
      <c r="B10355" s="1" t="n">
        <v>45191</v>
      </c>
      <c r="C10355" s="1" t="n">
        <v>45657</v>
      </c>
      <c r="D10355" t="inlineStr">
        <is>
          <t>VÄSTERNORRLANDS LÄN</t>
        </is>
      </c>
      <c r="E10355" t="inlineStr">
        <is>
          <t>KRAMFORS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45325-2023</t>
        </is>
      </c>
      <c r="B10356" s="1" t="n">
        <v>45192</v>
      </c>
      <c r="C10356" s="1" t="n">
        <v>45657</v>
      </c>
      <c r="D10356" t="inlineStr">
        <is>
          <t>VÄSTERNORRLANDS LÄN</t>
        </is>
      </c>
      <c r="E10356" t="inlineStr">
        <is>
          <t>KRAMFORS</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45333-2023</t>
        </is>
      </c>
      <c r="B10357" s="1" t="n">
        <v>45191</v>
      </c>
      <c r="C10357" s="1" t="n">
        <v>45657</v>
      </c>
      <c r="D10357" t="inlineStr">
        <is>
          <t>VÄSTERNORRLANDS LÄN</t>
        </is>
      </c>
      <c r="E10357" t="inlineStr">
        <is>
          <t>SUNDSVALL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45320-2023</t>
        </is>
      </c>
      <c r="B10358" s="1" t="n">
        <v>45192</v>
      </c>
      <c r="C10358" s="1" t="n">
        <v>45657</v>
      </c>
      <c r="D10358" t="inlineStr">
        <is>
          <t>VÄSTERNORRLANDS LÄN</t>
        </is>
      </c>
      <c r="E10358" t="inlineStr">
        <is>
          <t>SUNDSVALL</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45328-2023</t>
        </is>
      </c>
      <c r="B10359" s="1" t="n">
        <v>45192</v>
      </c>
      <c r="C10359" s="1" t="n">
        <v>45657</v>
      </c>
      <c r="D10359" t="inlineStr">
        <is>
          <t>VÄSTERNORRLANDS LÄN</t>
        </is>
      </c>
      <c r="E10359" t="inlineStr">
        <is>
          <t>KRAMFORS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45332-2023</t>
        </is>
      </c>
      <c r="B10360" s="1" t="n">
        <v>45191</v>
      </c>
      <c r="C10360" s="1" t="n">
        <v>45657</v>
      </c>
      <c r="D10360" t="inlineStr">
        <is>
          <t>VÄSTERNORRLANDS LÄN</t>
        </is>
      </c>
      <c r="E10360" t="inlineStr">
        <is>
          <t>SUNDSVALL</t>
        </is>
      </c>
      <c r="F10360" t="inlineStr">
        <is>
          <t>SCA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45323-2023</t>
        </is>
      </c>
      <c r="B10361" s="1" t="n">
        <v>45191</v>
      </c>
      <c r="C10361" s="1" t="n">
        <v>45657</v>
      </c>
      <c r="D10361" t="inlineStr">
        <is>
          <t>VÄSTERNORRLANDS LÄN</t>
        </is>
      </c>
      <c r="E10361" t="inlineStr">
        <is>
          <t>KRAMFORS</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45327-2023</t>
        </is>
      </c>
      <c r="B10362" s="1" t="n">
        <v>45192</v>
      </c>
      <c r="C10362" s="1" t="n">
        <v>45657</v>
      </c>
      <c r="D10362" t="inlineStr">
        <is>
          <t>VÄSTERNORRLANDS LÄN</t>
        </is>
      </c>
      <c r="E10362" t="inlineStr">
        <is>
          <t>KRAMFORS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45331-2023</t>
        </is>
      </c>
      <c r="B10363" s="1" t="n">
        <v>45191</v>
      </c>
      <c r="C10363" s="1" t="n">
        <v>45657</v>
      </c>
      <c r="D10363" t="inlineStr">
        <is>
          <t>VÄSTERNORRLANDS LÄN</t>
        </is>
      </c>
      <c r="E10363" t="inlineStr">
        <is>
          <t>SUNDSVALL</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46225-2023</t>
        </is>
      </c>
      <c r="B10364" s="1" t="n">
        <v>45191</v>
      </c>
      <c r="C10364" s="1" t="n">
        <v>45657</v>
      </c>
      <c r="D10364" t="inlineStr">
        <is>
          <t>VÄSTERNORRLANDS LÄN</t>
        </is>
      </c>
      <c r="E10364" t="inlineStr">
        <is>
          <t>ÖRNSKÖLDSVIK</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46357-2023</t>
        </is>
      </c>
      <c r="B10365" s="1" t="n">
        <v>45191</v>
      </c>
      <c r="C10365" s="1" t="n">
        <v>45657</v>
      </c>
      <c r="D10365" t="inlineStr">
        <is>
          <t>VÄSTERNORRLANDS LÄN</t>
        </is>
      </c>
      <c r="E10365" t="inlineStr">
        <is>
          <t>SOLLEFTEÅ</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46237-2023</t>
        </is>
      </c>
      <c r="B10366" s="1" t="n">
        <v>45191</v>
      </c>
      <c r="C10366" s="1" t="n">
        <v>45657</v>
      </c>
      <c r="D10366" t="inlineStr">
        <is>
          <t>VÄSTERNORRLANDS LÄN</t>
        </is>
      </c>
      <c r="E10366" t="inlineStr">
        <is>
          <t>KRAMFORS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45129-2023</t>
        </is>
      </c>
      <c r="B10367" s="1" t="n">
        <v>45191</v>
      </c>
      <c r="C10367" s="1" t="n">
        <v>45657</v>
      </c>
      <c r="D10367" t="inlineStr">
        <is>
          <t>VÄSTERNORRLANDS LÄN</t>
        </is>
      </c>
      <c r="E10367" t="inlineStr">
        <is>
          <t>HÄRNÖSAND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45322-2023</t>
        </is>
      </c>
      <c r="B10368" s="1" t="n">
        <v>45191</v>
      </c>
      <c r="C10368" s="1" t="n">
        <v>45657</v>
      </c>
      <c r="D10368" t="inlineStr">
        <is>
          <t>VÄSTERNORRLANDS LÄN</t>
        </is>
      </c>
      <c r="E10368" t="inlineStr">
        <is>
          <t>KRAMFORS</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45326-2023</t>
        </is>
      </c>
      <c r="B10369" s="1" t="n">
        <v>45191</v>
      </c>
      <c r="C10369" s="1" t="n">
        <v>45657</v>
      </c>
      <c r="D10369" t="inlineStr">
        <is>
          <t>VÄSTERNORRLANDS LÄN</t>
        </is>
      </c>
      <c r="E10369" t="inlineStr">
        <is>
          <t>KRAMFORS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45330-2023</t>
        </is>
      </c>
      <c r="B10370" s="1" t="n">
        <v>45192</v>
      </c>
      <c r="C10370" s="1" t="n">
        <v>45657</v>
      </c>
      <c r="D10370" t="inlineStr">
        <is>
          <t>VÄSTERNORRLANDS LÄN</t>
        </is>
      </c>
      <c r="E10370" t="inlineStr">
        <is>
          <t>SUNDSVALL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46344-2023</t>
        </is>
      </c>
      <c r="B10371" s="1" t="n">
        <v>45191</v>
      </c>
      <c r="C10371" s="1" t="n">
        <v>45657</v>
      </c>
      <c r="D10371" t="inlineStr">
        <is>
          <t>VÄSTERNORRLANDS LÄN</t>
        </is>
      </c>
      <c r="E10371" t="inlineStr">
        <is>
          <t>SOLLEFTEÅ</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45362-2023</t>
        </is>
      </c>
      <c r="B10372" s="1" t="n">
        <v>45192</v>
      </c>
      <c r="C10372" s="1" t="n">
        <v>45657</v>
      </c>
      <c r="D10372" t="inlineStr">
        <is>
          <t>VÄSTERNORRLANDS LÄN</t>
        </is>
      </c>
      <c r="E10372" t="inlineStr">
        <is>
          <t>ÖRNSKÖLDSVIK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45363-2023</t>
        </is>
      </c>
      <c r="B10373" s="1" t="n">
        <v>45192</v>
      </c>
      <c r="C10373" s="1" t="n">
        <v>45657</v>
      </c>
      <c r="D10373" t="inlineStr">
        <is>
          <t>VÄSTERNORRLANDS LÄN</t>
        </is>
      </c>
      <c r="E10373" t="inlineStr">
        <is>
          <t>ÖRNSKÖLDSVIK</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45570-2023</t>
        </is>
      </c>
      <c r="B10374" s="1" t="n">
        <v>45194</v>
      </c>
      <c r="C10374" s="1" t="n">
        <v>45657</v>
      </c>
      <c r="D10374" t="inlineStr">
        <is>
          <t>VÄSTERNORRLANDS LÄN</t>
        </is>
      </c>
      <c r="E10374" t="inlineStr">
        <is>
          <t>SOLLEFTEÅ</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45560-2023</t>
        </is>
      </c>
      <c r="B10375" s="1" t="n">
        <v>45194</v>
      </c>
      <c r="C10375" s="1" t="n">
        <v>45657</v>
      </c>
      <c r="D10375" t="inlineStr">
        <is>
          <t>VÄSTERNORRLANDS LÄN</t>
        </is>
      </c>
      <c r="E10375" t="inlineStr">
        <is>
          <t>ÖRNSKÖLDSVIK</t>
        </is>
      </c>
      <c r="F10375" t="inlineStr">
        <is>
          <t>Holmen skog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45619-2023</t>
        </is>
      </c>
      <c r="B10376" s="1" t="n">
        <v>45194</v>
      </c>
      <c r="C10376" s="1" t="n">
        <v>45657</v>
      </c>
      <c r="D10376" t="inlineStr">
        <is>
          <t>VÄSTERNORRLANDS LÄN</t>
        </is>
      </c>
      <c r="E10376" t="inlineStr">
        <is>
          <t>ÖRNSKÖLDSVIK</t>
        </is>
      </c>
      <c r="F10376" t="inlineStr">
        <is>
          <t>Holmen skog AB</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45674-2023</t>
        </is>
      </c>
      <c r="B10377" s="1" t="n">
        <v>45194</v>
      </c>
      <c r="C10377" s="1" t="n">
        <v>45657</v>
      </c>
      <c r="D10377" t="inlineStr">
        <is>
          <t>VÄSTERNORRLANDS LÄN</t>
        </is>
      </c>
      <c r="E10377" t="inlineStr">
        <is>
          <t>SUNDSVALL</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45610-2023</t>
        </is>
      </c>
      <c r="B10378" s="1" t="n">
        <v>45194</v>
      </c>
      <c r="C10378" s="1" t="n">
        <v>45657</v>
      </c>
      <c r="D10378" t="inlineStr">
        <is>
          <t>VÄSTERNORRLANDS LÄN</t>
        </is>
      </c>
      <c r="E10378" t="inlineStr">
        <is>
          <t>ÖRNSKÖLDSVIK</t>
        </is>
      </c>
      <c r="F10378" t="inlineStr">
        <is>
          <t>Holmen skog AB</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45627-2023</t>
        </is>
      </c>
      <c r="B10379" s="1" t="n">
        <v>45194</v>
      </c>
      <c r="C10379" s="1" t="n">
        <v>45657</v>
      </c>
      <c r="D10379" t="inlineStr">
        <is>
          <t>VÄSTERNORRLANDS LÄN</t>
        </is>
      </c>
      <c r="E10379" t="inlineStr">
        <is>
          <t>SUNDSVALL</t>
        </is>
      </c>
      <c r="G10379" t="n">
        <v>10.3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46481-2023</t>
        </is>
      </c>
      <c r="B10380" s="1" t="n">
        <v>45194</v>
      </c>
      <c r="C10380" s="1" t="n">
        <v>45657</v>
      </c>
      <c r="D10380" t="inlineStr">
        <is>
          <t>VÄSTERNORRLANDS LÄN</t>
        </is>
      </c>
      <c r="E10380" t="inlineStr">
        <is>
          <t>ÖRNSKÖLDSVIK</t>
        </is>
      </c>
      <c r="G10380" t="n">
        <v>18.8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46508-2023</t>
        </is>
      </c>
      <c r="B10381" s="1" t="n">
        <v>45194</v>
      </c>
      <c r="C10381" s="1" t="n">
        <v>45657</v>
      </c>
      <c r="D10381" t="inlineStr">
        <is>
          <t>VÄSTERNORRLANDS LÄN</t>
        </is>
      </c>
      <c r="E10381" t="inlineStr">
        <is>
          <t>HÄRNÖSAND</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46634-2023</t>
        </is>
      </c>
      <c r="B10382" s="1" t="n">
        <v>45194</v>
      </c>
      <c r="C10382" s="1" t="n">
        <v>45657</v>
      </c>
      <c r="D10382" t="inlineStr">
        <is>
          <t>VÄSTERNORRLANDS LÄN</t>
        </is>
      </c>
      <c r="E10382" t="inlineStr">
        <is>
          <t>SUNDSVALL</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45676-2023</t>
        </is>
      </c>
      <c r="B10383" s="1" t="n">
        <v>45195</v>
      </c>
      <c r="C10383" s="1" t="n">
        <v>45657</v>
      </c>
      <c r="D10383" t="inlineStr">
        <is>
          <t>VÄSTERNORRLANDS LÄN</t>
        </is>
      </c>
      <c r="E10383" t="inlineStr">
        <is>
          <t>ÖRNSKÖLDSVIK</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45723-2023</t>
        </is>
      </c>
      <c r="B10384" s="1" t="n">
        <v>45195</v>
      </c>
      <c r="C10384" s="1" t="n">
        <v>45657</v>
      </c>
      <c r="D10384" t="inlineStr">
        <is>
          <t>VÄSTERNORRLANDS LÄN</t>
        </is>
      </c>
      <c r="E10384" t="inlineStr">
        <is>
          <t>TIMRÅ</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45794-2023</t>
        </is>
      </c>
      <c r="B10385" s="1" t="n">
        <v>45195</v>
      </c>
      <c r="C10385" s="1" t="n">
        <v>45657</v>
      </c>
      <c r="D10385" t="inlineStr">
        <is>
          <t>VÄSTERNORRLANDS LÄN</t>
        </is>
      </c>
      <c r="E10385" t="inlineStr">
        <is>
          <t>ÖRNSKÖLDSVIK</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45933-2023</t>
        </is>
      </c>
      <c r="B10386" s="1" t="n">
        <v>45195</v>
      </c>
      <c r="C10386" s="1" t="n">
        <v>45657</v>
      </c>
      <c r="D10386" t="inlineStr">
        <is>
          <t>VÄSTERNORRLANDS LÄN</t>
        </is>
      </c>
      <c r="E10386" t="inlineStr">
        <is>
          <t>ÅNGE</t>
        </is>
      </c>
      <c r="F10386" t="inlineStr">
        <is>
          <t>SCA</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45941-2023</t>
        </is>
      </c>
      <c r="B10387" s="1" t="n">
        <v>45196</v>
      </c>
      <c r="C10387" s="1" t="n">
        <v>45657</v>
      </c>
      <c r="D10387" t="inlineStr">
        <is>
          <t>VÄSTERNORRLANDS LÄN</t>
        </is>
      </c>
      <c r="E10387" t="inlineStr">
        <is>
          <t>ÅNGE</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45945-2023</t>
        </is>
      </c>
      <c r="B10388" s="1" t="n">
        <v>45195</v>
      </c>
      <c r="C10388" s="1" t="n">
        <v>45657</v>
      </c>
      <c r="D10388" t="inlineStr">
        <is>
          <t>VÄSTERNORRLANDS LÄN</t>
        </is>
      </c>
      <c r="E10388" t="inlineStr">
        <is>
          <t>ÖRNSKÖLDSVIK</t>
        </is>
      </c>
      <c r="F10388" t="inlineStr">
        <is>
          <t>SCA</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45914-2023</t>
        </is>
      </c>
      <c r="B10389" s="1" t="n">
        <v>45195</v>
      </c>
      <c r="C10389" s="1" t="n">
        <v>45657</v>
      </c>
      <c r="D10389" t="inlineStr">
        <is>
          <t>VÄSTERNORRLANDS LÄN</t>
        </is>
      </c>
      <c r="E10389" t="inlineStr">
        <is>
          <t>ÖRNSKÖLDSVIK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45966-2023</t>
        </is>
      </c>
      <c r="B10390" s="1" t="n">
        <v>45195</v>
      </c>
      <c r="C10390" s="1" t="n">
        <v>45657</v>
      </c>
      <c r="D10390" t="inlineStr">
        <is>
          <t>VÄSTERNORRLANDS LÄN</t>
        </is>
      </c>
      <c r="E10390" t="inlineStr">
        <is>
          <t>ÖRNSKÖLDSVIK</t>
        </is>
      </c>
      <c r="F10390" t="inlineStr">
        <is>
          <t>SCA</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45942-2023</t>
        </is>
      </c>
      <c r="B10391" s="1" t="n">
        <v>45195</v>
      </c>
      <c r="C10391" s="1" t="n">
        <v>45657</v>
      </c>
      <c r="D10391" t="inlineStr">
        <is>
          <t>VÄSTERNORRLANDS LÄN</t>
        </is>
      </c>
      <c r="E10391" t="inlineStr">
        <is>
          <t>ÖRNSKÖLDSVIK</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45958-2023</t>
        </is>
      </c>
      <c r="B10392" s="1" t="n">
        <v>45195</v>
      </c>
      <c r="C10392" s="1" t="n">
        <v>45657</v>
      </c>
      <c r="D10392" t="inlineStr">
        <is>
          <t>VÄSTERNORRLANDS LÄN</t>
        </is>
      </c>
      <c r="E10392" t="inlineStr">
        <is>
          <t>SOLLEFTEÅ</t>
        </is>
      </c>
      <c r="F10392" t="inlineStr">
        <is>
          <t>SCA</t>
        </is>
      </c>
      <c r="G10392" t="n">
        <v>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45967-2023</t>
        </is>
      </c>
      <c r="B10393" s="1" t="n">
        <v>45195</v>
      </c>
      <c r="C10393" s="1" t="n">
        <v>45657</v>
      </c>
      <c r="D10393" t="inlineStr">
        <is>
          <t>VÄSTERNORRLANDS LÄN</t>
        </is>
      </c>
      <c r="E10393" t="inlineStr">
        <is>
          <t>SUNDSVALL</t>
        </is>
      </c>
      <c r="F10393" t="inlineStr">
        <is>
          <t>SCA</t>
        </is>
      </c>
      <c r="G10393" t="n">
        <v>7.2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45797-2023</t>
        </is>
      </c>
      <c r="B10394" s="1" t="n">
        <v>45195</v>
      </c>
      <c r="C10394" s="1" t="n">
        <v>45657</v>
      </c>
      <c r="D10394" t="inlineStr">
        <is>
          <t>VÄSTERNORRLANDS LÄN</t>
        </is>
      </c>
      <c r="E10394" t="inlineStr">
        <is>
          <t>ÖRNSKÖLDSVIK</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45932-2023</t>
        </is>
      </c>
      <c r="B10395" s="1" t="n">
        <v>45195</v>
      </c>
      <c r="C10395" s="1" t="n">
        <v>45657</v>
      </c>
      <c r="D10395" t="inlineStr">
        <is>
          <t>VÄSTERNORRLANDS LÄN</t>
        </is>
      </c>
      <c r="E10395" t="inlineStr">
        <is>
          <t>ÅNGE</t>
        </is>
      </c>
      <c r="F10395" t="inlineStr">
        <is>
          <t>SCA</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45940-2023</t>
        </is>
      </c>
      <c r="B10396" s="1" t="n">
        <v>45196</v>
      </c>
      <c r="C10396" s="1" t="n">
        <v>45657</v>
      </c>
      <c r="D10396" t="inlineStr">
        <is>
          <t>VÄSTERNORRLANDS LÄN</t>
        </is>
      </c>
      <c r="E10396" t="inlineStr">
        <is>
          <t>ÅNGE</t>
        </is>
      </c>
      <c r="F10396" t="inlineStr">
        <is>
          <t>SCA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45944-2023</t>
        </is>
      </c>
      <c r="B10397" s="1" t="n">
        <v>45195</v>
      </c>
      <c r="C10397" s="1" t="n">
        <v>45657</v>
      </c>
      <c r="D10397" t="inlineStr">
        <is>
          <t>VÄSTERNORRLANDS LÄN</t>
        </is>
      </c>
      <c r="E10397" t="inlineStr">
        <is>
          <t>ÖRNSKÖLDSVIK</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45973-2023</t>
        </is>
      </c>
      <c r="B10398" s="1" t="n">
        <v>45195</v>
      </c>
      <c r="C10398" s="1" t="n">
        <v>45657</v>
      </c>
      <c r="D10398" t="inlineStr">
        <is>
          <t>VÄSTERNORRLANDS LÄN</t>
        </is>
      </c>
      <c r="E10398" t="inlineStr">
        <is>
          <t>SOLLEFTEÅ</t>
        </is>
      </c>
      <c r="F10398" t="inlineStr">
        <is>
          <t>SCA</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45978-2023</t>
        </is>
      </c>
      <c r="B10399" s="1" t="n">
        <v>45196</v>
      </c>
      <c r="C10399" s="1" t="n">
        <v>45657</v>
      </c>
      <c r="D10399" t="inlineStr">
        <is>
          <t>VÄSTERNORRLANDS LÄN</t>
        </is>
      </c>
      <c r="E10399" t="inlineStr">
        <is>
          <t>SUNDSVALL</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46998-2023</t>
        </is>
      </c>
      <c r="B10400" s="1" t="n">
        <v>45195</v>
      </c>
      <c r="C10400" s="1" t="n">
        <v>45657</v>
      </c>
      <c r="D10400" t="inlineStr">
        <is>
          <t>VÄSTERNORRLANDS LÄN</t>
        </is>
      </c>
      <c r="E10400" t="inlineStr">
        <is>
          <t>SUNDSVALL</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47023-2023</t>
        </is>
      </c>
      <c r="B10401" s="1" t="n">
        <v>45195</v>
      </c>
      <c r="C10401" s="1" t="n">
        <v>45657</v>
      </c>
      <c r="D10401" t="inlineStr">
        <is>
          <t>VÄSTERNORRLANDS LÄN</t>
        </is>
      </c>
      <c r="E10401" t="inlineStr">
        <is>
          <t>SUNDSVALL</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46994-2023</t>
        </is>
      </c>
      <c r="B10402" s="1" t="n">
        <v>45195</v>
      </c>
      <c r="C10402" s="1" t="n">
        <v>45657</v>
      </c>
      <c r="D10402" t="inlineStr">
        <is>
          <t>VÄSTERNORRLANDS LÄN</t>
        </is>
      </c>
      <c r="E10402" t="inlineStr">
        <is>
          <t>SUNDSVALL</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47016-2023</t>
        </is>
      </c>
      <c r="B10403" s="1" t="n">
        <v>45195</v>
      </c>
      <c r="C10403" s="1" t="n">
        <v>45657</v>
      </c>
      <c r="D10403" t="inlineStr">
        <is>
          <t>VÄSTERNORRLANDS LÄN</t>
        </is>
      </c>
      <c r="E10403" t="inlineStr">
        <is>
          <t>SUNDSVALL</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46992-2023</t>
        </is>
      </c>
      <c r="B10404" s="1" t="n">
        <v>45195</v>
      </c>
      <c r="C10404" s="1" t="n">
        <v>45657</v>
      </c>
      <c r="D10404" t="inlineStr">
        <is>
          <t>VÄSTERNORRLANDS LÄN</t>
        </is>
      </c>
      <c r="E10404" t="inlineStr">
        <is>
          <t>SUNDSVALL</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47012-2023</t>
        </is>
      </c>
      <c r="B10405" s="1" t="n">
        <v>45195</v>
      </c>
      <c r="C10405" s="1" t="n">
        <v>45657</v>
      </c>
      <c r="D10405" t="inlineStr">
        <is>
          <t>VÄSTERNORRLANDS LÄN</t>
        </is>
      </c>
      <c r="E10405" t="inlineStr">
        <is>
          <t>SUNDSVALL</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47025-2023</t>
        </is>
      </c>
      <c r="B10406" s="1" t="n">
        <v>45195</v>
      </c>
      <c r="C10406" s="1" t="n">
        <v>45657</v>
      </c>
      <c r="D10406" t="inlineStr">
        <is>
          <t>VÄSTERNORRLANDS LÄN</t>
        </is>
      </c>
      <c r="E10406" t="inlineStr">
        <is>
          <t>SUNDSVALL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45717-2023</t>
        </is>
      </c>
      <c r="B10407" s="1" t="n">
        <v>45195</v>
      </c>
      <c r="C10407" s="1" t="n">
        <v>45657</v>
      </c>
      <c r="D10407" t="inlineStr">
        <is>
          <t>VÄSTERNORRLANDS LÄN</t>
        </is>
      </c>
      <c r="E10407" t="inlineStr">
        <is>
          <t>ÅNGE</t>
        </is>
      </c>
      <c r="F10407" t="inlineStr">
        <is>
          <t>Holmen skog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45739-2023</t>
        </is>
      </c>
      <c r="B10408" s="1" t="n">
        <v>45195</v>
      </c>
      <c r="C10408" s="1" t="n">
        <v>45657</v>
      </c>
      <c r="D10408" t="inlineStr">
        <is>
          <t>VÄSTERNORRLANDS LÄN</t>
        </is>
      </c>
      <c r="E10408" t="inlineStr">
        <is>
          <t>TIMRÅ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45760-2023</t>
        </is>
      </c>
      <c r="B10409" s="1" t="n">
        <v>45195</v>
      </c>
      <c r="C10409" s="1" t="n">
        <v>45657</v>
      </c>
      <c r="D10409" t="inlineStr">
        <is>
          <t>VÄSTERNORRLANDS LÄN</t>
        </is>
      </c>
      <c r="E10409" t="inlineStr">
        <is>
          <t>KRAMFORS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45939-2023</t>
        </is>
      </c>
      <c r="B10410" s="1" t="n">
        <v>45196</v>
      </c>
      <c r="C10410" s="1" t="n">
        <v>45657</v>
      </c>
      <c r="D10410" t="inlineStr">
        <is>
          <t>VÄSTERNORRLANDS LÄN</t>
        </is>
      </c>
      <c r="E10410" t="inlineStr">
        <is>
          <t>ÅNGE</t>
        </is>
      </c>
      <c r="F10410" t="inlineStr">
        <is>
          <t>SCA</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45943-2023</t>
        </is>
      </c>
      <c r="B10411" s="1" t="n">
        <v>45195</v>
      </c>
      <c r="C10411" s="1" t="n">
        <v>45657</v>
      </c>
      <c r="D10411" t="inlineStr">
        <is>
          <t>VÄSTERNORRLANDS LÄN</t>
        </is>
      </c>
      <c r="E10411" t="inlineStr">
        <is>
          <t>ÖRNSKÖLDSVIK</t>
        </is>
      </c>
      <c r="F10411" t="inlineStr">
        <is>
          <t>SCA</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45968-2023</t>
        </is>
      </c>
      <c r="B10412" s="1" t="n">
        <v>45195</v>
      </c>
      <c r="C10412" s="1" t="n">
        <v>45657</v>
      </c>
      <c r="D10412" t="inlineStr">
        <is>
          <t>VÄSTERNORRLANDS LÄN</t>
        </is>
      </c>
      <c r="E10412" t="inlineStr">
        <is>
          <t>SUNDSVALL</t>
        </is>
      </c>
      <c r="F10412" t="inlineStr">
        <is>
          <t>SCA</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45977-2023</t>
        </is>
      </c>
      <c r="B10413" s="1" t="n">
        <v>45196</v>
      </c>
      <c r="C10413" s="1" t="n">
        <v>45657</v>
      </c>
      <c r="D10413" t="inlineStr">
        <is>
          <t>VÄSTERNORRLANDS LÄN</t>
        </is>
      </c>
      <c r="E10413" t="inlineStr">
        <is>
          <t>SUNDSVALL</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47024-2023</t>
        </is>
      </c>
      <c r="B10414" s="1" t="n">
        <v>45195</v>
      </c>
      <c r="C10414" s="1" t="n">
        <v>45657</v>
      </c>
      <c r="D10414" t="inlineStr">
        <is>
          <t>VÄSTERNORRLANDS LÄN</t>
        </is>
      </c>
      <c r="E10414" t="inlineStr">
        <is>
          <t>SUNDSVALL</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45991-2023</t>
        </is>
      </c>
      <c r="B10415" s="1" t="n">
        <v>45196</v>
      </c>
      <c r="C10415" s="1" t="n">
        <v>45657</v>
      </c>
      <c r="D10415" t="inlineStr">
        <is>
          <t>VÄSTERNORRLANDS LÄN</t>
        </is>
      </c>
      <c r="E10415" t="inlineStr">
        <is>
          <t>SUNDSVALL</t>
        </is>
      </c>
      <c r="F10415" t="inlineStr">
        <is>
          <t>Holmen skog AB</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46254-2023</t>
        </is>
      </c>
      <c r="B10416" s="1" t="n">
        <v>45196</v>
      </c>
      <c r="C10416" s="1" t="n">
        <v>45657</v>
      </c>
      <c r="D10416" t="inlineStr">
        <is>
          <t>VÄSTERNORRLANDS LÄN</t>
        </is>
      </c>
      <c r="E10416" t="inlineStr">
        <is>
          <t>ÅNGE</t>
        </is>
      </c>
      <c r="F10416" t="inlineStr">
        <is>
          <t>SCA</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46262-2023</t>
        </is>
      </c>
      <c r="B10417" s="1" t="n">
        <v>45197</v>
      </c>
      <c r="C10417" s="1" t="n">
        <v>45657</v>
      </c>
      <c r="D10417" t="inlineStr">
        <is>
          <t>VÄSTERNORRLANDS LÄN</t>
        </is>
      </c>
      <c r="E10417" t="inlineStr">
        <is>
          <t>ÅNGE</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46266-2023</t>
        </is>
      </c>
      <c r="B10418" s="1" t="n">
        <v>45196</v>
      </c>
      <c r="C10418" s="1" t="n">
        <v>45657</v>
      </c>
      <c r="D10418" t="inlineStr">
        <is>
          <t>VÄSTERNORRLANDS LÄN</t>
        </is>
      </c>
      <c r="E10418" t="inlineStr">
        <is>
          <t>HÄRNÖSAND</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46142-2023</t>
        </is>
      </c>
      <c r="B10419" s="1" t="n">
        <v>45196</v>
      </c>
      <c r="C10419" s="1" t="n">
        <v>45657</v>
      </c>
      <c r="D10419" t="inlineStr">
        <is>
          <t>VÄSTERNORRLANDS LÄN</t>
        </is>
      </c>
      <c r="E10419" t="inlineStr">
        <is>
          <t>ÖRNSKÖLDSVIK</t>
        </is>
      </c>
      <c r="F10419" t="inlineStr">
        <is>
          <t>Holmen skog AB</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46261-2023</t>
        </is>
      </c>
      <c r="B10420" s="1" t="n">
        <v>45197</v>
      </c>
      <c r="C10420" s="1" t="n">
        <v>45657</v>
      </c>
      <c r="D10420" t="inlineStr">
        <is>
          <t>VÄSTERNORRLANDS LÄN</t>
        </is>
      </c>
      <c r="E10420" t="inlineStr">
        <is>
          <t>HÄRNÖSAND</t>
        </is>
      </c>
      <c r="F10420" t="inlineStr">
        <is>
          <t>SCA</t>
        </is>
      </c>
      <c r="G10420" t="n">
        <v>8.800000000000001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46332-2023</t>
        </is>
      </c>
      <c r="B10421" s="1" t="n">
        <v>45196</v>
      </c>
      <c r="C10421" s="1" t="n">
        <v>45657</v>
      </c>
      <c r="D10421" t="inlineStr">
        <is>
          <t>VÄSTERNORRLANDS LÄN</t>
        </is>
      </c>
      <c r="E10421" t="inlineStr">
        <is>
          <t>ÅNGE</t>
        </is>
      </c>
      <c r="F10421" t="inlineStr">
        <is>
          <t>SCA</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47030-2023</t>
        </is>
      </c>
      <c r="B10422" s="1" t="n">
        <v>45196</v>
      </c>
      <c r="C10422" s="1" t="n">
        <v>45657</v>
      </c>
      <c r="D10422" t="inlineStr">
        <is>
          <t>VÄSTERNORRLANDS LÄN</t>
        </is>
      </c>
      <c r="E10422" t="inlineStr">
        <is>
          <t>SUNDSVALL</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46255-2023</t>
        </is>
      </c>
      <c r="B10423" s="1" t="n">
        <v>45196</v>
      </c>
      <c r="C10423" s="1" t="n">
        <v>45657</v>
      </c>
      <c r="D10423" t="inlineStr">
        <is>
          <t>VÄSTERNORRLANDS LÄN</t>
        </is>
      </c>
      <c r="E10423" t="inlineStr">
        <is>
          <t>ÅNGE</t>
        </is>
      </c>
      <c r="F10423" t="inlineStr">
        <is>
          <t>SCA</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47032-2023</t>
        </is>
      </c>
      <c r="B10424" s="1" t="n">
        <v>45196</v>
      </c>
      <c r="C10424" s="1" t="n">
        <v>45657</v>
      </c>
      <c r="D10424" t="inlineStr">
        <is>
          <t>VÄSTERNORRLANDS LÄN</t>
        </is>
      </c>
      <c r="E10424" t="inlineStr">
        <is>
          <t>SUNDSVALL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47234-2023</t>
        </is>
      </c>
      <c r="B10425" s="1" t="n">
        <v>45196</v>
      </c>
      <c r="C10425" s="1" t="n">
        <v>45657</v>
      </c>
      <c r="D10425" t="inlineStr">
        <is>
          <t>VÄSTERNORRLANDS LÄN</t>
        </is>
      </c>
      <c r="E10425" t="inlineStr">
        <is>
          <t>HÄRNÖSAND</t>
        </is>
      </c>
      <c r="G10425" t="n">
        <v>13.6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47283-2023</t>
        </is>
      </c>
      <c r="B10426" s="1" t="n">
        <v>45196</v>
      </c>
      <c r="C10426" s="1" t="n">
        <v>45657</v>
      </c>
      <c r="D10426" t="inlineStr">
        <is>
          <t>VÄSTERNORRLANDS LÄN</t>
        </is>
      </c>
      <c r="E10426" t="inlineStr">
        <is>
          <t>SUNDSVALL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47330-2023</t>
        </is>
      </c>
      <c r="B10427" s="1" t="n">
        <v>45196</v>
      </c>
      <c r="C10427" s="1" t="n">
        <v>45657</v>
      </c>
      <c r="D10427" t="inlineStr">
        <is>
          <t>VÄSTERNORRLANDS LÄN</t>
        </is>
      </c>
      <c r="E10427" t="inlineStr">
        <is>
          <t>ÖRNSKÖLDSVIK</t>
        </is>
      </c>
      <c r="G10427" t="n">
        <v>12.7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47324-2023</t>
        </is>
      </c>
      <c r="B10428" s="1" t="n">
        <v>45196</v>
      </c>
      <c r="C10428" s="1" t="n">
        <v>45657</v>
      </c>
      <c r="D10428" t="inlineStr">
        <is>
          <t>VÄSTERNORRLANDS LÄN</t>
        </is>
      </c>
      <c r="E10428" t="inlineStr">
        <is>
          <t>ÅNGE</t>
        </is>
      </c>
      <c r="F10428" t="inlineStr">
        <is>
          <t>SCA</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47334-2023</t>
        </is>
      </c>
      <c r="B10429" s="1" t="n">
        <v>45196</v>
      </c>
      <c r="C10429" s="1" t="n">
        <v>45657</v>
      </c>
      <c r="D10429" t="inlineStr">
        <is>
          <t>VÄSTERNORRLANDS LÄN</t>
        </is>
      </c>
      <c r="E10429" t="inlineStr">
        <is>
          <t>ÖRNSKÖLDSVIK</t>
        </is>
      </c>
      <c r="G10429" t="n">
        <v>8.699999999999999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47342-2023</t>
        </is>
      </c>
      <c r="B10430" s="1" t="n">
        <v>45196</v>
      </c>
      <c r="C10430" s="1" t="n">
        <v>45657</v>
      </c>
      <c r="D10430" t="inlineStr">
        <is>
          <t>VÄSTERNORRLANDS LÄN</t>
        </is>
      </c>
      <c r="E10430" t="inlineStr">
        <is>
          <t>ÖRNSKÖLDSVIK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46211-2023</t>
        </is>
      </c>
      <c r="B10431" s="1" t="n">
        <v>45196</v>
      </c>
      <c r="C10431" s="1" t="n">
        <v>45657</v>
      </c>
      <c r="D10431" t="inlineStr">
        <is>
          <t>VÄSTERNORRLANDS LÄN</t>
        </is>
      </c>
      <c r="E10431" t="inlineStr">
        <is>
          <t>ÅNGE</t>
        </is>
      </c>
      <c r="F10431" t="inlineStr">
        <is>
          <t>Sveaskog</t>
        </is>
      </c>
      <c r="G10431" t="n">
        <v>13.1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46256-2023</t>
        </is>
      </c>
      <c r="B10432" s="1" t="n">
        <v>45197</v>
      </c>
      <c r="C10432" s="1" t="n">
        <v>45657</v>
      </c>
      <c r="D10432" t="inlineStr">
        <is>
          <t>VÄSTERNORRLANDS LÄN</t>
        </is>
      </c>
      <c r="E10432" t="inlineStr">
        <is>
          <t>SOLLEFTEÅ</t>
        </is>
      </c>
      <c r="F10432" t="inlineStr">
        <is>
          <t>SCA</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46272-2023</t>
        </is>
      </c>
      <c r="B10433" s="1" t="n">
        <v>45197</v>
      </c>
      <c r="C10433" s="1" t="n">
        <v>45657</v>
      </c>
      <c r="D10433" t="inlineStr">
        <is>
          <t>VÄSTERNORRLANDS LÄN</t>
        </is>
      </c>
      <c r="E10433" t="inlineStr">
        <is>
          <t>SUNDSVALL</t>
        </is>
      </c>
      <c r="F10433" t="inlineStr">
        <is>
          <t>SCA</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47280-2023</t>
        </is>
      </c>
      <c r="B10434" s="1" t="n">
        <v>45196</v>
      </c>
      <c r="C10434" s="1" t="n">
        <v>45657</v>
      </c>
      <c r="D10434" t="inlineStr">
        <is>
          <t>VÄSTERNORRLANDS LÄN</t>
        </is>
      </c>
      <c r="E10434" t="inlineStr">
        <is>
          <t>SUNDSVALL</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47329-2023</t>
        </is>
      </c>
      <c r="B10435" s="1" t="n">
        <v>45196</v>
      </c>
      <c r="C10435" s="1" t="n">
        <v>45657</v>
      </c>
      <c r="D10435" t="inlineStr">
        <is>
          <t>VÄSTERNORRLANDS LÄN</t>
        </is>
      </c>
      <c r="E10435" t="inlineStr">
        <is>
          <t>SOLLEFTEÅ</t>
        </is>
      </c>
      <c r="F10435" t="inlineStr">
        <is>
          <t>SCA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47327-2023</t>
        </is>
      </c>
      <c r="B10436" s="1" t="n">
        <v>45196</v>
      </c>
      <c r="C10436" s="1" t="n">
        <v>45657</v>
      </c>
      <c r="D10436" t="inlineStr">
        <is>
          <t>VÄSTERNORRLANDS LÄN</t>
        </is>
      </c>
      <c r="E10436" t="inlineStr">
        <is>
          <t>SOLLEFTEÅ</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47348-2023</t>
        </is>
      </c>
      <c r="B10437" s="1" t="n">
        <v>45196</v>
      </c>
      <c r="C10437" s="1" t="n">
        <v>45657</v>
      </c>
      <c r="D10437" t="inlineStr">
        <is>
          <t>VÄSTERNORRLANDS LÄN</t>
        </is>
      </c>
      <c r="E10437" t="inlineStr">
        <is>
          <t>ÖRNSKÖLDSVIK</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46284-2023</t>
        </is>
      </c>
      <c r="B10438" s="1" t="n">
        <v>45197</v>
      </c>
      <c r="C10438" s="1" t="n">
        <v>45657</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46307-2023</t>
        </is>
      </c>
      <c r="B10439" s="1" t="n">
        <v>45197</v>
      </c>
      <c r="C10439" s="1" t="n">
        <v>45657</v>
      </c>
      <c r="D10439" t="inlineStr">
        <is>
          <t>VÄSTERNORRLANDS LÄN</t>
        </is>
      </c>
      <c r="E10439" t="inlineStr">
        <is>
          <t>ÖRNSKÖLDSVIK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46428-2023</t>
        </is>
      </c>
      <c r="B10440" s="1" t="n">
        <v>45197</v>
      </c>
      <c r="C10440" s="1" t="n">
        <v>45657</v>
      </c>
      <c r="D10440" t="inlineStr">
        <is>
          <t>VÄSTERNORRLANDS LÄN</t>
        </is>
      </c>
      <c r="E10440" t="inlineStr">
        <is>
          <t>ÖRNSKÖLDSVIK</t>
        </is>
      </c>
      <c r="F10440" t="inlineStr">
        <is>
          <t>Holmen skog AB</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46497-2023</t>
        </is>
      </c>
      <c r="B10441" s="1" t="n">
        <v>45197</v>
      </c>
      <c r="C10441" s="1" t="n">
        <v>45657</v>
      </c>
      <c r="D10441" t="inlineStr">
        <is>
          <t>VÄSTERNORRLANDS LÄN</t>
        </is>
      </c>
      <c r="E10441" t="inlineStr">
        <is>
          <t>SUNDSVALL</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46519-2023</t>
        </is>
      </c>
      <c r="B10442" s="1" t="n">
        <v>45197</v>
      </c>
      <c r="C10442" s="1" t="n">
        <v>45657</v>
      </c>
      <c r="D10442" t="inlineStr">
        <is>
          <t>VÄSTERNORRLANDS LÄN</t>
        </is>
      </c>
      <c r="E10442" t="inlineStr">
        <is>
          <t>ÖRNSKÖLDSVIK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46553-2023</t>
        </is>
      </c>
      <c r="B10443" s="1" t="n">
        <v>45198</v>
      </c>
      <c r="C10443" s="1" t="n">
        <v>45657</v>
      </c>
      <c r="D10443" t="inlineStr">
        <is>
          <t>VÄSTERNORRLANDS LÄN</t>
        </is>
      </c>
      <c r="E10443" t="inlineStr">
        <is>
          <t>SOLLEFTEÅ</t>
        </is>
      </c>
      <c r="F10443" t="inlineStr">
        <is>
          <t>SCA</t>
        </is>
      </c>
      <c r="G10443" t="n">
        <v>8.300000000000001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46552-2023</t>
        </is>
      </c>
      <c r="B10444" s="1" t="n">
        <v>45197</v>
      </c>
      <c r="C10444" s="1" t="n">
        <v>45657</v>
      </c>
      <c r="D10444" t="inlineStr">
        <is>
          <t>VÄSTERNORRLANDS LÄN</t>
        </is>
      </c>
      <c r="E10444" t="inlineStr">
        <is>
          <t>SUNDSVALL</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46324-2023</t>
        </is>
      </c>
      <c r="B10445" s="1" t="n">
        <v>45197</v>
      </c>
      <c r="C10445" s="1" t="n">
        <v>45657</v>
      </c>
      <c r="D10445" t="inlineStr">
        <is>
          <t>VÄSTERNORRLANDS LÄN</t>
        </is>
      </c>
      <c r="E10445" t="inlineStr">
        <is>
          <t>ÖRNSKÖLDSVIK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46339-2023</t>
        </is>
      </c>
      <c r="B10446" s="1" t="n">
        <v>45197</v>
      </c>
      <c r="C10446" s="1" t="n">
        <v>45657</v>
      </c>
      <c r="D10446" t="inlineStr">
        <is>
          <t>VÄSTERNORRLANDS LÄN</t>
        </is>
      </c>
      <c r="E10446" t="inlineStr">
        <is>
          <t>SUNDSVALL</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46550-2023</t>
        </is>
      </c>
      <c r="B10447" s="1" t="n">
        <v>45198</v>
      </c>
      <c r="C10447" s="1" t="n">
        <v>45657</v>
      </c>
      <c r="D10447" t="inlineStr">
        <is>
          <t>VÄSTERNORRLANDS LÄN</t>
        </is>
      </c>
      <c r="E10447" t="inlineStr">
        <is>
          <t>SOLLEFTEÅ</t>
        </is>
      </c>
      <c r="F10447" t="inlineStr">
        <is>
          <t>SCA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46554-2023</t>
        </is>
      </c>
      <c r="B10448" s="1" t="n">
        <v>45198</v>
      </c>
      <c r="C10448" s="1" t="n">
        <v>45657</v>
      </c>
      <c r="D10448" t="inlineStr">
        <is>
          <t>VÄSTERNORRLANDS LÄN</t>
        </is>
      </c>
      <c r="E10448" t="inlineStr">
        <is>
          <t>SOLLEFTEÅ</t>
        </is>
      </c>
      <c r="F10448" t="inlineStr">
        <is>
          <t>SCA</t>
        </is>
      </c>
      <c r="G10448" t="n">
        <v>8.4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46295-2023</t>
        </is>
      </c>
      <c r="B10449" s="1" t="n">
        <v>45197</v>
      </c>
      <c r="C10449" s="1" t="n">
        <v>45657</v>
      </c>
      <c r="D10449" t="inlineStr">
        <is>
          <t>VÄSTERNORRLANDS LÄN</t>
        </is>
      </c>
      <c r="E10449" t="inlineStr">
        <is>
          <t>ÖRNSKÖLDSVIK</t>
        </is>
      </c>
      <c r="F10449" t="inlineStr">
        <is>
          <t>Holmen skog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46503-2023</t>
        </is>
      </c>
      <c r="B10450" s="1" t="n">
        <v>45197</v>
      </c>
      <c r="C10450" s="1" t="n">
        <v>45657</v>
      </c>
      <c r="D10450" t="inlineStr">
        <is>
          <t>VÄSTERNORRLANDS LÄN</t>
        </is>
      </c>
      <c r="E10450" t="inlineStr">
        <is>
          <t>KRAMFORS</t>
        </is>
      </c>
      <c r="G10450" t="n">
        <v>21.3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46542-2023</t>
        </is>
      </c>
      <c r="B10451" s="1" t="n">
        <v>45198</v>
      </c>
      <c r="C10451" s="1" t="n">
        <v>45657</v>
      </c>
      <c r="D10451" t="inlineStr">
        <is>
          <t>VÄSTERNORRLANDS LÄN</t>
        </is>
      </c>
      <c r="E10451" t="inlineStr">
        <is>
          <t>SUNDSVALL</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47519-2023</t>
        </is>
      </c>
      <c r="B10452" s="1" t="n">
        <v>45197</v>
      </c>
      <c r="C10452" s="1" t="n">
        <v>45657</v>
      </c>
      <c r="D10452" t="inlineStr">
        <is>
          <t>VÄSTERNORRLANDS LÄN</t>
        </is>
      </c>
      <c r="E10452" t="inlineStr">
        <is>
          <t>KRAMFORS</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47582-2023</t>
        </is>
      </c>
      <c r="B10453" s="1" t="n">
        <v>45197</v>
      </c>
      <c r="C10453" s="1" t="n">
        <v>45657</v>
      </c>
      <c r="D10453" t="inlineStr">
        <is>
          <t>VÄSTERNORRLANDS LÄN</t>
        </is>
      </c>
      <c r="E10453" t="inlineStr">
        <is>
          <t>ÖRNSKÖLDSVIK</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47511-2023</t>
        </is>
      </c>
      <c r="B10454" s="1" t="n">
        <v>45197</v>
      </c>
      <c r="C10454" s="1" t="n">
        <v>45657</v>
      </c>
      <c r="D10454" t="inlineStr">
        <is>
          <t>VÄSTERNORRLANDS LÄN</t>
        </is>
      </c>
      <c r="E10454" t="inlineStr">
        <is>
          <t>ÖRNSKÖLDSVIK</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47535-2023</t>
        </is>
      </c>
      <c r="B10455" s="1" t="n">
        <v>45197</v>
      </c>
      <c r="C10455" s="1" t="n">
        <v>45657</v>
      </c>
      <c r="D10455" t="inlineStr">
        <is>
          <t>VÄSTERNORRLANDS LÄN</t>
        </is>
      </c>
      <c r="E10455" t="inlineStr">
        <is>
          <t>KRAMFORS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47598-2023</t>
        </is>
      </c>
      <c r="B10456" s="1" t="n">
        <v>45197</v>
      </c>
      <c r="C10456" s="1" t="n">
        <v>45657</v>
      </c>
      <c r="D10456" t="inlineStr">
        <is>
          <t>VÄSTERNORRLANDS LÄN</t>
        </is>
      </c>
      <c r="E10456" t="inlineStr">
        <is>
          <t>ÖRNSKÖLDSVIK</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47432-2023</t>
        </is>
      </c>
      <c r="B10457" s="1" t="n">
        <v>45197</v>
      </c>
      <c r="C10457" s="1" t="n">
        <v>45657</v>
      </c>
      <c r="D10457" t="inlineStr">
        <is>
          <t>VÄSTERNORRLANDS LÄN</t>
        </is>
      </c>
      <c r="E10457" t="inlineStr">
        <is>
          <t>ÅNGE</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47450-2023</t>
        </is>
      </c>
      <c r="B10458" s="1" t="n">
        <v>45197</v>
      </c>
      <c r="C10458" s="1" t="n">
        <v>45657</v>
      </c>
      <c r="D10458" t="inlineStr">
        <is>
          <t>VÄSTERNORRLANDS LÄN</t>
        </is>
      </c>
      <c r="E10458" t="inlineStr">
        <is>
          <t>KRAMFORS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47523-2023</t>
        </is>
      </c>
      <c r="B10459" s="1" t="n">
        <v>45197</v>
      </c>
      <c r="C10459" s="1" t="n">
        <v>45657</v>
      </c>
      <c r="D10459" t="inlineStr">
        <is>
          <t>VÄSTERNORRLANDS LÄN</t>
        </is>
      </c>
      <c r="E10459" t="inlineStr">
        <is>
          <t>ÖRNSKÖLDSVIK</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47588-2023</t>
        </is>
      </c>
      <c r="B10460" s="1" t="n">
        <v>45197</v>
      </c>
      <c r="C10460" s="1" t="n">
        <v>45657</v>
      </c>
      <c r="D10460" t="inlineStr">
        <is>
          <t>VÄSTERNORRLANDS LÄN</t>
        </is>
      </c>
      <c r="E10460" t="inlineStr">
        <is>
          <t>ÖRNSKÖLDSVIK</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46555-2023</t>
        </is>
      </c>
      <c r="B10461" s="1" t="n">
        <v>45198</v>
      </c>
      <c r="C10461" s="1" t="n">
        <v>45657</v>
      </c>
      <c r="D10461" t="inlineStr">
        <is>
          <t>VÄSTERNORRLANDS LÄN</t>
        </is>
      </c>
      <c r="E10461" t="inlineStr">
        <is>
          <t>SOLLEFTEÅ</t>
        </is>
      </c>
      <c r="F10461" t="inlineStr">
        <is>
          <t>SCA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47436-2023</t>
        </is>
      </c>
      <c r="B10462" s="1" t="n">
        <v>45197</v>
      </c>
      <c r="C10462" s="1" t="n">
        <v>45657</v>
      </c>
      <c r="D10462" t="inlineStr">
        <is>
          <t>VÄSTERNORRLANDS LÄN</t>
        </is>
      </c>
      <c r="E10462" t="inlineStr">
        <is>
          <t>HÄRNÖSAND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47514-2023</t>
        </is>
      </c>
      <c r="B10463" s="1" t="n">
        <v>45197</v>
      </c>
      <c r="C10463" s="1" t="n">
        <v>45657</v>
      </c>
      <c r="D10463" t="inlineStr">
        <is>
          <t>VÄSTERNORRLANDS LÄN</t>
        </is>
      </c>
      <c r="E10463" t="inlineStr">
        <is>
          <t>ÖRNSKÖLDSVIK</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46679-2023</t>
        </is>
      </c>
      <c r="B10464" s="1" t="n">
        <v>45198</v>
      </c>
      <c r="C10464" s="1" t="n">
        <v>45657</v>
      </c>
      <c r="D10464" t="inlineStr">
        <is>
          <t>VÄSTERNORRLANDS LÄN</t>
        </is>
      </c>
      <c r="E10464" t="inlineStr">
        <is>
          <t>ÅNGE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46689-2023</t>
        </is>
      </c>
      <c r="B10465" s="1" t="n">
        <v>45198</v>
      </c>
      <c r="C10465" s="1" t="n">
        <v>45657</v>
      </c>
      <c r="D10465" t="inlineStr">
        <is>
          <t>VÄSTERNORRLANDS LÄN</t>
        </is>
      </c>
      <c r="E10465" t="inlineStr">
        <is>
          <t>ÅNGE</t>
        </is>
      </c>
      <c r="F10465" t="inlineStr">
        <is>
          <t>Holmen skog AB</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46716-2023</t>
        </is>
      </c>
      <c r="B10466" s="1" t="n">
        <v>45198</v>
      </c>
      <c r="C10466" s="1" t="n">
        <v>45657</v>
      </c>
      <c r="D10466" t="inlineStr">
        <is>
          <t>VÄSTERNORRLANDS LÄN</t>
        </is>
      </c>
      <c r="E10466" t="inlineStr">
        <is>
          <t>ÖRNSKÖLDSVIK</t>
        </is>
      </c>
      <c r="F10466" t="inlineStr">
        <is>
          <t>Holmen skog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46804-2023</t>
        </is>
      </c>
      <c r="B10467" s="1" t="n">
        <v>45198</v>
      </c>
      <c r="C10467" s="1" t="n">
        <v>45657</v>
      </c>
      <c r="D10467" t="inlineStr">
        <is>
          <t>VÄSTERNORRLANDS LÄN</t>
        </is>
      </c>
      <c r="E10467" t="inlineStr">
        <is>
          <t>SOLLEFTEÅ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46808-2023</t>
        </is>
      </c>
      <c r="B10468" s="1" t="n">
        <v>45199</v>
      </c>
      <c r="C10468" s="1" t="n">
        <v>45657</v>
      </c>
      <c r="D10468" t="inlineStr">
        <is>
          <t>VÄSTERNORRLANDS LÄN</t>
        </is>
      </c>
      <c r="E10468" t="inlineStr">
        <is>
          <t>SUNDSVALL</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46681-2023</t>
        </is>
      </c>
      <c r="B10469" s="1" t="n">
        <v>45198</v>
      </c>
      <c r="C10469" s="1" t="n">
        <v>45657</v>
      </c>
      <c r="D10469" t="inlineStr">
        <is>
          <t>VÄSTERNORRLANDS LÄN</t>
        </is>
      </c>
      <c r="E10469" t="inlineStr">
        <is>
          <t>ÅNGE</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46821-2023</t>
        </is>
      </c>
      <c r="B10470" s="1" t="n">
        <v>45198</v>
      </c>
      <c r="C10470" s="1" t="n">
        <v>45657</v>
      </c>
      <c r="D10470" t="inlineStr">
        <is>
          <t>VÄSTERNORRLANDS LÄN</t>
        </is>
      </c>
      <c r="E10470" t="inlineStr">
        <is>
          <t>ÖRNSKÖLDSVIK</t>
        </is>
      </c>
      <c r="F10470" t="inlineStr">
        <is>
          <t>SCA</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46667-2023</t>
        </is>
      </c>
      <c r="B10471" s="1" t="n">
        <v>45198</v>
      </c>
      <c r="C10471" s="1" t="n">
        <v>45657</v>
      </c>
      <c r="D10471" t="inlineStr">
        <is>
          <t>VÄSTERNORRLANDS LÄN</t>
        </is>
      </c>
      <c r="E10471" t="inlineStr">
        <is>
          <t>ÅNGE</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47741-2023</t>
        </is>
      </c>
      <c r="B10472" s="1" t="n">
        <v>45198</v>
      </c>
      <c r="C10472" s="1" t="n">
        <v>45657</v>
      </c>
      <c r="D10472" t="inlineStr">
        <is>
          <t>VÄSTERNORRLANDS LÄN</t>
        </is>
      </c>
      <c r="E10472" t="inlineStr">
        <is>
          <t>SOLLEFTEÅ</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48011-2023</t>
        </is>
      </c>
      <c r="B10473" s="1" t="n">
        <v>45198</v>
      </c>
      <c r="C10473" s="1" t="n">
        <v>45657</v>
      </c>
      <c r="D10473" t="inlineStr">
        <is>
          <t>VÄSTERNORRLANDS LÄN</t>
        </is>
      </c>
      <c r="E10473" t="inlineStr">
        <is>
          <t>SUNDSVALL</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47607-2023</t>
        </is>
      </c>
      <c r="B10474" s="1" t="n">
        <v>45198</v>
      </c>
      <c r="C10474" s="1" t="n">
        <v>45657</v>
      </c>
      <c r="D10474" t="inlineStr">
        <is>
          <t>VÄSTERNORRLANDS LÄN</t>
        </is>
      </c>
      <c r="E10474" t="inlineStr">
        <is>
          <t>HÄRNÖSAND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47828-2023</t>
        </is>
      </c>
      <c r="B10475" s="1" t="n">
        <v>45198</v>
      </c>
      <c r="C10475" s="1" t="n">
        <v>45657</v>
      </c>
      <c r="D10475" t="inlineStr">
        <is>
          <t>VÄSTERNORRLANDS LÄN</t>
        </is>
      </c>
      <c r="E10475" t="inlineStr">
        <is>
          <t>HÄRNÖSAND</t>
        </is>
      </c>
      <c r="G10475" t="n">
        <v>18.4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47820-2023</t>
        </is>
      </c>
      <c r="B10476" s="1" t="n">
        <v>45198</v>
      </c>
      <c r="C10476" s="1" t="n">
        <v>45657</v>
      </c>
      <c r="D10476" t="inlineStr">
        <is>
          <t>VÄSTERNORRLANDS LÄN</t>
        </is>
      </c>
      <c r="E10476" t="inlineStr">
        <is>
          <t>HÄRNÖSAND</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48019-2023</t>
        </is>
      </c>
      <c r="B10477" s="1" t="n">
        <v>45198</v>
      </c>
      <c r="C10477" s="1" t="n">
        <v>45657</v>
      </c>
      <c r="D10477" t="inlineStr">
        <is>
          <t>VÄSTERNORRLANDS LÄN</t>
        </is>
      </c>
      <c r="E10477" t="inlineStr">
        <is>
          <t>SUNDSVALL</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46795-2023</t>
        </is>
      </c>
      <c r="B10478" s="1" t="n">
        <v>45198</v>
      </c>
      <c r="C10478" s="1" t="n">
        <v>45657</v>
      </c>
      <c r="D10478" t="inlineStr">
        <is>
          <t>VÄSTERNORRLANDS LÄN</t>
        </is>
      </c>
      <c r="E10478" t="inlineStr">
        <is>
          <t>ÅNGE</t>
        </is>
      </c>
      <c r="F10478" t="inlineStr">
        <is>
          <t>Holmen skog AB</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46822-2023</t>
        </is>
      </c>
      <c r="B10479" s="1" t="n">
        <v>45198</v>
      </c>
      <c r="C10479" s="1" t="n">
        <v>45657</v>
      </c>
      <c r="D10479" t="inlineStr">
        <is>
          <t>VÄSTERNORRLANDS LÄN</t>
        </is>
      </c>
      <c r="E10479" t="inlineStr">
        <is>
          <t>KRAMFORS</t>
        </is>
      </c>
      <c r="F10479" t="inlineStr">
        <is>
          <t>SCA</t>
        </is>
      </c>
      <c r="G10479" t="n">
        <v>21.2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47594-2023</t>
        </is>
      </c>
      <c r="B10480" s="1" t="n">
        <v>45198</v>
      </c>
      <c r="C10480" s="1" t="n">
        <v>45657</v>
      </c>
      <c r="D10480" t="inlineStr">
        <is>
          <t>VÄSTERNORRLANDS LÄN</t>
        </is>
      </c>
      <c r="E10480" t="inlineStr">
        <is>
          <t>HÄRNÖSAND</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47812-2023</t>
        </is>
      </c>
      <c r="B10481" s="1" t="n">
        <v>45198</v>
      </c>
      <c r="C10481" s="1" t="n">
        <v>45657</v>
      </c>
      <c r="D10481" t="inlineStr">
        <is>
          <t>VÄSTERNORRLANDS LÄN</t>
        </is>
      </c>
      <c r="E10481" t="inlineStr">
        <is>
          <t>HÄRNÖSAND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48176-2023</t>
        </is>
      </c>
      <c r="B10482" s="1" t="n">
        <v>45199</v>
      </c>
      <c r="C10482" s="1" t="n">
        <v>45657</v>
      </c>
      <c r="D10482" t="inlineStr">
        <is>
          <t>VÄSTERNORRLANDS LÄN</t>
        </is>
      </c>
      <c r="E10482" t="inlineStr">
        <is>
          <t>KRAMFORS</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47109-2023</t>
        </is>
      </c>
      <c r="B10483" s="1" t="n">
        <v>45201</v>
      </c>
      <c r="C10483" s="1" t="n">
        <v>45657</v>
      </c>
      <c r="D10483" t="inlineStr">
        <is>
          <t>VÄSTERNORRLANDS LÄN</t>
        </is>
      </c>
      <c r="E10483" t="inlineStr">
        <is>
          <t>ÖRNSKÖLDSVIK</t>
        </is>
      </c>
      <c r="F10483" t="inlineStr">
        <is>
          <t>Holmen skog AB</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47147-2023</t>
        </is>
      </c>
      <c r="B10484" s="1" t="n">
        <v>45201</v>
      </c>
      <c r="C10484" s="1" t="n">
        <v>45657</v>
      </c>
      <c r="D10484" t="inlineStr">
        <is>
          <t>VÄSTERNORRLANDS LÄN</t>
        </is>
      </c>
      <c r="E10484" t="inlineStr">
        <is>
          <t>TIMRÅ</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47159-2023</t>
        </is>
      </c>
      <c r="B10485" s="1" t="n">
        <v>45201</v>
      </c>
      <c r="C10485" s="1" t="n">
        <v>45657</v>
      </c>
      <c r="D10485" t="inlineStr">
        <is>
          <t>VÄSTERNORRLANDS LÄN</t>
        </is>
      </c>
      <c r="E10485" t="inlineStr">
        <is>
          <t>SOLLEFTEÅ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47167-2023</t>
        </is>
      </c>
      <c r="B10486" s="1" t="n">
        <v>45202</v>
      </c>
      <c r="C10486" s="1" t="n">
        <v>45657</v>
      </c>
      <c r="D10486" t="inlineStr">
        <is>
          <t>VÄSTERNORRLANDS LÄN</t>
        </is>
      </c>
      <c r="E10486" t="inlineStr">
        <is>
          <t>SOLLEFTEÅ</t>
        </is>
      </c>
      <c r="F10486" t="inlineStr">
        <is>
          <t>SCA</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47175-2023</t>
        </is>
      </c>
      <c r="B10487" s="1" t="n">
        <v>45202</v>
      </c>
      <c r="C10487" s="1" t="n">
        <v>45657</v>
      </c>
      <c r="D10487" t="inlineStr">
        <is>
          <t>VÄSTERNORRLANDS LÄN</t>
        </is>
      </c>
      <c r="E10487" t="inlineStr">
        <is>
          <t>SOLLEFTEÅ</t>
        </is>
      </c>
      <c r="F10487" t="inlineStr">
        <is>
          <t>SCA</t>
        </is>
      </c>
      <c r="G10487" t="n">
        <v>14.7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47150-2023</t>
        </is>
      </c>
      <c r="B10488" s="1" t="n">
        <v>45201</v>
      </c>
      <c r="C10488" s="1" t="n">
        <v>45657</v>
      </c>
      <c r="D10488" t="inlineStr">
        <is>
          <t>VÄSTERNORRLANDS LÄN</t>
        </is>
      </c>
      <c r="E10488" t="inlineStr">
        <is>
          <t>TIMRÅ</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47158-2023</t>
        </is>
      </c>
      <c r="B10489" s="1" t="n">
        <v>45201</v>
      </c>
      <c r="C10489" s="1" t="n">
        <v>45657</v>
      </c>
      <c r="D10489" t="inlineStr">
        <is>
          <t>VÄSTERNORRLANDS LÄN</t>
        </is>
      </c>
      <c r="E10489" t="inlineStr">
        <is>
          <t>SUNDSVALL</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47170-2023</t>
        </is>
      </c>
      <c r="B10490" s="1" t="n">
        <v>45202</v>
      </c>
      <c r="C10490" s="1" t="n">
        <v>45657</v>
      </c>
      <c r="D10490" t="inlineStr">
        <is>
          <t>VÄSTERNORRLANDS LÄN</t>
        </is>
      </c>
      <c r="E10490" t="inlineStr">
        <is>
          <t>SOLLEFTEÅ</t>
        </is>
      </c>
      <c r="F10490" t="inlineStr">
        <is>
          <t>SCA</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46902-2023</t>
        </is>
      </c>
      <c r="B10491" s="1" t="n">
        <v>45201</v>
      </c>
      <c r="C10491" s="1" t="n">
        <v>45657</v>
      </c>
      <c r="D10491" t="inlineStr">
        <is>
          <t>VÄSTERNORRLANDS LÄN</t>
        </is>
      </c>
      <c r="E10491" t="inlineStr">
        <is>
          <t>SUNDSVALL</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47174-2023</t>
        </is>
      </c>
      <c r="B10492" s="1" t="n">
        <v>45202</v>
      </c>
      <c r="C10492" s="1" t="n">
        <v>45657</v>
      </c>
      <c r="D10492" t="inlineStr">
        <is>
          <t>VÄSTERNORRLANDS LÄN</t>
        </is>
      </c>
      <c r="E10492" t="inlineStr">
        <is>
          <t>SOLLEFTEÅ</t>
        </is>
      </c>
      <c r="F10492" t="inlineStr">
        <is>
          <t>SCA</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47105-2023</t>
        </is>
      </c>
      <c r="B10493" s="1" t="n">
        <v>45201</v>
      </c>
      <c r="C10493" s="1" t="n">
        <v>45657</v>
      </c>
      <c r="D10493" t="inlineStr">
        <is>
          <t>VÄSTERNORRLANDS LÄN</t>
        </is>
      </c>
      <c r="E10493" t="inlineStr">
        <is>
          <t>KRAMFORS</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47156-2023</t>
        </is>
      </c>
      <c r="B10494" s="1" t="n">
        <v>45201</v>
      </c>
      <c r="C10494" s="1" t="n">
        <v>45657</v>
      </c>
      <c r="D10494" t="inlineStr">
        <is>
          <t>VÄSTERNORRLANDS LÄN</t>
        </is>
      </c>
      <c r="E10494" t="inlineStr">
        <is>
          <t>SUNDSVALL</t>
        </is>
      </c>
      <c r="G10494" t="n">
        <v>8.199999999999999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47164-2023</t>
        </is>
      </c>
      <c r="B10495" s="1" t="n">
        <v>45201</v>
      </c>
      <c r="C10495" s="1" t="n">
        <v>45657</v>
      </c>
      <c r="D10495" t="inlineStr">
        <is>
          <t>VÄSTERNORRLANDS LÄN</t>
        </is>
      </c>
      <c r="E10495" t="inlineStr">
        <is>
          <t>ÖRNSKÖLDSVIK</t>
        </is>
      </c>
      <c r="F10495" t="inlineStr">
        <is>
          <t>SCA</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46974-2023</t>
        </is>
      </c>
      <c r="B10496" s="1" t="n">
        <v>45201</v>
      </c>
      <c r="C10496" s="1" t="n">
        <v>45657</v>
      </c>
      <c r="D10496" t="inlineStr">
        <is>
          <t>VÄSTERNORRLANDS LÄN</t>
        </is>
      </c>
      <c r="E10496" t="inlineStr">
        <is>
          <t>ÖRNSKÖLDSVIK</t>
        </is>
      </c>
      <c r="F10496" t="inlineStr">
        <is>
          <t>Holmen skog AB</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46996-2023</t>
        </is>
      </c>
      <c r="B10497" s="1" t="n">
        <v>45201</v>
      </c>
      <c r="C10497" s="1" t="n">
        <v>45657</v>
      </c>
      <c r="D10497" t="inlineStr">
        <is>
          <t>VÄSTERNORRLANDS LÄN</t>
        </is>
      </c>
      <c r="E10497" t="inlineStr">
        <is>
          <t>ÖRNSKÖLDSVIK</t>
        </is>
      </c>
      <c r="F10497" t="inlineStr">
        <is>
          <t>Holmen skog AB</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47180-2023</t>
        </is>
      </c>
      <c r="B10498" s="1" t="n">
        <v>45201</v>
      </c>
      <c r="C10498" s="1" t="n">
        <v>45657</v>
      </c>
      <c r="D10498" t="inlineStr">
        <is>
          <t>VÄSTERNORRLANDS LÄN</t>
        </is>
      </c>
      <c r="E10498" t="inlineStr">
        <is>
          <t>SUNDSVALL</t>
        </is>
      </c>
      <c r="F10498" t="inlineStr">
        <is>
          <t>SCA</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47184-2023</t>
        </is>
      </c>
      <c r="B10499" s="1" t="n">
        <v>45201</v>
      </c>
      <c r="C10499" s="1" t="n">
        <v>45657</v>
      </c>
      <c r="D10499" t="inlineStr">
        <is>
          <t>VÄSTERNORRLANDS LÄN</t>
        </is>
      </c>
      <c r="E10499" t="inlineStr">
        <is>
          <t>SUNDSVALL</t>
        </is>
      </c>
      <c r="F10499" t="inlineStr">
        <is>
          <t>SCA</t>
        </is>
      </c>
      <c r="G10499" t="n">
        <v>18.3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47072-2023</t>
        </is>
      </c>
      <c r="B10500" s="1" t="n">
        <v>45201</v>
      </c>
      <c r="C10500" s="1" t="n">
        <v>45657</v>
      </c>
      <c r="D10500" t="inlineStr">
        <is>
          <t>VÄSTERNORRLANDS LÄN</t>
        </is>
      </c>
      <c r="E10500" t="inlineStr">
        <is>
          <t>ÖRNSKÖLDSVIK</t>
        </is>
      </c>
      <c r="F10500" t="inlineStr">
        <is>
          <t>Holmen skog AB</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46950-2023</t>
        </is>
      </c>
      <c r="B10501" s="1" t="n">
        <v>45201</v>
      </c>
      <c r="C10501" s="1" t="n">
        <v>45657</v>
      </c>
      <c r="D10501" t="inlineStr">
        <is>
          <t>VÄSTERNORRLANDS LÄN</t>
        </is>
      </c>
      <c r="E10501" t="inlineStr">
        <is>
          <t>ÖRNSKÖLDSVIK</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46976-2023</t>
        </is>
      </c>
      <c r="B10502" s="1" t="n">
        <v>45201</v>
      </c>
      <c r="C10502" s="1" t="n">
        <v>45657</v>
      </c>
      <c r="D10502" t="inlineStr">
        <is>
          <t>VÄSTERNORRLANDS LÄN</t>
        </is>
      </c>
      <c r="E10502" t="inlineStr">
        <is>
          <t>ÖRNSKÖLDSVIK</t>
        </is>
      </c>
      <c r="F10502" t="inlineStr">
        <is>
          <t>Holmen skog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46972-2023</t>
        </is>
      </c>
      <c r="B10503" s="1" t="n">
        <v>45201</v>
      </c>
      <c r="C10503" s="1" t="n">
        <v>45657</v>
      </c>
      <c r="D10503" t="inlineStr">
        <is>
          <t>VÄSTERNORRLANDS LÄN</t>
        </is>
      </c>
      <c r="E10503" t="inlineStr">
        <is>
          <t>SUNDSVALL</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47153-2023</t>
        </is>
      </c>
      <c r="B10504" s="1" t="n">
        <v>45202</v>
      </c>
      <c r="C10504" s="1" t="n">
        <v>45657</v>
      </c>
      <c r="D10504" t="inlineStr">
        <is>
          <t>VÄSTERNORRLANDS LÄN</t>
        </is>
      </c>
      <c r="E10504" t="inlineStr">
        <is>
          <t>ÅNGE</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47157-2023</t>
        </is>
      </c>
      <c r="B10505" s="1" t="n">
        <v>45201</v>
      </c>
      <c r="C10505" s="1" t="n">
        <v>45657</v>
      </c>
      <c r="D10505" t="inlineStr">
        <is>
          <t>VÄSTERNORRLANDS LÄN</t>
        </is>
      </c>
      <c r="E10505" t="inlineStr">
        <is>
          <t>SUNDSVALL</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47161-2023</t>
        </is>
      </c>
      <c r="B10506" s="1" t="n">
        <v>45201</v>
      </c>
      <c r="C10506" s="1" t="n">
        <v>45657</v>
      </c>
      <c r="D10506" t="inlineStr">
        <is>
          <t>VÄSTERNORRLANDS LÄN</t>
        </is>
      </c>
      <c r="E10506" t="inlineStr">
        <is>
          <t>KRAMFORS</t>
        </is>
      </c>
      <c r="F10506" t="inlineStr">
        <is>
          <t>SCA</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47177-2023</t>
        </is>
      </c>
      <c r="B10507" s="1" t="n">
        <v>45201</v>
      </c>
      <c r="C10507" s="1" t="n">
        <v>45657</v>
      </c>
      <c r="D10507" t="inlineStr">
        <is>
          <t>VÄSTERNORRLANDS LÄN</t>
        </is>
      </c>
      <c r="E10507" t="inlineStr">
        <is>
          <t>SOLLEFTEÅ</t>
        </is>
      </c>
      <c r="F10507" t="inlineStr">
        <is>
          <t>SCA</t>
        </is>
      </c>
      <c r="G10507" t="n">
        <v>7.8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47181-2023</t>
        </is>
      </c>
      <c r="B10508" s="1" t="n">
        <v>45202</v>
      </c>
      <c r="C10508" s="1" t="n">
        <v>45657</v>
      </c>
      <c r="D10508" t="inlineStr">
        <is>
          <t>VÄSTERNORRLANDS LÄN</t>
        </is>
      </c>
      <c r="E10508" t="inlineStr">
        <is>
          <t>SOLLEFTEÅ</t>
        </is>
      </c>
      <c r="F10508" t="inlineStr">
        <is>
          <t>SCA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47185-2023</t>
        </is>
      </c>
      <c r="B10509" s="1" t="n">
        <v>45201</v>
      </c>
      <c r="C10509" s="1" t="n">
        <v>45657</v>
      </c>
      <c r="D10509" t="inlineStr">
        <is>
          <t>VÄSTERNORRLANDS LÄN</t>
        </is>
      </c>
      <c r="E10509" t="inlineStr">
        <is>
          <t>SOLLEFTEÅ</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46904-2023</t>
        </is>
      </c>
      <c r="B10510" s="1" t="n">
        <v>45201</v>
      </c>
      <c r="C10510" s="1" t="n">
        <v>45657</v>
      </c>
      <c r="D10510" t="inlineStr">
        <is>
          <t>VÄSTERNORRLANDS LÄN</t>
        </is>
      </c>
      <c r="E10510" t="inlineStr">
        <is>
          <t>SUNDSVALL</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46973-2023</t>
        </is>
      </c>
      <c r="B10511" s="1" t="n">
        <v>45201</v>
      </c>
      <c r="C10511" s="1" t="n">
        <v>45657</v>
      </c>
      <c r="D10511" t="inlineStr">
        <is>
          <t>VÄSTERNORRLANDS LÄN</t>
        </is>
      </c>
      <c r="E10511" t="inlineStr">
        <is>
          <t>SUNDSVALL</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46988-2023</t>
        </is>
      </c>
      <c r="B10512" s="1" t="n">
        <v>45201</v>
      </c>
      <c r="C10512" s="1" t="n">
        <v>45657</v>
      </c>
      <c r="D10512" t="inlineStr">
        <is>
          <t>VÄSTERNORRLANDS LÄN</t>
        </is>
      </c>
      <c r="E10512" t="inlineStr">
        <is>
          <t>ÖRNSKÖLDSVIK</t>
        </is>
      </c>
      <c r="F10512" t="inlineStr">
        <is>
          <t>Holmen skog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47018-2023</t>
        </is>
      </c>
      <c r="B10513" s="1" t="n">
        <v>45201</v>
      </c>
      <c r="C10513" s="1" t="n">
        <v>45657</v>
      </c>
      <c r="D10513" t="inlineStr">
        <is>
          <t>VÄSTERNORRLANDS LÄN</t>
        </is>
      </c>
      <c r="E10513" t="inlineStr">
        <is>
          <t>SUNDSVALL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48308-2023</t>
        </is>
      </c>
      <c r="B10514" s="1" t="n">
        <v>45201</v>
      </c>
      <c r="C10514" s="1" t="n">
        <v>45657</v>
      </c>
      <c r="D10514" t="inlineStr">
        <is>
          <t>VÄSTERNORRLANDS LÄN</t>
        </is>
      </c>
      <c r="E10514" t="inlineStr">
        <is>
          <t>ÖRNSKÖLDSVIK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48323-2023</t>
        </is>
      </c>
      <c r="B10515" s="1" t="n">
        <v>45201</v>
      </c>
      <c r="C10515" s="1" t="n">
        <v>45657</v>
      </c>
      <c r="D10515" t="inlineStr">
        <is>
          <t>VÄSTERNORRLANDS LÄN</t>
        </is>
      </c>
      <c r="E10515" t="inlineStr">
        <is>
          <t>ÖRNSKÖLDSVIK</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47237-2023</t>
        </is>
      </c>
      <c r="B10516" s="1" t="n">
        <v>45202</v>
      </c>
      <c r="C10516" s="1" t="n">
        <v>45657</v>
      </c>
      <c r="D10516" t="inlineStr">
        <is>
          <t>VÄSTERNORRLANDS LÄN</t>
        </is>
      </c>
      <c r="E10516" t="inlineStr">
        <is>
          <t>SUNDSVALL</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47190-2023</t>
        </is>
      </c>
      <c r="B10517" s="1" t="n">
        <v>45202</v>
      </c>
      <c r="C10517" s="1" t="n">
        <v>45657</v>
      </c>
      <c r="D10517" t="inlineStr">
        <is>
          <t>VÄSTERNORRLANDS LÄN</t>
        </is>
      </c>
      <c r="E10517" t="inlineStr">
        <is>
          <t>ÖRNSKÖLDSVIK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47233-2023</t>
        </is>
      </c>
      <c r="B10518" s="1" t="n">
        <v>45202</v>
      </c>
      <c r="C10518" s="1" t="n">
        <v>45657</v>
      </c>
      <c r="D10518" t="inlineStr">
        <is>
          <t>VÄSTERNORRLANDS LÄN</t>
        </is>
      </c>
      <c r="E10518" t="inlineStr">
        <is>
          <t>ÅNGE</t>
        </is>
      </c>
      <c r="F10518" t="inlineStr">
        <is>
          <t>Holmen skog AB</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47378-2023</t>
        </is>
      </c>
      <c r="B10519" s="1" t="n">
        <v>45202</v>
      </c>
      <c r="C10519" s="1" t="n">
        <v>45657</v>
      </c>
      <c r="D10519" t="inlineStr">
        <is>
          <t>VÄSTERNORRLANDS LÄN</t>
        </is>
      </c>
      <c r="E10519" t="inlineStr">
        <is>
          <t>ÖRNSKÖLDSVIK</t>
        </is>
      </c>
      <c r="F10519" t="inlineStr">
        <is>
          <t>Holmen skog AB</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47478-2023</t>
        </is>
      </c>
      <c r="B10520" s="1" t="n">
        <v>45202</v>
      </c>
      <c r="C10520" s="1" t="n">
        <v>45657</v>
      </c>
      <c r="D10520" t="inlineStr">
        <is>
          <t>VÄSTERNORRLANDS LÄN</t>
        </is>
      </c>
      <c r="E10520" t="inlineStr">
        <is>
          <t>KRAMFORS</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47490-2023</t>
        </is>
      </c>
      <c r="B10521" s="1" t="n">
        <v>45203</v>
      </c>
      <c r="C10521" s="1" t="n">
        <v>45657</v>
      </c>
      <c r="D10521" t="inlineStr">
        <is>
          <t>VÄSTERNORRLANDS LÄN</t>
        </is>
      </c>
      <c r="E10521" t="inlineStr">
        <is>
          <t>SOLLEFTEÅ</t>
        </is>
      </c>
      <c r="F10521" t="inlineStr">
        <is>
          <t>SCA</t>
        </is>
      </c>
      <c r="G10521" t="n">
        <v>12.6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48565-2023</t>
        </is>
      </c>
      <c r="B10522" s="1" t="n">
        <v>45202</v>
      </c>
      <c r="C10522" s="1" t="n">
        <v>45657</v>
      </c>
      <c r="D10522" t="inlineStr">
        <is>
          <t>VÄSTERNORRLANDS LÄN</t>
        </is>
      </c>
      <c r="E10522" t="inlineStr">
        <is>
          <t>SUNDSVALL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47457-2023</t>
        </is>
      </c>
      <c r="B10523" s="1" t="n">
        <v>45202</v>
      </c>
      <c r="C10523" s="1" t="n">
        <v>45657</v>
      </c>
      <c r="D10523" t="inlineStr">
        <is>
          <t>VÄSTERNORRLANDS LÄN</t>
        </is>
      </c>
      <c r="E10523" t="inlineStr">
        <is>
          <t>SOLLEFTEÅ</t>
        </is>
      </c>
      <c r="F10523" t="inlineStr">
        <is>
          <t>Holmen skog AB</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47477-2023</t>
        </is>
      </c>
      <c r="B10524" s="1" t="n">
        <v>45203</v>
      </c>
      <c r="C10524" s="1" t="n">
        <v>45657</v>
      </c>
      <c r="D10524" t="inlineStr">
        <is>
          <t>VÄSTERNORRLANDS LÄN</t>
        </is>
      </c>
      <c r="E10524" t="inlineStr">
        <is>
          <t>SOLLEFTEÅ</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47489-2023</t>
        </is>
      </c>
      <c r="B10525" s="1" t="n">
        <v>45203</v>
      </c>
      <c r="C10525" s="1" t="n">
        <v>45657</v>
      </c>
      <c r="D10525" t="inlineStr">
        <is>
          <t>VÄSTERNORRLANDS LÄN</t>
        </is>
      </c>
      <c r="E10525" t="inlineStr">
        <is>
          <t>ÅNGE</t>
        </is>
      </c>
      <c r="F10525" t="inlineStr">
        <is>
          <t>SCA</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47484-2023</t>
        </is>
      </c>
      <c r="B10526" s="1" t="n">
        <v>45202</v>
      </c>
      <c r="C10526" s="1" t="n">
        <v>45657</v>
      </c>
      <c r="D10526" t="inlineStr">
        <is>
          <t>VÄSTERNORRLANDS LÄN</t>
        </is>
      </c>
      <c r="E10526" t="inlineStr">
        <is>
          <t>HÄRNÖSAND</t>
        </is>
      </c>
      <c r="F10526" t="inlineStr">
        <is>
          <t>SCA</t>
        </is>
      </c>
      <c r="G10526" t="n">
        <v>23.4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47488-2023</t>
        </is>
      </c>
      <c r="B10527" s="1" t="n">
        <v>45203</v>
      </c>
      <c r="C10527" s="1" t="n">
        <v>45657</v>
      </c>
      <c r="D10527" t="inlineStr">
        <is>
          <t>VÄSTERNORRLANDS LÄN</t>
        </is>
      </c>
      <c r="E10527" t="inlineStr">
        <is>
          <t>ÅNGE</t>
        </is>
      </c>
      <c r="F10527" t="inlineStr">
        <is>
          <t>SCA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48653-2023</t>
        </is>
      </c>
      <c r="B10528" s="1" t="n">
        <v>45202</v>
      </c>
      <c r="C10528" s="1" t="n">
        <v>45657</v>
      </c>
      <c r="D10528" t="inlineStr">
        <is>
          <t>VÄSTERNORRLANDS LÄN</t>
        </is>
      </c>
      <c r="E10528" t="inlineStr">
        <is>
          <t>ÖRNSKÖLDSVIK</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48558-2023</t>
        </is>
      </c>
      <c r="B10529" s="1" t="n">
        <v>45202</v>
      </c>
      <c r="C10529" s="1" t="n">
        <v>45657</v>
      </c>
      <c r="D10529" t="inlineStr">
        <is>
          <t>VÄSTERNORRLANDS LÄN</t>
        </is>
      </c>
      <c r="E10529" t="inlineStr">
        <is>
          <t>KRAMFORS</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48617-2023</t>
        </is>
      </c>
      <c r="B10530" s="1" t="n">
        <v>45202</v>
      </c>
      <c r="C10530" s="1" t="n">
        <v>45657</v>
      </c>
      <c r="D10530" t="inlineStr">
        <is>
          <t>VÄSTERNORRLANDS LÄN</t>
        </is>
      </c>
      <c r="E10530" t="inlineStr">
        <is>
          <t>ÖRNSKÖLDSVIK</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47508-2023</t>
        </is>
      </c>
      <c r="B10531" s="1" t="n">
        <v>45203</v>
      </c>
      <c r="C10531" s="1" t="n">
        <v>45657</v>
      </c>
      <c r="D10531" t="inlineStr">
        <is>
          <t>VÄSTERNORRLANDS LÄN</t>
        </is>
      </c>
      <c r="E10531" t="inlineStr">
        <is>
          <t>ÖRNSKÖLDSVIK</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47518-2023</t>
        </is>
      </c>
      <c r="B10532" s="1" t="n">
        <v>45203</v>
      </c>
      <c r="C10532" s="1" t="n">
        <v>45657</v>
      </c>
      <c r="D10532" t="inlineStr">
        <is>
          <t>VÄSTERNORRLANDS LÄN</t>
        </is>
      </c>
      <c r="E10532" t="inlineStr">
        <is>
          <t>SUNDSVALL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47555-2023</t>
        </is>
      </c>
      <c r="B10533" s="1" t="n">
        <v>45203</v>
      </c>
      <c r="C10533" s="1" t="n">
        <v>45657</v>
      </c>
      <c r="D10533" t="inlineStr">
        <is>
          <t>VÄSTERNORRLANDS LÄN</t>
        </is>
      </c>
      <c r="E10533" t="inlineStr">
        <is>
          <t>ÖRNSKÖLDSVIK</t>
        </is>
      </c>
      <c r="F10533" t="inlineStr">
        <is>
          <t>Holmen skog AB</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47560-2023</t>
        </is>
      </c>
      <c r="B10534" s="1" t="n">
        <v>45203</v>
      </c>
      <c r="C10534" s="1" t="n">
        <v>45657</v>
      </c>
      <c r="D10534" t="inlineStr">
        <is>
          <t>VÄSTERNORRLANDS LÄN</t>
        </is>
      </c>
      <c r="E10534" t="inlineStr">
        <is>
          <t>ÖRNSKÖLDSVIK</t>
        </is>
      </c>
      <c r="F10534" t="inlineStr">
        <is>
          <t>Holmen skog AB</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47614-2023</t>
        </is>
      </c>
      <c r="B10535" s="1" t="n">
        <v>45203</v>
      </c>
      <c r="C10535" s="1" t="n">
        <v>45657</v>
      </c>
      <c r="D10535" t="inlineStr">
        <is>
          <t>VÄSTERNORRLANDS LÄN</t>
        </is>
      </c>
      <c r="E10535" t="inlineStr">
        <is>
          <t>ÖRNSKÖLDSVIK</t>
        </is>
      </c>
      <c r="F10535" t="inlineStr">
        <is>
          <t>Holmen skog AB</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47543-2023</t>
        </is>
      </c>
      <c r="B10536" s="1" t="n">
        <v>45203</v>
      </c>
      <c r="C10536" s="1" t="n">
        <v>45657</v>
      </c>
      <c r="D10536" t="inlineStr">
        <is>
          <t>VÄSTERNORRLANDS LÄN</t>
        </is>
      </c>
      <c r="E10536" t="inlineStr">
        <is>
          <t>KRAMFORS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47590-2023</t>
        </is>
      </c>
      <c r="B10537" s="1" t="n">
        <v>45203</v>
      </c>
      <c r="C10537" s="1" t="n">
        <v>45657</v>
      </c>
      <c r="D10537" t="inlineStr">
        <is>
          <t>VÄSTERNORRLANDS LÄN</t>
        </is>
      </c>
      <c r="E10537" t="inlineStr">
        <is>
          <t>ÖRNSKÖLDSVIK</t>
        </is>
      </c>
      <c r="F10537" t="inlineStr">
        <is>
          <t>Holmen skog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47541-2023</t>
        </is>
      </c>
      <c r="B10538" s="1" t="n">
        <v>45203</v>
      </c>
      <c r="C10538" s="1" t="n">
        <v>45657</v>
      </c>
      <c r="D10538" t="inlineStr">
        <is>
          <t>VÄSTERNORRLANDS LÄN</t>
        </is>
      </c>
      <c r="E10538" t="inlineStr">
        <is>
          <t>KRAMFORS</t>
        </is>
      </c>
      <c r="G10538" t="n">
        <v>11.2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47677-2023</t>
        </is>
      </c>
      <c r="B10539" s="1" t="n">
        <v>45203</v>
      </c>
      <c r="C10539" s="1" t="n">
        <v>45657</v>
      </c>
      <c r="D10539" t="inlineStr">
        <is>
          <t>VÄSTERNORRLANDS LÄN</t>
        </is>
      </c>
      <c r="E10539" t="inlineStr">
        <is>
          <t>ÖRNSKÖLDSVIK</t>
        </is>
      </c>
      <c r="F10539" t="inlineStr">
        <is>
          <t>Holmen skog AB</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47667-2023</t>
        </is>
      </c>
      <c r="B10540" s="1" t="n">
        <v>45203</v>
      </c>
      <c r="C10540" s="1" t="n">
        <v>45657</v>
      </c>
      <c r="D10540" t="inlineStr">
        <is>
          <t>VÄSTERNORRLANDS LÄN</t>
        </is>
      </c>
      <c r="E10540" t="inlineStr">
        <is>
          <t>ÖRNSKÖLDSVIK</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47757-2023</t>
        </is>
      </c>
      <c r="B10541" s="1" t="n">
        <v>45203</v>
      </c>
      <c r="C10541" s="1" t="n">
        <v>45657</v>
      </c>
      <c r="D10541" t="inlineStr">
        <is>
          <t>VÄSTERNORRLANDS LÄN</t>
        </is>
      </c>
      <c r="E10541" t="inlineStr">
        <is>
          <t>ÖRNSKÖLDSVIK</t>
        </is>
      </c>
      <c r="F10541" t="inlineStr">
        <is>
          <t>Holmen skog AB</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47755-2023</t>
        </is>
      </c>
      <c r="B10542" s="1" t="n">
        <v>45203</v>
      </c>
      <c r="C10542" s="1" t="n">
        <v>45657</v>
      </c>
      <c r="D10542" t="inlineStr">
        <is>
          <t>VÄSTERNORRLANDS LÄN</t>
        </is>
      </c>
      <c r="E10542" t="inlineStr">
        <is>
          <t>ÖRNSKÖLDSVIK</t>
        </is>
      </c>
      <c r="F10542" t="inlineStr">
        <is>
          <t>Holmen skog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47563-2023</t>
        </is>
      </c>
      <c r="B10543" s="1" t="n">
        <v>45203</v>
      </c>
      <c r="C10543" s="1" t="n">
        <v>45657</v>
      </c>
      <c r="D10543" t="inlineStr">
        <is>
          <t>VÄSTERNORRLANDS LÄN</t>
        </is>
      </c>
      <c r="E10543" t="inlineStr">
        <is>
          <t>ÖRNSKÖLDSVIK</t>
        </is>
      </c>
      <c r="F10543" t="inlineStr">
        <is>
          <t>Holmen skog AB</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47567-2023</t>
        </is>
      </c>
      <c r="B10544" s="1" t="n">
        <v>45203</v>
      </c>
      <c r="C10544" s="1" t="n">
        <v>45657</v>
      </c>
      <c r="D10544" t="inlineStr">
        <is>
          <t>VÄSTERNORRLANDS LÄN</t>
        </is>
      </c>
      <c r="E10544" t="inlineStr">
        <is>
          <t>KRAMFORS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47718-2023</t>
        </is>
      </c>
      <c r="B10545" s="1" t="n">
        <v>45203</v>
      </c>
      <c r="C10545" s="1" t="n">
        <v>45657</v>
      </c>
      <c r="D10545" t="inlineStr">
        <is>
          <t>VÄSTERNORRLANDS LÄN</t>
        </is>
      </c>
      <c r="E10545" t="inlineStr">
        <is>
          <t>ÖRNSKÖLDSVIK</t>
        </is>
      </c>
      <c r="F10545" t="inlineStr">
        <is>
          <t>Holmen skog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47752-2023</t>
        </is>
      </c>
      <c r="B10546" s="1" t="n">
        <v>45203</v>
      </c>
      <c r="C10546" s="1" t="n">
        <v>45657</v>
      </c>
      <c r="D10546" t="inlineStr">
        <is>
          <t>VÄSTERNORRLANDS LÄN</t>
        </is>
      </c>
      <c r="E10546" t="inlineStr">
        <is>
          <t>ÖRNSKÖLDSVIK</t>
        </is>
      </c>
      <c r="F10546" t="inlineStr">
        <is>
          <t>Holmen skog AB</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47779-2023</t>
        </is>
      </c>
      <c r="B10547" s="1" t="n">
        <v>45204</v>
      </c>
      <c r="C10547" s="1" t="n">
        <v>45657</v>
      </c>
      <c r="D10547" t="inlineStr">
        <is>
          <t>VÄSTERNORRLANDS LÄN</t>
        </is>
      </c>
      <c r="E10547" t="inlineStr">
        <is>
          <t>ÅNGE</t>
        </is>
      </c>
      <c r="G10547" t="n">
        <v>9.6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47783-2023</t>
        </is>
      </c>
      <c r="B10548" s="1" t="n">
        <v>45204</v>
      </c>
      <c r="C10548" s="1" t="n">
        <v>45657</v>
      </c>
      <c r="D10548" t="inlineStr">
        <is>
          <t>VÄSTERNORRLANDS LÄN</t>
        </is>
      </c>
      <c r="E10548" t="inlineStr">
        <is>
          <t>HÄRNÖSAND</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47787-2023</t>
        </is>
      </c>
      <c r="B10549" s="1" t="n">
        <v>45203</v>
      </c>
      <c r="C10549" s="1" t="n">
        <v>45657</v>
      </c>
      <c r="D10549" t="inlineStr">
        <is>
          <t>VÄSTERNORRLANDS LÄN</t>
        </is>
      </c>
      <c r="E10549" t="inlineStr">
        <is>
          <t>ÅNGE</t>
        </is>
      </c>
      <c r="F10549" t="inlineStr">
        <is>
          <t>SCA</t>
        </is>
      </c>
      <c r="G10549" t="n">
        <v>50.1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47781-2023</t>
        </is>
      </c>
      <c r="B10550" s="1" t="n">
        <v>45203</v>
      </c>
      <c r="C10550" s="1" t="n">
        <v>45657</v>
      </c>
      <c r="D10550" t="inlineStr">
        <is>
          <t>VÄSTERNORRLANDS LÄN</t>
        </is>
      </c>
      <c r="E10550" t="inlineStr">
        <is>
          <t>HÄRNÖSAND</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47786-2023</t>
        </is>
      </c>
      <c r="B10551" s="1" t="n">
        <v>45203</v>
      </c>
      <c r="C10551" s="1" t="n">
        <v>45657</v>
      </c>
      <c r="D10551" t="inlineStr">
        <is>
          <t>VÄSTERNORRLANDS LÄN</t>
        </is>
      </c>
      <c r="E10551" t="inlineStr">
        <is>
          <t>ÅNGE</t>
        </is>
      </c>
      <c r="F10551" t="inlineStr">
        <is>
          <t>SCA</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48815-2023</t>
        </is>
      </c>
      <c r="B10552" s="1" t="n">
        <v>45203</v>
      </c>
      <c r="C10552" s="1" t="n">
        <v>45657</v>
      </c>
      <c r="D10552" t="inlineStr">
        <is>
          <t>VÄSTERNORRLANDS LÄN</t>
        </is>
      </c>
      <c r="E10552" t="inlineStr">
        <is>
          <t>ÅNGE</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47784-2023</t>
        </is>
      </c>
      <c r="B10553" s="1" t="n">
        <v>45204</v>
      </c>
      <c r="C10553" s="1" t="n">
        <v>45657</v>
      </c>
      <c r="D10553" t="inlineStr">
        <is>
          <t>VÄSTERNORRLANDS LÄN</t>
        </is>
      </c>
      <c r="E10553" t="inlineStr">
        <is>
          <t>SUNDSVALL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47798-2023</t>
        </is>
      </c>
      <c r="B10554" s="1" t="n">
        <v>45203</v>
      </c>
      <c r="C10554" s="1" t="n">
        <v>45657</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47794-2023</t>
        </is>
      </c>
      <c r="B10555" s="1" t="n">
        <v>45204</v>
      </c>
      <c r="C10555" s="1" t="n">
        <v>45657</v>
      </c>
      <c r="D10555" t="inlineStr">
        <is>
          <t>VÄSTERNORRLANDS LÄN</t>
        </is>
      </c>
      <c r="E10555" t="inlineStr">
        <is>
          <t>SOLLEFTEÅ</t>
        </is>
      </c>
      <c r="F10555" t="inlineStr">
        <is>
          <t>SCA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48720-2023</t>
        </is>
      </c>
      <c r="B10556" s="1" t="n">
        <v>45203</v>
      </c>
      <c r="C10556" s="1" t="n">
        <v>45657</v>
      </c>
      <c r="D10556" t="inlineStr">
        <is>
          <t>VÄSTERNORRLANDS LÄN</t>
        </is>
      </c>
      <c r="E10556" t="inlineStr">
        <is>
          <t>ÖRNSKÖLDSVIK</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48715-2023</t>
        </is>
      </c>
      <c r="B10557" s="1" t="n">
        <v>45203</v>
      </c>
      <c r="C10557" s="1" t="n">
        <v>45657</v>
      </c>
      <c r="D10557" t="inlineStr">
        <is>
          <t>VÄSTERNORRLANDS LÄN</t>
        </is>
      </c>
      <c r="E10557" t="inlineStr">
        <is>
          <t>ÖRNSKÖLDSVIK</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48811-2023</t>
        </is>
      </c>
      <c r="B10558" s="1" t="n">
        <v>45203</v>
      </c>
      <c r="C10558" s="1" t="n">
        <v>45657</v>
      </c>
      <c r="D10558" t="inlineStr">
        <is>
          <t>VÄSTERNORRLANDS LÄN</t>
        </is>
      </c>
      <c r="E10558" t="inlineStr">
        <is>
          <t>ÅNGE</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47810-2023</t>
        </is>
      </c>
      <c r="B10559" s="1" t="n">
        <v>45204</v>
      </c>
      <c r="C10559" s="1" t="n">
        <v>45657</v>
      </c>
      <c r="D10559" t="inlineStr">
        <is>
          <t>VÄSTERNORRLANDS LÄN</t>
        </is>
      </c>
      <c r="E10559" t="inlineStr">
        <is>
          <t>ÖRNSKÖLDSVIK</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47837-2023</t>
        </is>
      </c>
      <c r="B10560" s="1" t="n">
        <v>45204</v>
      </c>
      <c r="C10560" s="1" t="n">
        <v>45657</v>
      </c>
      <c r="D10560" t="inlineStr">
        <is>
          <t>VÄSTERNORRLANDS LÄN</t>
        </is>
      </c>
      <c r="E10560" t="inlineStr">
        <is>
          <t>ÖRNSKÖLDSVIK</t>
        </is>
      </c>
      <c r="F10560" t="inlineStr">
        <is>
          <t>Holmen skog AB</t>
        </is>
      </c>
      <c r="G10560" t="n">
        <v>10.4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48009-2023</t>
        </is>
      </c>
      <c r="B10561" s="1" t="n">
        <v>45204</v>
      </c>
      <c r="C10561" s="1" t="n">
        <v>45657</v>
      </c>
      <c r="D10561" t="inlineStr">
        <is>
          <t>VÄSTERNORRLANDS LÄN</t>
        </is>
      </c>
      <c r="E10561" t="inlineStr">
        <is>
          <t>ÖRNSKÖLDSVIK</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48007-2023</t>
        </is>
      </c>
      <c r="B10562" s="1" t="n">
        <v>45204</v>
      </c>
      <c r="C10562" s="1" t="n">
        <v>45657</v>
      </c>
      <c r="D10562" t="inlineStr">
        <is>
          <t>VÄSTERNORRLANDS LÄN</t>
        </is>
      </c>
      <c r="E10562" t="inlineStr">
        <is>
          <t>ÖRNSKÖLDSVIK</t>
        </is>
      </c>
      <c r="F10562" t="inlineStr">
        <is>
          <t>Holmen skog AB</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48061-2023</t>
        </is>
      </c>
      <c r="B10563" s="1" t="n">
        <v>45205</v>
      </c>
      <c r="C10563" s="1" t="n">
        <v>45657</v>
      </c>
      <c r="D10563" t="inlineStr">
        <is>
          <t>VÄSTERNORRLANDS LÄN</t>
        </is>
      </c>
      <c r="E10563" t="inlineStr">
        <is>
          <t>ÅNGE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48077-2023</t>
        </is>
      </c>
      <c r="B10564" s="1" t="n">
        <v>45205</v>
      </c>
      <c r="C10564" s="1" t="n">
        <v>45657</v>
      </c>
      <c r="D10564" t="inlineStr">
        <is>
          <t>VÄSTERNORRLANDS LÄN</t>
        </is>
      </c>
      <c r="E10564" t="inlineStr">
        <is>
          <t>SOLLEFTEÅ</t>
        </is>
      </c>
      <c r="F10564" t="inlineStr">
        <is>
          <t>SCA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48085-2023</t>
        </is>
      </c>
      <c r="B10565" s="1" t="n">
        <v>45205</v>
      </c>
      <c r="C10565" s="1" t="n">
        <v>45657</v>
      </c>
      <c r="D10565" t="inlineStr">
        <is>
          <t>VÄSTERNORRLANDS LÄN</t>
        </is>
      </c>
      <c r="E10565" t="inlineStr">
        <is>
          <t>SOLLEFTEÅ</t>
        </is>
      </c>
      <c r="F10565" t="inlineStr">
        <is>
          <t>SCA</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48089-2023</t>
        </is>
      </c>
      <c r="B10566" s="1" t="n">
        <v>45204</v>
      </c>
      <c r="C10566" s="1" t="n">
        <v>45657</v>
      </c>
      <c r="D10566" t="inlineStr">
        <is>
          <t>VÄSTERNORRLANDS LÄN</t>
        </is>
      </c>
      <c r="E10566" t="inlineStr">
        <is>
          <t>SOLLEFTEÅ</t>
        </is>
      </c>
      <c r="F10566" t="inlineStr">
        <is>
          <t>SCA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48083-2023</t>
        </is>
      </c>
      <c r="B10567" s="1" t="n">
        <v>45204</v>
      </c>
      <c r="C10567" s="1" t="n">
        <v>45657</v>
      </c>
      <c r="D10567" t="inlineStr">
        <is>
          <t>VÄSTERNORRLANDS LÄN</t>
        </is>
      </c>
      <c r="E10567" t="inlineStr">
        <is>
          <t>SOLLEFTEÅ</t>
        </is>
      </c>
      <c r="F10567" t="inlineStr">
        <is>
          <t>SCA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48078-2023</t>
        </is>
      </c>
      <c r="B10568" s="1" t="n">
        <v>45205</v>
      </c>
      <c r="C10568" s="1" t="n">
        <v>45657</v>
      </c>
      <c r="D10568" t="inlineStr">
        <is>
          <t>VÄSTERNORRLANDS LÄN</t>
        </is>
      </c>
      <c r="E10568" t="inlineStr">
        <is>
          <t>KRAMFORS</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48082-2023</t>
        </is>
      </c>
      <c r="B10569" s="1" t="n">
        <v>45204</v>
      </c>
      <c r="C10569" s="1" t="n">
        <v>45657</v>
      </c>
      <c r="D10569" t="inlineStr">
        <is>
          <t>VÄSTERNORRLANDS LÄN</t>
        </is>
      </c>
      <c r="E10569" t="inlineStr">
        <is>
          <t>ÖRNSKÖLDSVIK</t>
        </is>
      </c>
      <c r="F10569" t="inlineStr">
        <is>
          <t>SCA</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48086-2023</t>
        </is>
      </c>
      <c r="B10570" s="1" t="n">
        <v>45205</v>
      </c>
      <c r="C10570" s="1" t="n">
        <v>45657</v>
      </c>
      <c r="D10570" t="inlineStr">
        <is>
          <t>VÄSTERNORRLANDS LÄN</t>
        </is>
      </c>
      <c r="E10570" t="inlineStr">
        <is>
          <t>SOLLEFTEÅ</t>
        </is>
      </c>
      <c r="F10570" t="inlineStr">
        <is>
          <t>SCA</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48090-2023</t>
        </is>
      </c>
      <c r="B10571" s="1" t="n">
        <v>45205</v>
      </c>
      <c r="C10571" s="1" t="n">
        <v>45657</v>
      </c>
      <c r="D10571" t="inlineStr">
        <is>
          <t>VÄSTERNORRLANDS LÄN</t>
        </is>
      </c>
      <c r="E10571" t="inlineStr">
        <is>
          <t>SOLLEFTEÅ</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47861-2023</t>
        </is>
      </c>
      <c r="B10572" s="1" t="n">
        <v>45204</v>
      </c>
      <c r="C10572" s="1" t="n">
        <v>45657</v>
      </c>
      <c r="D10572" t="inlineStr">
        <is>
          <t>VÄSTERNORRLANDS LÄN</t>
        </is>
      </c>
      <c r="E10572" t="inlineStr">
        <is>
          <t>ÖRNSKÖLDSVIK</t>
        </is>
      </c>
      <c r="F10572" t="inlineStr">
        <is>
          <t>Holmen skog AB</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48001-2023</t>
        </is>
      </c>
      <c r="B10573" s="1" t="n">
        <v>45204</v>
      </c>
      <c r="C10573" s="1" t="n">
        <v>45657</v>
      </c>
      <c r="D10573" t="inlineStr">
        <is>
          <t>VÄSTERNORRLANDS LÄN</t>
        </is>
      </c>
      <c r="E10573" t="inlineStr">
        <is>
          <t>ÖRNSKÖLDSVIK</t>
        </is>
      </c>
      <c r="F10573" t="inlineStr">
        <is>
          <t>Holmen skog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48010-2023</t>
        </is>
      </c>
      <c r="B10574" s="1" t="n">
        <v>45204</v>
      </c>
      <c r="C10574" s="1" t="n">
        <v>45657</v>
      </c>
      <c r="D10574" t="inlineStr">
        <is>
          <t>VÄSTERNORRLANDS LÄN</t>
        </is>
      </c>
      <c r="E10574" t="inlineStr">
        <is>
          <t>ÖRNSKÖLDSVIK</t>
        </is>
      </c>
      <c r="F10574" t="inlineStr">
        <is>
          <t>Holmen skog AB</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48056-2023</t>
        </is>
      </c>
      <c r="B10575" s="1" t="n">
        <v>45205</v>
      </c>
      <c r="C10575" s="1" t="n">
        <v>45657</v>
      </c>
      <c r="D10575" t="inlineStr">
        <is>
          <t>VÄSTERNORRLANDS LÄN</t>
        </is>
      </c>
      <c r="E10575" t="inlineStr">
        <is>
          <t>ÖRNSKÖLDSVIK</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48072-2023</t>
        </is>
      </c>
      <c r="B10576" s="1" t="n">
        <v>45205</v>
      </c>
      <c r="C10576" s="1" t="n">
        <v>45657</v>
      </c>
      <c r="D10576" t="inlineStr">
        <is>
          <t>VÄSTERNORRLANDS LÄN</t>
        </is>
      </c>
      <c r="E10576" t="inlineStr">
        <is>
          <t>SOLLEFTEÅ</t>
        </is>
      </c>
      <c r="F10576" t="inlineStr">
        <is>
          <t>SCA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48088-2023</t>
        </is>
      </c>
      <c r="B10577" s="1" t="n">
        <v>45205</v>
      </c>
      <c r="C10577" s="1" t="n">
        <v>45657</v>
      </c>
      <c r="D10577" t="inlineStr">
        <is>
          <t>VÄSTERNORRLANDS LÄN</t>
        </is>
      </c>
      <c r="E10577" t="inlineStr">
        <is>
          <t>SOLLEFTEÅ</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49075-2023</t>
        </is>
      </c>
      <c r="B10578" s="1" t="n">
        <v>45204</v>
      </c>
      <c r="C10578" s="1" t="n">
        <v>45657</v>
      </c>
      <c r="D10578" t="inlineStr">
        <is>
          <t>VÄSTERNORRLANDS LÄN</t>
        </is>
      </c>
      <c r="E10578" t="inlineStr">
        <is>
          <t>ÖRNSKÖLDSVIK</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49006-2023</t>
        </is>
      </c>
      <c r="B10579" s="1" t="n">
        <v>45204</v>
      </c>
      <c r="C10579" s="1" t="n">
        <v>45657</v>
      </c>
      <c r="D10579" t="inlineStr">
        <is>
          <t>VÄSTERNORRLANDS LÄN</t>
        </is>
      </c>
      <c r="E10579" t="inlineStr">
        <is>
          <t>KRAMFORS</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49087-2023</t>
        </is>
      </c>
      <c r="B10580" s="1" t="n">
        <v>45204</v>
      </c>
      <c r="C10580" s="1" t="n">
        <v>45657</v>
      </c>
      <c r="D10580" t="inlineStr">
        <is>
          <t>VÄSTERNORRLANDS LÄN</t>
        </is>
      </c>
      <c r="E10580" t="inlineStr">
        <is>
          <t>ÖRNSKÖLDSVIK</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48913-2023</t>
        </is>
      </c>
      <c r="B10581" s="1" t="n">
        <v>45204</v>
      </c>
      <c r="C10581" s="1" t="n">
        <v>45657</v>
      </c>
      <c r="D10581" t="inlineStr">
        <is>
          <t>VÄSTERNORRLANDS LÄN</t>
        </is>
      </c>
      <c r="E10581" t="inlineStr">
        <is>
          <t>ÖRNSKÖLDSVIK</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49001-2023</t>
        </is>
      </c>
      <c r="B10582" s="1" t="n">
        <v>45204</v>
      </c>
      <c r="C10582" s="1" t="n">
        <v>45657</v>
      </c>
      <c r="D10582" t="inlineStr">
        <is>
          <t>VÄSTERNORRLANDS LÄN</t>
        </is>
      </c>
      <c r="E10582" t="inlineStr">
        <is>
          <t>KRAMFORS</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48964-2023</t>
        </is>
      </c>
      <c r="B10583" s="1" t="n">
        <v>45204</v>
      </c>
      <c r="C10583" s="1" t="n">
        <v>45657</v>
      </c>
      <c r="D10583" t="inlineStr">
        <is>
          <t>VÄSTERNORRLANDS LÄN</t>
        </is>
      </c>
      <c r="E10583" t="inlineStr">
        <is>
          <t>SOLLEFTEÅ</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48098-2023</t>
        </is>
      </c>
      <c r="B10584" s="1" t="n">
        <v>45205</v>
      </c>
      <c r="C10584" s="1" t="n">
        <v>45657</v>
      </c>
      <c r="D10584" t="inlineStr">
        <is>
          <t>VÄSTERNORRLANDS LÄN</t>
        </is>
      </c>
      <c r="E10584" t="inlineStr">
        <is>
          <t>ÖRNSKÖLDSVIK</t>
        </is>
      </c>
      <c r="F10584" t="inlineStr">
        <is>
          <t>Holmen skog AB</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48115-2023</t>
        </is>
      </c>
      <c r="B10585" s="1" t="n">
        <v>45205</v>
      </c>
      <c r="C10585" s="1" t="n">
        <v>45657</v>
      </c>
      <c r="D10585" t="inlineStr">
        <is>
          <t>VÄSTERNORRLANDS LÄN</t>
        </is>
      </c>
      <c r="E10585" t="inlineStr">
        <is>
          <t>ÖRNSKÖLDSVIK</t>
        </is>
      </c>
      <c r="F10585" t="inlineStr">
        <is>
          <t>Holmen skog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48134-2023</t>
        </is>
      </c>
      <c r="B10586" s="1" t="n">
        <v>45205</v>
      </c>
      <c r="C10586" s="1" t="n">
        <v>45657</v>
      </c>
      <c r="D10586" t="inlineStr">
        <is>
          <t>VÄSTERNORRLANDS LÄN</t>
        </is>
      </c>
      <c r="E10586" t="inlineStr">
        <is>
          <t>ÖRNSKÖLDSVIK</t>
        </is>
      </c>
      <c r="F10586" t="inlineStr">
        <is>
          <t>Holmen skog AB</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48127-2023</t>
        </is>
      </c>
      <c r="B10587" s="1" t="n">
        <v>45205</v>
      </c>
      <c r="C10587" s="1" t="n">
        <v>45657</v>
      </c>
      <c r="D10587" t="inlineStr">
        <is>
          <t>VÄSTERNORRLANDS LÄN</t>
        </is>
      </c>
      <c r="E10587" t="inlineStr">
        <is>
          <t>ÖRNSKÖLDSVIK</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48140-2023</t>
        </is>
      </c>
      <c r="B10588" s="1" t="n">
        <v>45205</v>
      </c>
      <c r="C10588" s="1" t="n">
        <v>45657</v>
      </c>
      <c r="D10588" t="inlineStr">
        <is>
          <t>VÄSTERNORRLANDS LÄN</t>
        </is>
      </c>
      <c r="E10588" t="inlineStr">
        <is>
          <t>KRAMFORS</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48154-2023</t>
        </is>
      </c>
      <c r="B10589" s="1" t="n">
        <v>45205</v>
      </c>
      <c r="C10589" s="1" t="n">
        <v>45657</v>
      </c>
      <c r="D10589" t="inlineStr">
        <is>
          <t>VÄSTERNORRLANDS LÄN</t>
        </is>
      </c>
      <c r="E10589" t="inlineStr">
        <is>
          <t>KRAMFORS</t>
        </is>
      </c>
      <c r="G10589" t="n">
        <v>11.5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48191-2023</t>
        </is>
      </c>
      <c r="B10590" s="1" t="n">
        <v>45205</v>
      </c>
      <c r="C10590" s="1" t="n">
        <v>45657</v>
      </c>
      <c r="D10590" t="inlineStr">
        <is>
          <t>VÄSTERNORRLANDS LÄN</t>
        </is>
      </c>
      <c r="E10590" t="inlineStr">
        <is>
          <t>ÖRNSKÖLDSVIK</t>
        </is>
      </c>
      <c r="F10590" t="inlineStr">
        <is>
          <t>Holmen skog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48218-2023</t>
        </is>
      </c>
      <c r="B10591" s="1" t="n">
        <v>45205</v>
      </c>
      <c r="C10591" s="1" t="n">
        <v>45657</v>
      </c>
      <c r="D10591" t="inlineStr">
        <is>
          <t>VÄSTERNORRLANDS LÄN</t>
        </is>
      </c>
      <c r="E10591" t="inlineStr">
        <is>
          <t>ÖRNSKÖLDSVIK</t>
        </is>
      </c>
      <c r="F10591" t="inlineStr">
        <is>
          <t>Holmen skog AB</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48193-2023</t>
        </is>
      </c>
      <c r="B10592" s="1" t="n">
        <v>45205</v>
      </c>
      <c r="C10592" s="1" t="n">
        <v>45657</v>
      </c>
      <c r="D10592" t="inlineStr">
        <is>
          <t>VÄSTERNORRLANDS LÄN</t>
        </is>
      </c>
      <c r="E10592" t="inlineStr">
        <is>
          <t>KRAMFORS</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48198-2023</t>
        </is>
      </c>
      <c r="B10593" s="1" t="n">
        <v>45205</v>
      </c>
      <c r="C10593" s="1" t="n">
        <v>45657</v>
      </c>
      <c r="D10593" t="inlineStr">
        <is>
          <t>VÄSTERNORRLANDS LÄN</t>
        </is>
      </c>
      <c r="E10593" t="inlineStr">
        <is>
          <t>KRAMFORS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48202-2023</t>
        </is>
      </c>
      <c r="B10594" s="1" t="n">
        <v>45205</v>
      </c>
      <c r="C10594" s="1" t="n">
        <v>45657</v>
      </c>
      <c r="D10594" t="inlineStr">
        <is>
          <t>VÄSTERNORRLANDS LÄN</t>
        </is>
      </c>
      <c r="E10594" t="inlineStr">
        <is>
          <t>ÖRNSKÖLDSVIK</t>
        </is>
      </c>
      <c r="F10594" t="inlineStr">
        <is>
          <t>Holmen skog AB</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48146-2023</t>
        </is>
      </c>
      <c r="B10595" s="1" t="n">
        <v>45205</v>
      </c>
      <c r="C10595" s="1" t="n">
        <v>45657</v>
      </c>
      <c r="D10595" t="inlineStr">
        <is>
          <t>VÄSTERNORRLANDS LÄN</t>
        </is>
      </c>
      <c r="E10595" t="inlineStr">
        <is>
          <t>KRAMFORS</t>
        </is>
      </c>
      <c r="G10595" t="n">
        <v>8.800000000000001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48215-2023</t>
        </is>
      </c>
      <c r="B10596" s="1" t="n">
        <v>45205</v>
      </c>
      <c r="C10596" s="1" t="n">
        <v>45657</v>
      </c>
      <c r="D10596" t="inlineStr">
        <is>
          <t>VÄSTERNORRLANDS LÄN</t>
        </is>
      </c>
      <c r="E10596" t="inlineStr">
        <is>
          <t>ÖRNSKÖLDSVIK</t>
        </is>
      </c>
      <c r="F10596" t="inlineStr">
        <is>
          <t>Holmen skog AB</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48189-2023</t>
        </is>
      </c>
      <c r="B10597" s="1" t="n">
        <v>45205</v>
      </c>
      <c r="C10597" s="1" t="n">
        <v>45657</v>
      </c>
      <c r="D10597" t="inlineStr">
        <is>
          <t>VÄSTERNORRLANDS LÄN</t>
        </is>
      </c>
      <c r="E10597" t="inlineStr">
        <is>
          <t>ÖRNSKÖLDSVIK</t>
        </is>
      </c>
      <c r="F10597" t="inlineStr">
        <is>
          <t>Holmen skog AB</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48199-2023</t>
        </is>
      </c>
      <c r="B10598" s="1" t="n">
        <v>45205</v>
      </c>
      <c r="C10598" s="1" t="n">
        <v>45657</v>
      </c>
      <c r="D10598" t="inlineStr">
        <is>
          <t>VÄSTERNORRLANDS LÄN</t>
        </is>
      </c>
      <c r="E10598" t="inlineStr">
        <is>
          <t>ÖRNSKÖLDSVIK</t>
        </is>
      </c>
      <c r="F10598" t="inlineStr">
        <is>
          <t>Holmen skog AB</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48239-2023</t>
        </is>
      </c>
      <c r="B10599" s="1" t="n">
        <v>45205</v>
      </c>
      <c r="C10599" s="1" t="n">
        <v>45657</v>
      </c>
      <c r="D10599" t="inlineStr">
        <is>
          <t>VÄSTERNORRLANDS LÄN</t>
        </is>
      </c>
      <c r="E10599" t="inlineStr">
        <is>
          <t>ÖRNSKÖLDSVIK</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48411-2023</t>
        </is>
      </c>
      <c r="B10600" s="1" t="n">
        <v>45206</v>
      </c>
      <c r="C10600" s="1" t="n">
        <v>45657</v>
      </c>
      <c r="D10600" t="inlineStr">
        <is>
          <t>VÄSTERNORRLANDS LÄN</t>
        </is>
      </c>
      <c r="E10600" t="inlineStr">
        <is>
          <t>SUNDSVALL</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48415-2023</t>
        </is>
      </c>
      <c r="B10601" s="1" t="n">
        <v>45206</v>
      </c>
      <c r="C10601" s="1" t="n">
        <v>45657</v>
      </c>
      <c r="D10601" t="inlineStr">
        <is>
          <t>VÄSTERNORRLANDS LÄN</t>
        </is>
      </c>
      <c r="E10601" t="inlineStr">
        <is>
          <t>KRAMFORS</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48441-2023</t>
        </is>
      </c>
      <c r="B10602" s="1" t="n">
        <v>45205</v>
      </c>
      <c r="C10602" s="1" t="n">
        <v>45657</v>
      </c>
      <c r="D10602" t="inlineStr">
        <is>
          <t>VÄSTERNORRLANDS LÄN</t>
        </is>
      </c>
      <c r="E10602" t="inlineStr">
        <is>
          <t>ÖRNSKÖLDSVIK</t>
        </is>
      </c>
      <c r="F10602" t="inlineStr">
        <is>
          <t>SCA</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48414-2023</t>
        </is>
      </c>
      <c r="B10603" s="1" t="n">
        <v>45206</v>
      </c>
      <c r="C10603" s="1" t="n">
        <v>45657</v>
      </c>
      <c r="D10603" t="inlineStr">
        <is>
          <t>VÄSTERNORRLANDS LÄN</t>
        </is>
      </c>
      <c r="E10603" t="inlineStr">
        <is>
          <t>KRAMFORS</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48436-2023</t>
        </is>
      </c>
      <c r="B10604" s="1" t="n">
        <v>45205</v>
      </c>
      <c r="C10604" s="1" t="n">
        <v>45657</v>
      </c>
      <c r="D10604" t="inlineStr">
        <is>
          <t>VÄSTERNORRLANDS LÄN</t>
        </is>
      </c>
      <c r="E10604" t="inlineStr">
        <is>
          <t>ÖRNSKÖLDSVIK</t>
        </is>
      </c>
      <c r="F10604" t="inlineStr">
        <is>
          <t>SCA</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49435-2023</t>
        </is>
      </c>
      <c r="B10605" s="1" t="n">
        <v>45205</v>
      </c>
      <c r="C10605" s="1" t="n">
        <v>45657</v>
      </c>
      <c r="D10605" t="inlineStr">
        <is>
          <t>VÄSTERNORRLANDS LÄN</t>
        </is>
      </c>
      <c r="E10605" t="inlineStr">
        <is>
          <t>ÖRNSKÖLDSVIK</t>
        </is>
      </c>
      <c r="F10605" t="inlineStr">
        <is>
          <t>Kyrkan</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49537-2023</t>
        </is>
      </c>
      <c r="B10606" s="1" t="n">
        <v>45205</v>
      </c>
      <c r="C10606" s="1" t="n">
        <v>45657</v>
      </c>
      <c r="D10606" t="inlineStr">
        <is>
          <t>VÄSTERNORRLANDS LÄN</t>
        </is>
      </c>
      <c r="E10606" t="inlineStr">
        <is>
          <t>HÄRNÖSAND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48439-2023</t>
        </is>
      </c>
      <c r="B10607" s="1" t="n">
        <v>45205</v>
      </c>
      <c r="C10607" s="1" t="n">
        <v>45657</v>
      </c>
      <c r="D10607" t="inlineStr">
        <is>
          <t>VÄSTERNORRLANDS LÄN</t>
        </is>
      </c>
      <c r="E10607" t="inlineStr">
        <is>
          <t>ÖRNSKÖLDSVIK</t>
        </is>
      </c>
      <c r="F10607" t="inlineStr">
        <is>
          <t>SCA</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49509-2023</t>
        </is>
      </c>
      <c r="B10608" s="1" t="n">
        <v>45205</v>
      </c>
      <c r="C10608" s="1" t="n">
        <v>45657</v>
      </c>
      <c r="D10608" t="inlineStr">
        <is>
          <t>VÄSTERNORRLANDS LÄN</t>
        </is>
      </c>
      <c r="E10608" t="inlineStr">
        <is>
          <t>HÄRNÖSAND</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49531-2023</t>
        </is>
      </c>
      <c r="B10609" s="1" t="n">
        <v>45205</v>
      </c>
      <c r="C10609" s="1" t="n">
        <v>45657</v>
      </c>
      <c r="D10609" t="inlineStr">
        <is>
          <t>VÄSTERNORRLANDS LÄN</t>
        </is>
      </c>
      <c r="E10609" t="inlineStr">
        <is>
          <t>HÄRNÖSAND</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49417-2023</t>
        </is>
      </c>
      <c r="B10610" s="1" t="n">
        <v>45205</v>
      </c>
      <c r="C10610" s="1" t="n">
        <v>45657</v>
      </c>
      <c r="D10610" t="inlineStr">
        <is>
          <t>VÄSTERNORRLANDS LÄN</t>
        </is>
      </c>
      <c r="E10610" t="inlineStr">
        <is>
          <t>SOLLEFTEÅ</t>
        </is>
      </c>
      <c r="F10610" t="inlineStr">
        <is>
          <t>SCA</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48486-2023</t>
        </is>
      </c>
      <c r="B10611" s="1" t="n">
        <v>45206</v>
      </c>
      <c r="C10611" s="1" t="n">
        <v>45657</v>
      </c>
      <c r="D10611" t="inlineStr">
        <is>
          <t>VÄSTERNORRLANDS LÄN</t>
        </is>
      </c>
      <c r="E10611" t="inlineStr">
        <is>
          <t>ÖRNSKÖLDSVIK</t>
        </is>
      </c>
      <c r="F10611" t="inlineStr">
        <is>
          <t>SCA</t>
        </is>
      </c>
      <c r="G10611" t="n">
        <v>8.5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48487-2023</t>
        </is>
      </c>
      <c r="B10612" s="1" t="n">
        <v>45206</v>
      </c>
      <c r="C10612" s="1" t="n">
        <v>45657</v>
      </c>
      <c r="D10612" t="inlineStr">
        <is>
          <t>VÄSTERNORRLANDS LÄN</t>
        </is>
      </c>
      <c r="E10612" t="inlineStr">
        <is>
          <t>ÖRNSKÖLDSVIK</t>
        </is>
      </c>
      <c r="F10612" t="inlineStr">
        <is>
          <t>SCA</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48496-2023</t>
        </is>
      </c>
      <c r="B10613" s="1" t="n">
        <v>45207</v>
      </c>
      <c r="C10613" s="1" t="n">
        <v>45657</v>
      </c>
      <c r="D10613" t="inlineStr">
        <is>
          <t>VÄSTERNORRLANDS LÄN</t>
        </is>
      </c>
      <c r="E10613" t="inlineStr">
        <is>
          <t>ÖRNSKÖLDSVIK</t>
        </is>
      </c>
      <c r="F10613" t="inlineStr">
        <is>
          <t>Holmen skog AB</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48497-2023</t>
        </is>
      </c>
      <c r="B10614" s="1" t="n">
        <v>45207</v>
      </c>
      <c r="C10614" s="1" t="n">
        <v>45657</v>
      </c>
      <c r="D10614" t="inlineStr">
        <is>
          <t>VÄSTERNORRLANDS LÄN</t>
        </is>
      </c>
      <c r="E10614" t="inlineStr">
        <is>
          <t>ÖRNSKÖLDSVIK</t>
        </is>
      </c>
      <c r="F10614" t="inlineStr">
        <is>
          <t>Holmen skog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48498-2023</t>
        </is>
      </c>
      <c r="B10615" s="1" t="n">
        <v>45207</v>
      </c>
      <c r="C10615" s="1" t="n">
        <v>45657</v>
      </c>
      <c r="D10615" t="inlineStr">
        <is>
          <t>VÄSTERNORRLANDS LÄN</t>
        </is>
      </c>
      <c r="E10615" t="inlineStr">
        <is>
          <t>ÖRNSKÖLDSVIK</t>
        </is>
      </c>
      <c r="F10615" t="inlineStr">
        <is>
          <t>Holmen skog AB</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48529-2023</t>
        </is>
      </c>
      <c r="B10616" s="1" t="n">
        <v>45208</v>
      </c>
      <c r="C10616" s="1" t="n">
        <v>45657</v>
      </c>
      <c r="D10616" t="inlineStr">
        <is>
          <t>VÄSTERNORRLANDS LÄN</t>
        </is>
      </c>
      <c r="E10616" t="inlineStr">
        <is>
          <t>ÖRNSKÖLDSVIK</t>
        </is>
      </c>
      <c r="F10616" t="inlineStr">
        <is>
          <t>Holmen skog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48523-2023</t>
        </is>
      </c>
      <c r="B10617" s="1" t="n">
        <v>45208</v>
      </c>
      <c r="C10617" s="1" t="n">
        <v>45657</v>
      </c>
      <c r="D10617" t="inlineStr">
        <is>
          <t>VÄSTERNORRLANDS LÄN</t>
        </is>
      </c>
      <c r="E10617" t="inlineStr">
        <is>
          <t>ÖRNSKÖLDSVIK</t>
        </is>
      </c>
      <c r="F10617" t="inlineStr">
        <is>
          <t>Holmen skog AB</t>
        </is>
      </c>
      <c r="G10617" t="n">
        <v>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48537-2023</t>
        </is>
      </c>
      <c r="B10618" s="1" t="n">
        <v>45208</v>
      </c>
      <c r="C10618" s="1" t="n">
        <v>45657</v>
      </c>
      <c r="D10618" t="inlineStr">
        <is>
          <t>VÄSTERNORRLANDS LÄN</t>
        </is>
      </c>
      <c r="E10618" t="inlineStr">
        <is>
          <t>ÖRNSKÖLDSVIK</t>
        </is>
      </c>
      <c r="F10618" t="inlineStr">
        <is>
          <t>Holmen skog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48554-2023</t>
        </is>
      </c>
      <c r="B10619" s="1" t="n">
        <v>45208</v>
      </c>
      <c r="C10619" s="1" t="n">
        <v>45657</v>
      </c>
      <c r="D10619" t="inlineStr">
        <is>
          <t>VÄSTERNORRLANDS LÄN</t>
        </is>
      </c>
      <c r="E10619" t="inlineStr">
        <is>
          <t>ÖRNSKÖLDSVIK</t>
        </is>
      </c>
      <c r="F10619" t="inlineStr">
        <is>
          <t>Holmen skog AB</t>
        </is>
      </c>
      <c r="G10619" t="n">
        <v>11.8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48568-2023</t>
        </is>
      </c>
      <c r="B10620" s="1" t="n">
        <v>45208</v>
      </c>
      <c r="C10620" s="1" t="n">
        <v>45657</v>
      </c>
      <c r="D10620" t="inlineStr">
        <is>
          <t>VÄSTERNORRLANDS LÄN</t>
        </is>
      </c>
      <c r="E10620" t="inlineStr">
        <is>
          <t>SUNDSVALL</t>
        </is>
      </c>
      <c r="G10620" t="n">
        <v>29.2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48538-2023</t>
        </is>
      </c>
      <c r="B10621" s="1" t="n">
        <v>45208</v>
      </c>
      <c r="C10621" s="1" t="n">
        <v>45657</v>
      </c>
      <c r="D10621" t="inlineStr">
        <is>
          <t>VÄSTERNORRLANDS LÄN</t>
        </is>
      </c>
      <c r="E10621" t="inlineStr">
        <is>
          <t>KRAMFORS</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48700-2023</t>
        </is>
      </c>
      <c r="B10622" s="1" t="n">
        <v>45208</v>
      </c>
      <c r="C10622" s="1" t="n">
        <v>45657</v>
      </c>
      <c r="D10622" t="inlineStr">
        <is>
          <t>VÄSTERNORRLANDS LÄN</t>
        </is>
      </c>
      <c r="E10622" t="inlineStr">
        <is>
          <t>ÖRNSKÖLDSVIK</t>
        </is>
      </c>
      <c r="F10622" t="inlineStr">
        <is>
          <t>Övriga Aktiebolag</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48704-2023</t>
        </is>
      </c>
      <c r="B10623" s="1" t="n">
        <v>45208</v>
      </c>
      <c r="C10623" s="1" t="n">
        <v>45657</v>
      </c>
      <c r="D10623" t="inlineStr">
        <is>
          <t>VÄSTERNORRLANDS LÄN</t>
        </is>
      </c>
      <c r="E10623" t="inlineStr">
        <is>
          <t>ÖRNSKÖLDSVIK</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48703-2023</t>
        </is>
      </c>
      <c r="B10624" s="1" t="n">
        <v>45208</v>
      </c>
      <c r="C10624" s="1" t="n">
        <v>45657</v>
      </c>
      <c r="D10624" t="inlineStr">
        <is>
          <t>VÄSTERNORRLANDS LÄN</t>
        </is>
      </c>
      <c r="E10624" t="inlineStr">
        <is>
          <t>ÖRNSKÖLDSVIK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48741-2023</t>
        </is>
      </c>
      <c r="B10625" s="1" t="n">
        <v>45208</v>
      </c>
      <c r="C10625" s="1" t="n">
        <v>45657</v>
      </c>
      <c r="D10625" t="inlineStr">
        <is>
          <t>VÄSTERNORRLANDS LÄN</t>
        </is>
      </c>
      <c r="E10625" t="inlineStr">
        <is>
          <t>ÖRNSKÖLDSVIK</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48705-2023</t>
        </is>
      </c>
      <c r="B10626" s="1" t="n">
        <v>45208</v>
      </c>
      <c r="C10626" s="1" t="n">
        <v>45657</v>
      </c>
      <c r="D10626" t="inlineStr">
        <is>
          <t>VÄSTERNORRLANDS LÄN</t>
        </is>
      </c>
      <c r="E10626" t="inlineStr">
        <is>
          <t>ÖRNSKÖLDSVIK</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48769-2023</t>
        </is>
      </c>
      <c r="B10627" s="1" t="n">
        <v>45208</v>
      </c>
      <c r="C10627" s="1" t="n">
        <v>45657</v>
      </c>
      <c r="D10627" t="inlineStr">
        <is>
          <t>VÄSTERNORRLANDS LÄN</t>
        </is>
      </c>
      <c r="E10627" t="inlineStr">
        <is>
          <t>TIMRÅ</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48773-2023</t>
        </is>
      </c>
      <c r="B10628" s="1" t="n">
        <v>45209</v>
      </c>
      <c r="C10628" s="1" t="n">
        <v>45657</v>
      </c>
      <c r="D10628" t="inlineStr">
        <is>
          <t>VÄSTERNORRLANDS LÄN</t>
        </is>
      </c>
      <c r="E10628" t="inlineStr">
        <is>
          <t>ÅNGE</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48767-2023</t>
        </is>
      </c>
      <c r="B10629" s="1" t="n">
        <v>45208</v>
      </c>
      <c r="C10629" s="1" t="n">
        <v>45657</v>
      </c>
      <c r="D10629" t="inlineStr">
        <is>
          <t>VÄSTERNORRLANDS LÄN</t>
        </is>
      </c>
      <c r="E10629" t="inlineStr">
        <is>
          <t>SOLLEFTEÅ</t>
        </is>
      </c>
      <c r="F10629" t="inlineStr">
        <is>
          <t>SCA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48774-2023</t>
        </is>
      </c>
      <c r="B10630" s="1" t="n">
        <v>45208</v>
      </c>
      <c r="C10630" s="1" t="n">
        <v>45657</v>
      </c>
      <c r="D10630" t="inlineStr">
        <is>
          <t>VÄSTERNORRLANDS LÄN</t>
        </is>
      </c>
      <c r="E10630" t="inlineStr">
        <is>
          <t>ÅNGE</t>
        </is>
      </c>
      <c r="F10630" t="inlineStr">
        <is>
          <t>SCA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48771-2023</t>
        </is>
      </c>
      <c r="B10631" s="1" t="n">
        <v>45208</v>
      </c>
      <c r="C10631" s="1" t="n">
        <v>45657</v>
      </c>
      <c r="D10631" t="inlineStr">
        <is>
          <t>VÄSTERNORRLANDS LÄN</t>
        </is>
      </c>
      <c r="E10631" t="inlineStr">
        <is>
          <t>SUNDSVALL</t>
        </is>
      </c>
      <c r="F10631" t="inlineStr">
        <is>
          <t>SCA</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48778-2023</t>
        </is>
      </c>
      <c r="B10632" s="1" t="n">
        <v>45208</v>
      </c>
      <c r="C10632" s="1" t="n">
        <v>45657</v>
      </c>
      <c r="D10632" t="inlineStr">
        <is>
          <t>VÄSTERNORRLANDS LÄN</t>
        </is>
      </c>
      <c r="E10632" t="inlineStr">
        <is>
          <t>SUNDSVALL</t>
        </is>
      </c>
      <c r="F10632" t="inlineStr">
        <is>
          <t>SCA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48786-2023</t>
        </is>
      </c>
      <c r="B10633" s="1" t="n">
        <v>45208</v>
      </c>
      <c r="C10633" s="1" t="n">
        <v>45657</v>
      </c>
      <c r="D10633" t="inlineStr">
        <is>
          <t>VÄSTERNORRLANDS LÄN</t>
        </is>
      </c>
      <c r="E10633" t="inlineStr">
        <is>
          <t>TIMRÅ</t>
        </is>
      </c>
      <c r="F10633" t="inlineStr">
        <is>
          <t>SCA</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48528-2023</t>
        </is>
      </c>
      <c r="B10634" s="1" t="n">
        <v>45208</v>
      </c>
      <c r="C10634" s="1" t="n">
        <v>45657</v>
      </c>
      <c r="D10634" t="inlineStr">
        <is>
          <t>VÄSTERNORRLANDS LÄN</t>
        </is>
      </c>
      <c r="E10634" t="inlineStr">
        <is>
          <t>SOLLEFTEÅ</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48570-2023</t>
        </is>
      </c>
      <c r="B10635" s="1" t="n">
        <v>45208</v>
      </c>
      <c r="C10635" s="1" t="n">
        <v>45657</v>
      </c>
      <c r="D10635" t="inlineStr">
        <is>
          <t>VÄSTERNORRLANDS LÄN</t>
        </is>
      </c>
      <c r="E10635" t="inlineStr">
        <is>
          <t>SOLLEFTEÅ</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48608-2023</t>
        </is>
      </c>
      <c r="B10636" s="1" t="n">
        <v>45208</v>
      </c>
      <c r="C10636" s="1" t="n">
        <v>45657</v>
      </c>
      <c r="D10636" t="inlineStr">
        <is>
          <t>VÄSTERNORRLANDS LÄN</t>
        </is>
      </c>
      <c r="E10636" t="inlineStr">
        <is>
          <t>ÖRNSKÖLDSVIK</t>
        </is>
      </c>
      <c r="F10636" t="inlineStr">
        <is>
          <t>Holmen skog AB</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48632-2023</t>
        </is>
      </c>
      <c r="B10637" s="1" t="n">
        <v>45208</v>
      </c>
      <c r="C10637" s="1" t="n">
        <v>45657</v>
      </c>
      <c r="D10637" t="inlineStr">
        <is>
          <t>VÄSTERNORRLANDS LÄN</t>
        </is>
      </c>
      <c r="E10637" t="inlineStr">
        <is>
          <t>ÅNGE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48666-2023</t>
        </is>
      </c>
      <c r="B10638" s="1" t="n">
        <v>45208</v>
      </c>
      <c r="C10638" s="1" t="n">
        <v>45657</v>
      </c>
      <c r="D10638" t="inlineStr">
        <is>
          <t>VÄSTERNORRLANDS LÄN</t>
        </is>
      </c>
      <c r="E10638" t="inlineStr">
        <is>
          <t>ÖRNSKÖLDSVIK</t>
        </is>
      </c>
      <c r="F10638" t="inlineStr">
        <is>
          <t>Holmen skog AB</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48752-2023</t>
        </is>
      </c>
      <c r="B10639" s="1" t="n">
        <v>45208</v>
      </c>
      <c r="C10639" s="1" t="n">
        <v>45657</v>
      </c>
      <c r="D10639" t="inlineStr">
        <is>
          <t>VÄSTERNORRLANDS LÄN</t>
        </is>
      </c>
      <c r="E10639" t="inlineStr">
        <is>
          <t>SUNDSVALL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48768-2023</t>
        </is>
      </c>
      <c r="B10640" s="1" t="n">
        <v>45208</v>
      </c>
      <c r="C10640" s="1" t="n">
        <v>45657</v>
      </c>
      <c r="D10640" t="inlineStr">
        <is>
          <t>VÄSTERNORRLANDS LÄN</t>
        </is>
      </c>
      <c r="E10640" t="inlineStr">
        <is>
          <t>TIMRÅ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48772-2023</t>
        </is>
      </c>
      <c r="B10641" s="1" t="n">
        <v>45208</v>
      </c>
      <c r="C10641" s="1" t="n">
        <v>45657</v>
      </c>
      <c r="D10641" t="inlineStr">
        <is>
          <t>VÄSTERNORRLANDS LÄN</t>
        </is>
      </c>
      <c r="E10641" t="inlineStr">
        <is>
          <t>SUNDSVALL</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48776-2023</t>
        </is>
      </c>
      <c r="B10642" s="1" t="n">
        <v>45208</v>
      </c>
      <c r="C10642" s="1" t="n">
        <v>45657</v>
      </c>
      <c r="D10642" t="inlineStr">
        <is>
          <t>VÄSTERNORRLANDS LÄN</t>
        </is>
      </c>
      <c r="E10642" t="inlineStr">
        <is>
          <t>SUNDSVALL</t>
        </is>
      </c>
      <c r="F10642" t="inlineStr">
        <is>
          <t>SCA</t>
        </is>
      </c>
      <c r="G10642" t="n">
        <v>38.2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48785-2023</t>
        </is>
      </c>
      <c r="B10643" s="1" t="n">
        <v>45208</v>
      </c>
      <c r="C10643" s="1" t="n">
        <v>45657</v>
      </c>
      <c r="D10643" t="inlineStr">
        <is>
          <t>VÄSTERNORRLANDS LÄN</t>
        </is>
      </c>
      <c r="E10643" t="inlineStr">
        <is>
          <t>TIMRÅ</t>
        </is>
      </c>
      <c r="F10643" t="inlineStr">
        <is>
          <t>SCA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50095-2023</t>
        </is>
      </c>
      <c r="B10644" s="1" t="n">
        <v>45208</v>
      </c>
      <c r="C10644" s="1" t="n">
        <v>45657</v>
      </c>
      <c r="D10644" t="inlineStr">
        <is>
          <t>VÄSTERNORRLANDS LÄN</t>
        </is>
      </c>
      <c r="E10644" t="inlineStr">
        <is>
          <t>ÅNGE</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50134-2023</t>
        </is>
      </c>
      <c r="B10645" s="1" t="n">
        <v>45208</v>
      </c>
      <c r="C10645" s="1" t="n">
        <v>45657</v>
      </c>
      <c r="D10645" t="inlineStr">
        <is>
          <t>VÄSTERNORRLANDS LÄN</t>
        </is>
      </c>
      <c r="E10645" t="inlineStr">
        <is>
          <t>ÖRNSKÖLDSVIK</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50178-2023</t>
        </is>
      </c>
      <c r="B10646" s="1" t="n">
        <v>45208</v>
      </c>
      <c r="C10646" s="1" t="n">
        <v>45657</v>
      </c>
      <c r="D10646" t="inlineStr">
        <is>
          <t>VÄSTERNORRLANDS LÄN</t>
        </is>
      </c>
      <c r="E10646" t="inlineStr">
        <is>
          <t>SUNDSVALL</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48784-2023</t>
        </is>
      </c>
      <c r="B10647" s="1" t="n">
        <v>45208</v>
      </c>
      <c r="C10647" s="1" t="n">
        <v>45657</v>
      </c>
      <c r="D10647" t="inlineStr">
        <is>
          <t>VÄSTERNORRLANDS LÄN</t>
        </is>
      </c>
      <c r="E10647" t="inlineStr">
        <is>
          <t>TIMRÅ</t>
        </is>
      </c>
      <c r="F10647" t="inlineStr">
        <is>
          <t>SCA</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48942-2023</t>
        </is>
      </c>
      <c r="B10648" s="1" t="n">
        <v>45209</v>
      </c>
      <c r="C10648" s="1" t="n">
        <v>45657</v>
      </c>
      <c r="D10648" t="inlineStr">
        <is>
          <t>VÄSTERNORRLANDS LÄN</t>
        </is>
      </c>
      <c r="E10648" t="inlineStr">
        <is>
          <t>ÖRNSKÖLDSVIK</t>
        </is>
      </c>
      <c r="F10648" t="inlineStr">
        <is>
          <t>Holmen skog AB</t>
        </is>
      </c>
      <c r="G10648" t="n">
        <v>14.7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48977-2023</t>
        </is>
      </c>
      <c r="B10649" s="1" t="n">
        <v>45209</v>
      </c>
      <c r="C10649" s="1" t="n">
        <v>45657</v>
      </c>
      <c r="D10649" t="inlineStr">
        <is>
          <t>VÄSTERNORRLANDS LÄN</t>
        </is>
      </c>
      <c r="E10649" t="inlineStr">
        <is>
          <t>ÖRNSKÖLDSVIK</t>
        </is>
      </c>
      <c r="F10649" t="inlineStr">
        <is>
          <t>Holmen skog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48979-2023</t>
        </is>
      </c>
      <c r="B10650" s="1" t="n">
        <v>45209</v>
      </c>
      <c r="C10650" s="1" t="n">
        <v>45657</v>
      </c>
      <c r="D10650" t="inlineStr">
        <is>
          <t>VÄSTERNORRLANDS LÄN</t>
        </is>
      </c>
      <c r="E10650" t="inlineStr">
        <is>
          <t>ÖRNSKÖLDSVIK</t>
        </is>
      </c>
      <c r="F10650" t="inlineStr">
        <is>
          <t>Holmen skog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49023-2023</t>
        </is>
      </c>
      <c r="B10651" s="1" t="n">
        <v>45209</v>
      </c>
      <c r="C10651" s="1" t="n">
        <v>45657</v>
      </c>
      <c r="D10651" t="inlineStr">
        <is>
          <t>VÄSTERNORRLANDS LÄN</t>
        </is>
      </c>
      <c r="E10651" t="inlineStr">
        <is>
          <t>ÖRNSKÖLDSVIK</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49027-2023</t>
        </is>
      </c>
      <c r="B10652" s="1" t="n">
        <v>45209</v>
      </c>
      <c r="C10652" s="1" t="n">
        <v>45657</v>
      </c>
      <c r="D10652" t="inlineStr">
        <is>
          <t>VÄSTERNORRLANDS LÄN</t>
        </is>
      </c>
      <c r="E10652" t="inlineStr">
        <is>
          <t>ÖRNSKÖLDSVIK</t>
        </is>
      </c>
      <c r="F10652" t="inlineStr">
        <is>
          <t>Holmen skog AB</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49039-2023</t>
        </is>
      </c>
      <c r="B10653" s="1" t="n">
        <v>45209</v>
      </c>
      <c r="C10653" s="1" t="n">
        <v>45657</v>
      </c>
      <c r="D10653" t="inlineStr">
        <is>
          <t>VÄSTERNORRLANDS LÄN</t>
        </is>
      </c>
      <c r="E10653" t="inlineStr">
        <is>
          <t>HÄRNÖSAND</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48993-2023</t>
        </is>
      </c>
      <c r="B10654" s="1" t="n">
        <v>45209</v>
      </c>
      <c r="C10654" s="1" t="n">
        <v>45657</v>
      </c>
      <c r="D10654" t="inlineStr">
        <is>
          <t>VÄSTERNORRLANDS LÄN</t>
        </is>
      </c>
      <c r="E10654" t="inlineStr">
        <is>
          <t>ÖRNSKÖLDSVIK</t>
        </is>
      </c>
      <c r="F10654" t="inlineStr">
        <is>
          <t>Holmen skog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48999-2023</t>
        </is>
      </c>
      <c r="B10655" s="1" t="n">
        <v>45209</v>
      </c>
      <c r="C10655" s="1" t="n">
        <v>45657</v>
      </c>
      <c r="D10655" t="inlineStr">
        <is>
          <t>VÄSTERNORRLANDS LÄN</t>
        </is>
      </c>
      <c r="E10655" t="inlineStr">
        <is>
          <t>SOLLEFTEÅ</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49036-2023</t>
        </is>
      </c>
      <c r="B10656" s="1" t="n">
        <v>45210</v>
      </c>
      <c r="C10656" s="1" t="n">
        <v>45657</v>
      </c>
      <c r="D10656" t="inlineStr">
        <is>
          <t>VÄSTERNORRLANDS LÄN</t>
        </is>
      </c>
      <c r="E10656" t="inlineStr">
        <is>
          <t>SOLLEFTEÅ</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49038-2023</t>
        </is>
      </c>
      <c r="B10657" s="1" t="n">
        <v>45209</v>
      </c>
      <c r="C10657" s="1" t="n">
        <v>45657</v>
      </c>
      <c r="D10657" t="inlineStr">
        <is>
          <t>VÄSTERNORRLANDS LÄN</t>
        </is>
      </c>
      <c r="E10657" t="inlineStr">
        <is>
          <t>ÅNGE</t>
        </is>
      </c>
      <c r="F10657" t="inlineStr">
        <is>
          <t>SCA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50313-2023</t>
        </is>
      </c>
      <c r="B10658" s="1" t="n">
        <v>45209</v>
      </c>
      <c r="C10658" s="1" t="n">
        <v>45657</v>
      </c>
      <c r="D10658" t="inlineStr">
        <is>
          <t>VÄSTERNORRLANDS LÄN</t>
        </is>
      </c>
      <c r="E10658" t="inlineStr">
        <is>
          <t>SOLLEFTEÅ</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50369-2023</t>
        </is>
      </c>
      <c r="B10659" s="1" t="n">
        <v>45209</v>
      </c>
      <c r="C10659" s="1" t="n">
        <v>45657</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50355-2023</t>
        </is>
      </c>
      <c r="B10660" s="1" t="n">
        <v>45209</v>
      </c>
      <c r="C10660" s="1" t="n">
        <v>45657</v>
      </c>
      <c r="D10660" t="inlineStr">
        <is>
          <t>VÄSTERNORRLANDS LÄN</t>
        </is>
      </c>
      <c r="E10660" t="inlineStr">
        <is>
          <t>TIMRÅ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50362-2023</t>
        </is>
      </c>
      <c r="B10661" s="1" t="n">
        <v>45209</v>
      </c>
      <c r="C10661" s="1" t="n">
        <v>45657</v>
      </c>
      <c r="D10661" t="inlineStr">
        <is>
          <t>VÄSTERNORRLANDS LÄN</t>
        </is>
      </c>
      <c r="E10661" t="inlineStr">
        <is>
          <t>ÖRNSKÖLDSVIK</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49010-2023</t>
        </is>
      </c>
      <c r="B10662" s="1" t="n">
        <v>45209</v>
      </c>
      <c r="C10662" s="1" t="n">
        <v>45657</v>
      </c>
      <c r="D10662" t="inlineStr">
        <is>
          <t>VÄSTERNORRLANDS LÄN</t>
        </is>
      </c>
      <c r="E10662" t="inlineStr">
        <is>
          <t>ÖRNSKÖLDSVIK</t>
        </is>
      </c>
      <c r="F10662" t="inlineStr">
        <is>
          <t>Holmen skog AB</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49029-2023</t>
        </is>
      </c>
      <c r="B10663" s="1" t="n">
        <v>45209</v>
      </c>
      <c r="C10663" s="1" t="n">
        <v>45657</v>
      </c>
      <c r="D10663" t="inlineStr">
        <is>
          <t>VÄSTERNORRLANDS LÄN</t>
        </is>
      </c>
      <c r="E10663" t="inlineStr">
        <is>
          <t>KRAMFORS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49033-2023</t>
        </is>
      </c>
      <c r="B10664" s="1" t="n">
        <v>45209</v>
      </c>
      <c r="C10664" s="1" t="n">
        <v>45657</v>
      </c>
      <c r="D10664" t="inlineStr">
        <is>
          <t>VÄSTERNORRLANDS LÄN</t>
        </is>
      </c>
      <c r="E10664" t="inlineStr">
        <is>
          <t>HÄRNÖSAND</t>
        </is>
      </c>
      <c r="F10664" t="inlineStr">
        <is>
          <t>SCA</t>
        </is>
      </c>
      <c r="G10664" t="n">
        <v>15.2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49076-2023</t>
        </is>
      </c>
      <c r="B10665" s="1" t="n">
        <v>45210</v>
      </c>
      <c r="C10665" s="1" t="n">
        <v>45657</v>
      </c>
      <c r="D10665" t="inlineStr">
        <is>
          <t>VÄSTERNORRLANDS LÄN</t>
        </is>
      </c>
      <c r="E10665" t="inlineStr">
        <is>
          <t>ÖRNSKÖLDSVIK</t>
        </is>
      </c>
      <c r="F10665" t="inlineStr">
        <is>
          <t>Holmen skog AB</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49180-2023</t>
        </is>
      </c>
      <c r="B10666" s="1" t="n">
        <v>45210</v>
      </c>
      <c r="C10666" s="1" t="n">
        <v>45657</v>
      </c>
      <c r="D10666" t="inlineStr">
        <is>
          <t>VÄSTERNORRLANDS LÄN</t>
        </is>
      </c>
      <c r="E10666" t="inlineStr">
        <is>
          <t>ÖRNSKÖLDSVIK</t>
        </is>
      </c>
      <c r="F10666" t="inlineStr">
        <is>
          <t>Holmen skog AB</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49185-2023</t>
        </is>
      </c>
      <c r="B10667" s="1" t="n">
        <v>45210</v>
      </c>
      <c r="C10667" s="1" t="n">
        <v>45657</v>
      </c>
      <c r="D10667" t="inlineStr">
        <is>
          <t>VÄSTERNORRLANDS LÄN</t>
        </is>
      </c>
      <c r="E10667" t="inlineStr">
        <is>
          <t>ÖRNSKÖLDSVIK</t>
        </is>
      </c>
      <c r="F10667" t="inlineStr">
        <is>
          <t>Holmen skog AB</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49051-2023</t>
        </is>
      </c>
      <c r="B10668" s="1" t="n">
        <v>45210</v>
      </c>
      <c r="C10668" s="1" t="n">
        <v>45657</v>
      </c>
      <c r="D10668" t="inlineStr">
        <is>
          <t>VÄSTERNORRLANDS LÄN</t>
        </is>
      </c>
      <c r="E10668" t="inlineStr">
        <is>
          <t>ÖRNSKÖLDSVIK</t>
        </is>
      </c>
      <c r="F10668" t="inlineStr">
        <is>
          <t>Holmen skog AB</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49064-2023</t>
        </is>
      </c>
      <c r="B10669" s="1" t="n">
        <v>45210</v>
      </c>
      <c r="C10669" s="1" t="n">
        <v>45657</v>
      </c>
      <c r="D10669" t="inlineStr">
        <is>
          <t>VÄSTERNORRLANDS LÄN</t>
        </is>
      </c>
      <c r="E10669" t="inlineStr">
        <is>
          <t>ÖRNSKÖLDSVIK</t>
        </is>
      </c>
      <c r="F10669" t="inlineStr">
        <is>
          <t>Holmen skog AB</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49074-2023</t>
        </is>
      </c>
      <c r="B10670" s="1" t="n">
        <v>45210</v>
      </c>
      <c r="C10670" s="1" t="n">
        <v>45657</v>
      </c>
      <c r="D10670" t="inlineStr">
        <is>
          <t>VÄSTERNORRLANDS LÄN</t>
        </is>
      </c>
      <c r="E10670" t="inlineStr">
        <is>
          <t>ÖRNSKÖLDSVIK</t>
        </is>
      </c>
      <c r="F10670" t="inlineStr">
        <is>
          <t>Holmen skog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49239-2023</t>
        </is>
      </c>
      <c r="B10671" s="1" t="n">
        <v>45210</v>
      </c>
      <c r="C10671" s="1" t="n">
        <v>45657</v>
      </c>
      <c r="D10671" t="inlineStr">
        <is>
          <t>VÄSTERNORRLANDS LÄN</t>
        </is>
      </c>
      <c r="E10671" t="inlineStr">
        <is>
          <t>ÖRNSKÖLDSVIK</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49260-2023</t>
        </is>
      </c>
      <c r="B10672" s="1" t="n">
        <v>45210</v>
      </c>
      <c r="C10672" s="1" t="n">
        <v>45657</v>
      </c>
      <c r="D10672" t="inlineStr">
        <is>
          <t>VÄSTERNORRLANDS LÄN</t>
        </is>
      </c>
      <c r="E10672" t="inlineStr">
        <is>
          <t>ÖRNSKÖLDSVIK</t>
        </is>
      </c>
      <c r="F10672" t="inlineStr">
        <is>
          <t>Holmen skog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49284-2023</t>
        </is>
      </c>
      <c r="B10673" s="1" t="n">
        <v>45210</v>
      </c>
      <c r="C10673" s="1" t="n">
        <v>45657</v>
      </c>
      <c r="D10673" t="inlineStr">
        <is>
          <t>VÄSTERNORRLANDS LÄN</t>
        </is>
      </c>
      <c r="E10673" t="inlineStr">
        <is>
          <t>ÖRNSKÖLDSVIK</t>
        </is>
      </c>
      <c r="F10673" t="inlineStr">
        <is>
          <t>Holmen skog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49313-2023</t>
        </is>
      </c>
      <c r="B10674" s="1" t="n">
        <v>45211</v>
      </c>
      <c r="C10674" s="1" t="n">
        <v>45657</v>
      </c>
      <c r="D10674" t="inlineStr">
        <is>
          <t>VÄSTERNORRLANDS LÄN</t>
        </is>
      </c>
      <c r="E10674" t="inlineStr">
        <is>
          <t>SOLLEFTEÅ</t>
        </is>
      </c>
      <c r="F10674" t="inlineStr">
        <is>
          <t>SCA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49317-2023</t>
        </is>
      </c>
      <c r="B10675" s="1" t="n">
        <v>45210</v>
      </c>
      <c r="C10675" s="1" t="n">
        <v>45657</v>
      </c>
      <c r="D10675" t="inlineStr">
        <is>
          <t>VÄSTERNORRLANDS LÄN</t>
        </is>
      </c>
      <c r="E10675" t="inlineStr">
        <is>
          <t>SOLLEFTEÅ</t>
        </is>
      </c>
      <c r="F10675" t="inlineStr">
        <is>
          <t>SCA</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50627-2023</t>
        </is>
      </c>
      <c r="B10676" s="1" t="n">
        <v>45210</v>
      </c>
      <c r="C10676" s="1" t="n">
        <v>45657</v>
      </c>
      <c r="D10676" t="inlineStr">
        <is>
          <t>VÄSTERNORRLANDS LÄN</t>
        </is>
      </c>
      <c r="E10676" t="inlineStr">
        <is>
          <t>SUNDSVALL</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50639-2023</t>
        </is>
      </c>
      <c r="B10677" s="1" t="n">
        <v>45210</v>
      </c>
      <c r="C10677" s="1" t="n">
        <v>45657</v>
      </c>
      <c r="D10677" t="inlineStr">
        <is>
          <t>VÄSTERNORRLANDS LÄN</t>
        </is>
      </c>
      <c r="E10677" t="inlineStr">
        <is>
          <t>KRAMFORS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49287-2023</t>
        </is>
      </c>
      <c r="B10678" s="1" t="n">
        <v>45210</v>
      </c>
      <c r="C10678" s="1" t="n">
        <v>45657</v>
      </c>
      <c r="D10678" t="inlineStr">
        <is>
          <t>VÄSTERNORRLANDS LÄN</t>
        </is>
      </c>
      <c r="E10678" t="inlineStr">
        <is>
          <t>ÖRNSKÖLDSVIK</t>
        </is>
      </c>
      <c r="F10678" t="inlineStr">
        <is>
          <t>Holmen skog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49319-2023</t>
        </is>
      </c>
      <c r="B10679" s="1" t="n">
        <v>45211</v>
      </c>
      <c r="C10679" s="1" t="n">
        <v>45657</v>
      </c>
      <c r="D10679" t="inlineStr">
        <is>
          <t>VÄSTERNORRLANDS LÄN</t>
        </is>
      </c>
      <c r="E10679" t="inlineStr">
        <is>
          <t>SUNDSVALL</t>
        </is>
      </c>
      <c r="F10679" t="inlineStr">
        <is>
          <t>SCA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49323-2023</t>
        </is>
      </c>
      <c r="B10680" s="1" t="n">
        <v>45211</v>
      </c>
      <c r="C10680" s="1" t="n">
        <v>45657</v>
      </c>
      <c r="D10680" t="inlineStr">
        <is>
          <t>VÄSTERNORRLANDS LÄN</t>
        </is>
      </c>
      <c r="E10680" t="inlineStr">
        <is>
          <t>SOLLEFTEÅ</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49321-2023</t>
        </is>
      </c>
      <c r="B10681" s="1" t="n">
        <v>45211</v>
      </c>
      <c r="C10681" s="1" t="n">
        <v>45657</v>
      </c>
      <c r="D10681" t="inlineStr">
        <is>
          <t>VÄSTERNORRLANDS LÄN</t>
        </is>
      </c>
      <c r="E10681" t="inlineStr">
        <is>
          <t>SUNDSVALL</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49320-2023</t>
        </is>
      </c>
      <c r="B10682" s="1" t="n">
        <v>45210</v>
      </c>
      <c r="C10682" s="1" t="n">
        <v>45657</v>
      </c>
      <c r="D10682" t="inlineStr">
        <is>
          <t>VÄSTERNORRLANDS LÄN</t>
        </is>
      </c>
      <c r="E10682" t="inlineStr">
        <is>
          <t>SUNDSVALL</t>
        </is>
      </c>
      <c r="F10682" t="inlineStr">
        <is>
          <t>SCA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49324-2023</t>
        </is>
      </c>
      <c r="B10683" s="1" t="n">
        <v>45210</v>
      </c>
      <c r="C10683" s="1" t="n">
        <v>45657</v>
      </c>
      <c r="D10683" t="inlineStr">
        <is>
          <t>VÄSTERNORRLANDS LÄN</t>
        </is>
      </c>
      <c r="E10683" t="inlineStr">
        <is>
          <t>SOLLEFTEÅ</t>
        </is>
      </c>
      <c r="F10683" t="inlineStr">
        <is>
          <t>SCA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50698-2023</t>
        </is>
      </c>
      <c r="B10684" s="1" t="n">
        <v>45210</v>
      </c>
      <c r="C10684" s="1" t="n">
        <v>45657</v>
      </c>
      <c r="D10684" t="inlineStr">
        <is>
          <t>VÄSTERNORRLANDS LÄN</t>
        </is>
      </c>
      <c r="E10684" t="inlineStr">
        <is>
          <t>SOLLEFTEÅ</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50745-2023</t>
        </is>
      </c>
      <c r="B10685" s="1" t="n">
        <v>45210</v>
      </c>
      <c r="C10685" s="1" t="n">
        <v>45657</v>
      </c>
      <c r="D10685" t="inlineStr">
        <is>
          <t>VÄSTERNORRLANDS LÄN</t>
        </is>
      </c>
      <c r="E10685" t="inlineStr">
        <is>
          <t>SOLLEFTEÅ</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50763-2023</t>
        </is>
      </c>
      <c r="B10686" s="1" t="n">
        <v>45210</v>
      </c>
      <c r="C10686" s="1" t="n">
        <v>45657</v>
      </c>
      <c r="D10686" t="inlineStr">
        <is>
          <t>VÄSTERNORRLANDS LÄN</t>
        </is>
      </c>
      <c r="E10686" t="inlineStr">
        <is>
          <t>SUNDSVALL</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50687-2023</t>
        </is>
      </c>
      <c r="B10687" s="1" t="n">
        <v>45210</v>
      </c>
      <c r="C10687" s="1" t="n">
        <v>45657</v>
      </c>
      <c r="D10687" t="inlineStr">
        <is>
          <t>VÄSTERNORRLANDS LÄN</t>
        </is>
      </c>
      <c r="E10687" t="inlineStr">
        <is>
          <t>ÖRNSKÖLDSVIK</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50630-2023</t>
        </is>
      </c>
      <c r="B10688" s="1" t="n">
        <v>45210</v>
      </c>
      <c r="C10688" s="1" t="n">
        <v>45657</v>
      </c>
      <c r="D10688" t="inlineStr">
        <is>
          <t>VÄSTERNORRLANDS LÄN</t>
        </is>
      </c>
      <c r="E10688" t="inlineStr">
        <is>
          <t>KRAMFORS</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50716-2023</t>
        </is>
      </c>
      <c r="B10689" s="1" t="n">
        <v>45210</v>
      </c>
      <c r="C10689" s="1" t="n">
        <v>45657</v>
      </c>
      <c r="D10689" t="inlineStr">
        <is>
          <t>VÄSTERNORRLANDS LÄN</t>
        </is>
      </c>
      <c r="E10689" t="inlineStr">
        <is>
          <t>SOLLEFTEÅ</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50638-2023</t>
        </is>
      </c>
      <c r="B10690" s="1" t="n">
        <v>45210</v>
      </c>
      <c r="C10690" s="1" t="n">
        <v>45657</v>
      </c>
      <c r="D10690" t="inlineStr">
        <is>
          <t>VÄSTERNORRLANDS LÄN</t>
        </is>
      </c>
      <c r="E10690" t="inlineStr">
        <is>
          <t>TIMRÅ</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50674-2023</t>
        </is>
      </c>
      <c r="B10691" s="1" t="n">
        <v>45210</v>
      </c>
      <c r="C10691" s="1" t="n">
        <v>45657</v>
      </c>
      <c r="D10691" t="inlineStr">
        <is>
          <t>VÄSTERNORRLANDS LÄN</t>
        </is>
      </c>
      <c r="E10691" t="inlineStr">
        <is>
          <t>SOLLEFTEÅ</t>
        </is>
      </c>
      <c r="G10691" t="n">
        <v>11.8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50688-2023</t>
        </is>
      </c>
      <c r="B10692" s="1" t="n">
        <v>45210</v>
      </c>
      <c r="C10692" s="1" t="n">
        <v>45657</v>
      </c>
      <c r="D10692" t="inlineStr">
        <is>
          <t>VÄSTERNORRLANDS LÄN</t>
        </is>
      </c>
      <c r="E10692" t="inlineStr">
        <is>
          <t>SOLLEFTEÅ</t>
        </is>
      </c>
      <c r="G10692" t="n">
        <v>15.6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50708-2023</t>
        </is>
      </c>
      <c r="B10693" s="1" t="n">
        <v>45210</v>
      </c>
      <c r="C10693" s="1" t="n">
        <v>45657</v>
      </c>
      <c r="D10693" t="inlineStr">
        <is>
          <t>VÄSTERNORRLANDS LÄN</t>
        </is>
      </c>
      <c r="E10693" t="inlineStr">
        <is>
          <t>SOLLEFTEÅ</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49342-2023</t>
        </is>
      </c>
      <c r="B10694" s="1" t="n">
        <v>45211</v>
      </c>
      <c r="C10694" s="1" t="n">
        <v>45657</v>
      </c>
      <c r="D10694" t="inlineStr">
        <is>
          <t>VÄSTERNORRLANDS LÄN</t>
        </is>
      </c>
      <c r="E10694" t="inlineStr">
        <is>
          <t>ÖRNSKÖLDSVIK</t>
        </is>
      </c>
      <c r="F10694" t="inlineStr">
        <is>
          <t>Holmen skog AB</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49374-2023</t>
        </is>
      </c>
      <c r="B10695" s="1" t="n">
        <v>45211</v>
      </c>
      <c r="C10695" s="1" t="n">
        <v>45657</v>
      </c>
      <c r="D10695" t="inlineStr">
        <is>
          <t>VÄSTERNORRLANDS LÄN</t>
        </is>
      </c>
      <c r="E10695" t="inlineStr">
        <is>
          <t>ÖRNSKÖLDSVIK</t>
        </is>
      </c>
      <c r="F10695" t="inlineStr">
        <is>
          <t>Holmen skog AB</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49379-2023</t>
        </is>
      </c>
      <c r="B10696" s="1" t="n">
        <v>45211</v>
      </c>
      <c r="C10696" s="1" t="n">
        <v>45657</v>
      </c>
      <c r="D10696" t="inlineStr">
        <is>
          <t>VÄSTERNORRLANDS LÄN</t>
        </is>
      </c>
      <c r="E10696" t="inlineStr">
        <is>
          <t>ÖRNSKÖLDSVIK</t>
        </is>
      </c>
      <c r="F10696" t="inlineStr">
        <is>
          <t>Holmen skog AB</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49476-2023</t>
        </is>
      </c>
      <c r="B10697" s="1" t="n">
        <v>45211</v>
      </c>
      <c r="C10697" s="1" t="n">
        <v>45657</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49469-2023</t>
        </is>
      </c>
      <c r="B10698" s="1" t="n">
        <v>45211</v>
      </c>
      <c r="C10698" s="1" t="n">
        <v>45657</v>
      </c>
      <c r="D10698" t="inlineStr">
        <is>
          <t>VÄSTERNORRLANDS LÄN</t>
        </is>
      </c>
      <c r="E10698" t="inlineStr">
        <is>
          <t>ÖRNSKÖLDSVIK</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49504-2023</t>
        </is>
      </c>
      <c r="B10699" s="1" t="n">
        <v>45211</v>
      </c>
      <c r="C10699" s="1" t="n">
        <v>45657</v>
      </c>
      <c r="D10699" t="inlineStr">
        <is>
          <t>VÄSTERNORRLANDS LÄN</t>
        </is>
      </c>
      <c r="E10699" t="inlineStr">
        <is>
          <t>ÖRNSKÖLDSVIK</t>
        </is>
      </c>
      <c r="F10699" t="inlineStr">
        <is>
          <t>Holmen skog AB</t>
        </is>
      </c>
      <c r="G10699" t="n">
        <v>12.8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49579-2023</t>
        </is>
      </c>
      <c r="B10700" s="1" t="n">
        <v>45211</v>
      </c>
      <c r="C10700" s="1" t="n">
        <v>45657</v>
      </c>
      <c r="D10700" t="inlineStr">
        <is>
          <t>VÄSTERNORRLANDS LÄN</t>
        </is>
      </c>
      <c r="E10700" t="inlineStr">
        <is>
          <t>ÖRNSKÖLDSVIK</t>
        </is>
      </c>
      <c r="F10700" t="inlineStr">
        <is>
          <t>Holmen skog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49576-2023</t>
        </is>
      </c>
      <c r="B10701" s="1" t="n">
        <v>45211</v>
      </c>
      <c r="C10701" s="1" t="n">
        <v>45657</v>
      </c>
      <c r="D10701" t="inlineStr">
        <is>
          <t>VÄSTERNORRLANDS LÄN</t>
        </is>
      </c>
      <c r="E10701" t="inlineStr">
        <is>
          <t>ÖRNSKÖLDSVIK</t>
        </is>
      </c>
      <c r="G10701" t="n">
        <v>10.2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49581-2023</t>
        </is>
      </c>
      <c r="B10702" s="1" t="n">
        <v>45211</v>
      </c>
      <c r="C10702" s="1" t="n">
        <v>45657</v>
      </c>
      <c r="D10702" t="inlineStr">
        <is>
          <t>VÄSTERNORRLANDS LÄN</t>
        </is>
      </c>
      <c r="E10702" t="inlineStr">
        <is>
          <t>SUNDSVALL</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49567-2023</t>
        </is>
      </c>
      <c r="B10703" s="1" t="n">
        <v>45211</v>
      </c>
      <c r="C10703" s="1" t="n">
        <v>45657</v>
      </c>
      <c r="D10703" t="inlineStr">
        <is>
          <t>VÄSTERNORRLANDS LÄN</t>
        </is>
      </c>
      <c r="E10703" t="inlineStr">
        <is>
          <t>ÖRNSKÖLDSVIK</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49381-2023</t>
        </is>
      </c>
      <c r="B10704" s="1" t="n">
        <v>45211</v>
      </c>
      <c r="C10704" s="1" t="n">
        <v>45657</v>
      </c>
      <c r="D10704" t="inlineStr">
        <is>
          <t>VÄSTERNORRLANDS LÄN</t>
        </is>
      </c>
      <c r="E10704" t="inlineStr">
        <is>
          <t>ÖRNSKÖLDSVIK</t>
        </is>
      </c>
      <c r="F10704" t="inlineStr">
        <is>
          <t>Holmen skog AB</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49412-2023</t>
        </is>
      </c>
      <c r="B10705" s="1" t="n">
        <v>45211</v>
      </c>
      <c r="C10705" s="1" t="n">
        <v>45657</v>
      </c>
      <c r="D10705" t="inlineStr">
        <is>
          <t>VÄSTERNORRLANDS LÄN</t>
        </is>
      </c>
      <c r="E10705" t="inlineStr">
        <is>
          <t>ÖRNSKÖLDSVIK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49426-2023</t>
        </is>
      </c>
      <c r="B10706" s="1" t="n">
        <v>45211</v>
      </c>
      <c r="C10706" s="1" t="n">
        <v>45657</v>
      </c>
      <c r="D10706" t="inlineStr">
        <is>
          <t>VÄSTERNORRLANDS LÄN</t>
        </is>
      </c>
      <c r="E10706" t="inlineStr">
        <is>
          <t>ÖRNSKÖLDSVIK</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49446-2023</t>
        </is>
      </c>
      <c r="B10707" s="1" t="n">
        <v>45211</v>
      </c>
      <c r="C10707" s="1" t="n">
        <v>45657</v>
      </c>
      <c r="D10707" t="inlineStr">
        <is>
          <t>VÄSTERNORRLANDS LÄN</t>
        </is>
      </c>
      <c r="E10707" t="inlineStr">
        <is>
          <t>ÖRNSKÖLDSVIK</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49560-2023</t>
        </is>
      </c>
      <c r="B10708" s="1" t="n">
        <v>45211</v>
      </c>
      <c r="C10708" s="1" t="n">
        <v>45657</v>
      </c>
      <c r="D10708" t="inlineStr">
        <is>
          <t>VÄSTERNORRLANDS LÄN</t>
        </is>
      </c>
      <c r="E10708" t="inlineStr">
        <is>
          <t>ÖRNSKÖLDSVIK</t>
        </is>
      </c>
      <c r="F10708" t="inlineStr">
        <is>
          <t>Holmen skog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49638-2023</t>
        </is>
      </c>
      <c r="B10709" s="1" t="n">
        <v>45211</v>
      </c>
      <c r="C10709" s="1" t="n">
        <v>45657</v>
      </c>
      <c r="D10709" t="inlineStr">
        <is>
          <t>VÄSTERNORRLANDS LÄN</t>
        </is>
      </c>
      <c r="E10709" t="inlineStr">
        <is>
          <t>KRAMFORS</t>
        </is>
      </c>
      <c r="G10709" t="n">
        <v>10.5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49654-2023</t>
        </is>
      </c>
      <c r="B10710" s="1" t="n">
        <v>45211</v>
      </c>
      <c r="C10710" s="1" t="n">
        <v>45657</v>
      </c>
      <c r="D10710" t="inlineStr">
        <is>
          <t>VÄSTERNORRLANDS LÄN</t>
        </is>
      </c>
      <c r="E10710" t="inlineStr">
        <is>
          <t>SUNDSVALL</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49658-2023</t>
        </is>
      </c>
      <c r="B10711" s="1" t="n">
        <v>45211</v>
      </c>
      <c r="C10711" s="1" t="n">
        <v>45657</v>
      </c>
      <c r="D10711" t="inlineStr">
        <is>
          <t>VÄSTERNORRLANDS LÄN</t>
        </is>
      </c>
      <c r="E10711" t="inlineStr">
        <is>
          <t>KRAMFORS</t>
        </is>
      </c>
      <c r="F10711" t="inlineStr">
        <is>
          <t>SCA</t>
        </is>
      </c>
      <c r="G10711" t="n">
        <v>10.3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49639-2023</t>
        </is>
      </c>
      <c r="B10712" s="1" t="n">
        <v>45211</v>
      </c>
      <c r="C10712" s="1" t="n">
        <v>45657</v>
      </c>
      <c r="D10712" t="inlineStr">
        <is>
          <t>VÄSTERNORRLANDS LÄN</t>
        </is>
      </c>
      <c r="E10712" t="inlineStr">
        <is>
          <t>KRAMFORS</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49647-2023</t>
        </is>
      </c>
      <c r="B10713" s="1" t="n">
        <v>45211</v>
      </c>
      <c r="C10713" s="1" t="n">
        <v>45657</v>
      </c>
      <c r="D10713" t="inlineStr">
        <is>
          <t>VÄSTERNORRLANDS LÄN</t>
        </is>
      </c>
      <c r="E10713" t="inlineStr">
        <is>
          <t>SUNDSVALL</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49655-2023</t>
        </is>
      </c>
      <c r="B10714" s="1" t="n">
        <v>45212</v>
      </c>
      <c r="C10714" s="1" t="n">
        <v>45657</v>
      </c>
      <c r="D10714" t="inlineStr">
        <is>
          <t>VÄSTERNORRLANDS LÄN</t>
        </is>
      </c>
      <c r="E10714" t="inlineStr">
        <is>
          <t>SUNDSVALL</t>
        </is>
      </c>
      <c r="F10714" t="inlineStr">
        <is>
          <t>SCA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49649-2023</t>
        </is>
      </c>
      <c r="B10715" s="1" t="n">
        <v>45212</v>
      </c>
      <c r="C10715" s="1" t="n">
        <v>45657</v>
      </c>
      <c r="D10715" t="inlineStr">
        <is>
          <t>VÄSTERNORRLANDS LÄN</t>
        </is>
      </c>
      <c r="E10715" t="inlineStr">
        <is>
          <t>SOLLEFTEÅ</t>
        </is>
      </c>
      <c r="F10715" t="inlineStr">
        <is>
          <t>SCA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49657-2023</t>
        </is>
      </c>
      <c r="B10716" s="1" t="n">
        <v>45212</v>
      </c>
      <c r="C10716" s="1" t="n">
        <v>45657</v>
      </c>
      <c r="D10716" t="inlineStr">
        <is>
          <t>VÄSTERNORRLANDS LÄN</t>
        </is>
      </c>
      <c r="E10716" t="inlineStr">
        <is>
          <t>KRAMFORS</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50896-2023</t>
        </is>
      </c>
      <c r="B10717" s="1" t="n">
        <v>45211</v>
      </c>
      <c r="C10717" s="1" t="n">
        <v>45657</v>
      </c>
      <c r="D10717" t="inlineStr">
        <is>
          <t>VÄSTERNORRLANDS LÄN</t>
        </is>
      </c>
      <c r="E10717" t="inlineStr">
        <is>
          <t>HÄRNÖSAND</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50947-2023</t>
        </is>
      </c>
      <c r="B10718" s="1" t="n">
        <v>45211</v>
      </c>
      <c r="C10718" s="1" t="n">
        <v>45657</v>
      </c>
      <c r="D10718" t="inlineStr">
        <is>
          <t>VÄSTERNORRLANDS LÄN</t>
        </is>
      </c>
      <c r="E10718" t="inlineStr">
        <is>
          <t>ÖRNSKÖLDSVIK</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50959-2023</t>
        </is>
      </c>
      <c r="B10719" s="1" t="n">
        <v>45211</v>
      </c>
      <c r="C10719" s="1" t="n">
        <v>45657</v>
      </c>
      <c r="D10719" t="inlineStr">
        <is>
          <t>VÄSTERNORRLANDS LÄN</t>
        </is>
      </c>
      <c r="E10719" t="inlineStr">
        <is>
          <t>SUNDSVALL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50899-2023</t>
        </is>
      </c>
      <c r="B10720" s="1" t="n">
        <v>45211</v>
      </c>
      <c r="C10720" s="1" t="n">
        <v>45657</v>
      </c>
      <c r="D10720" t="inlineStr">
        <is>
          <t>VÄSTERNORRLANDS LÄN</t>
        </is>
      </c>
      <c r="E10720" t="inlineStr">
        <is>
          <t>HÄRNÖSAND</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50863-2023</t>
        </is>
      </c>
      <c r="B10721" s="1" t="n">
        <v>45211</v>
      </c>
      <c r="C10721" s="1" t="n">
        <v>45657</v>
      </c>
      <c r="D10721" t="inlineStr">
        <is>
          <t>VÄSTERNORRLANDS LÄN</t>
        </is>
      </c>
      <c r="E10721" t="inlineStr">
        <is>
          <t>ÖRNSKÖLDSVIK</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49677-2023</t>
        </is>
      </c>
      <c r="B10722" s="1" t="n">
        <v>45212</v>
      </c>
      <c r="C10722" s="1" t="n">
        <v>45657</v>
      </c>
      <c r="D10722" t="inlineStr">
        <is>
          <t>VÄSTERNORRLANDS LÄN</t>
        </is>
      </c>
      <c r="E10722" t="inlineStr">
        <is>
          <t>ÖRNSKÖLDSVIK</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49701-2023</t>
        </is>
      </c>
      <c r="B10723" s="1" t="n">
        <v>45212</v>
      </c>
      <c r="C10723" s="1" t="n">
        <v>45657</v>
      </c>
      <c r="D10723" t="inlineStr">
        <is>
          <t>VÄSTERNORRLANDS LÄN</t>
        </is>
      </c>
      <c r="E10723" t="inlineStr">
        <is>
          <t>ÖRNSKÖLDSVIK</t>
        </is>
      </c>
      <c r="F10723" t="inlineStr">
        <is>
          <t>Holmen skog AB</t>
        </is>
      </c>
      <c r="G10723" t="n">
        <v>11.8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49675-2023</t>
        </is>
      </c>
      <c r="B10724" s="1" t="n">
        <v>45212</v>
      </c>
      <c r="C10724" s="1" t="n">
        <v>45657</v>
      </c>
      <c r="D10724" t="inlineStr">
        <is>
          <t>VÄSTERNORRLANDS LÄN</t>
        </is>
      </c>
      <c r="E10724" t="inlineStr">
        <is>
          <t>ÖRNSKÖLDSVIK</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49758-2023</t>
        </is>
      </c>
      <c r="B10725" s="1" t="n">
        <v>45212</v>
      </c>
      <c r="C10725" s="1" t="n">
        <v>45657</v>
      </c>
      <c r="D10725" t="inlineStr">
        <is>
          <t>VÄSTERNORRLANDS LÄN</t>
        </is>
      </c>
      <c r="E10725" t="inlineStr">
        <is>
          <t>ÖRNSKÖLDSVIK</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49810-2023</t>
        </is>
      </c>
      <c r="B10726" s="1" t="n">
        <v>45212</v>
      </c>
      <c r="C10726" s="1" t="n">
        <v>45657</v>
      </c>
      <c r="D10726" t="inlineStr">
        <is>
          <t>VÄSTERNORRLANDS LÄN</t>
        </is>
      </c>
      <c r="E10726" t="inlineStr">
        <is>
          <t>SOLLEFTEÅ</t>
        </is>
      </c>
      <c r="F10726" t="inlineStr">
        <is>
          <t>Holmen skog AB</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49868-2023</t>
        </is>
      </c>
      <c r="B10727" s="1" t="n">
        <v>45213</v>
      </c>
      <c r="C10727" s="1" t="n">
        <v>45657</v>
      </c>
      <c r="D10727" t="inlineStr">
        <is>
          <t>VÄSTERNORRLANDS LÄN</t>
        </is>
      </c>
      <c r="E10727" t="inlineStr">
        <is>
          <t>SUNDSVALL</t>
        </is>
      </c>
      <c r="F10727" t="inlineStr">
        <is>
          <t>SCA</t>
        </is>
      </c>
      <c r="G10727" t="n">
        <v>10.7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49867-2023</t>
        </is>
      </c>
      <c r="B10728" s="1" t="n">
        <v>45212</v>
      </c>
      <c r="C10728" s="1" t="n">
        <v>45657</v>
      </c>
      <c r="D10728" t="inlineStr">
        <is>
          <t>VÄSTERNORRLANDS LÄN</t>
        </is>
      </c>
      <c r="E10728" t="inlineStr">
        <is>
          <t>SUNDSVALL</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49871-2023</t>
        </is>
      </c>
      <c r="B10729" s="1" t="n">
        <v>45213</v>
      </c>
      <c r="C10729" s="1" t="n">
        <v>45657</v>
      </c>
      <c r="D10729" t="inlineStr">
        <is>
          <t>VÄSTERNORRLANDS LÄN</t>
        </is>
      </c>
      <c r="E10729" t="inlineStr">
        <is>
          <t>SUNDSVALL</t>
        </is>
      </c>
      <c r="F10729" t="inlineStr">
        <is>
          <t>SCA</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51298-2023</t>
        </is>
      </c>
      <c r="B10730" s="1" t="n">
        <v>45212</v>
      </c>
      <c r="C10730" s="1" t="n">
        <v>45657</v>
      </c>
      <c r="D10730" t="inlineStr">
        <is>
          <t>VÄSTERNORRLANDS LÄN</t>
        </is>
      </c>
      <c r="E10730" t="inlineStr">
        <is>
          <t>ÖRNSKÖLDSVIK</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49854-2023</t>
        </is>
      </c>
      <c r="B10731" s="1" t="n">
        <v>45213</v>
      </c>
      <c r="C10731" s="1" t="n">
        <v>45657</v>
      </c>
      <c r="D10731" t="inlineStr">
        <is>
          <t>VÄSTERNORRLANDS LÄN</t>
        </is>
      </c>
      <c r="E10731" t="inlineStr">
        <is>
          <t>SUNDSVALL</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49862-2023</t>
        </is>
      </c>
      <c r="B10732" s="1" t="n">
        <v>45212</v>
      </c>
      <c r="C10732" s="1" t="n">
        <v>45657</v>
      </c>
      <c r="D10732" t="inlineStr">
        <is>
          <t>VÄSTERNORRLANDS LÄN</t>
        </is>
      </c>
      <c r="E10732" t="inlineStr">
        <is>
          <t>SUNDSVALL</t>
        </is>
      </c>
      <c r="F10732" t="inlineStr">
        <is>
          <t>SCA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49866-2023</t>
        </is>
      </c>
      <c r="B10733" s="1" t="n">
        <v>45213</v>
      </c>
      <c r="C10733" s="1" t="n">
        <v>45657</v>
      </c>
      <c r="D10733" t="inlineStr">
        <is>
          <t>VÄSTERNORRLANDS LÄN</t>
        </is>
      </c>
      <c r="E10733" t="inlineStr">
        <is>
          <t>SUNDSVALL</t>
        </is>
      </c>
      <c r="F10733" t="inlineStr">
        <is>
          <t>SCA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49870-2023</t>
        </is>
      </c>
      <c r="B10734" s="1" t="n">
        <v>45213</v>
      </c>
      <c r="C10734" s="1" t="n">
        <v>45657</v>
      </c>
      <c r="D10734" t="inlineStr">
        <is>
          <t>VÄSTERNORRLANDS LÄN</t>
        </is>
      </c>
      <c r="E10734" t="inlineStr">
        <is>
          <t>SUNDSVALL</t>
        </is>
      </c>
      <c r="F10734" t="inlineStr">
        <is>
          <t>SCA</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49853-2023</t>
        </is>
      </c>
      <c r="B10735" s="1" t="n">
        <v>45213</v>
      </c>
      <c r="C10735" s="1" t="n">
        <v>45657</v>
      </c>
      <c r="D10735" t="inlineStr">
        <is>
          <t>VÄSTERNORRLANDS LÄN</t>
        </is>
      </c>
      <c r="E10735" t="inlineStr">
        <is>
          <t>KRAMFORS</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49869-2023</t>
        </is>
      </c>
      <c r="B10736" s="1" t="n">
        <v>45213</v>
      </c>
      <c r="C10736" s="1" t="n">
        <v>45657</v>
      </c>
      <c r="D10736" t="inlineStr">
        <is>
          <t>VÄSTERNORRLANDS LÄN</t>
        </is>
      </c>
      <c r="E10736" t="inlineStr">
        <is>
          <t>SUNDSVALL</t>
        </is>
      </c>
      <c r="F10736" t="inlineStr">
        <is>
          <t>SCA</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51321-2023</t>
        </is>
      </c>
      <c r="B10737" s="1" t="n">
        <v>45212</v>
      </c>
      <c r="C10737" s="1" t="n">
        <v>45657</v>
      </c>
      <c r="D10737" t="inlineStr">
        <is>
          <t>VÄSTERNORRLANDS LÄN</t>
        </is>
      </c>
      <c r="E10737" t="inlineStr">
        <is>
          <t>ÖRNSKÖLDSVIK</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51395-2023</t>
        </is>
      </c>
      <c r="B10738" s="1" t="n">
        <v>45214</v>
      </c>
      <c r="C10738" s="1" t="n">
        <v>45657</v>
      </c>
      <c r="D10738" t="inlineStr">
        <is>
          <t>VÄSTERNORRLANDS LÄN</t>
        </is>
      </c>
      <c r="E10738" t="inlineStr">
        <is>
          <t>ÖRNSKÖLDSVIK</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49929-2023</t>
        </is>
      </c>
      <c r="B10739" s="1" t="n">
        <v>45215</v>
      </c>
      <c r="C10739" s="1" t="n">
        <v>45657</v>
      </c>
      <c r="D10739" t="inlineStr">
        <is>
          <t>VÄSTERNORRLANDS LÄN</t>
        </is>
      </c>
      <c r="E10739" t="inlineStr">
        <is>
          <t>ÖRNSKÖLDSVIK</t>
        </is>
      </c>
      <c r="F10739" t="inlineStr">
        <is>
          <t>SCA</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51402-2023</t>
        </is>
      </c>
      <c r="B10740" s="1" t="n">
        <v>45214</v>
      </c>
      <c r="C10740" s="1" t="n">
        <v>45657</v>
      </c>
      <c r="D10740" t="inlineStr">
        <is>
          <t>VÄSTERNORRLANDS LÄN</t>
        </is>
      </c>
      <c r="E10740" t="inlineStr">
        <is>
          <t>ÖRNSKÖLDSVIK</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50024-2023</t>
        </is>
      </c>
      <c r="B10741" s="1" t="n">
        <v>45215</v>
      </c>
      <c r="C10741" s="1" t="n">
        <v>45657</v>
      </c>
      <c r="D10741" t="inlineStr">
        <is>
          <t>VÄSTERNORRLANDS LÄN</t>
        </is>
      </c>
      <c r="E10741" t="inlineStr">
        <is>
          <t>KRAMFORS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50044-2023</t>
        </is>
      </c>
      <c r="B10742" s="1" t="n">
        <v>45215</v>
      </c>
      <c r="C10742" s="1" t="n">
        <v>45657</v>
      </c>
      <c r="D10742" t="inlineStr">
        <is>
          <t>VÄSTERNORRLANDS LÄN</t>
        </is>
      </c>
      <c r="E10742" t="inlineStr">
        <is>
          <t>ÖRNSKÖLDSVIK</t>
        </is>
      </c>
      <c r="F10742" t="inlineStr">
        <is>
          <t>Holmen skog AB</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49945-2023</t>
        </is>
      </c>
      <c r="B10743" s="1" t="n">
        <v>45215</v>
      </c>
      <c r="C10743" s="1" t="n">
        <v>45657</v>
      </c>
      <c r="D10743" t="inlineStr">
        <is>
          <t>VÄSTERNORRLANDS LÄN</t>
        </is>
      </c>
      <c r="E10743" t="inlineStr">
        <is>
          <t>ÅNGE</t>
        </is>
      </c>
      <c r="F10743" t="inlineStr">
        <is>
          <t>Holmen skog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49994-2023</t>
        </is>
      </c>
      <c r="B10744" s="1" t="n">
        <v>45215</v>
      </c>
      <c r="C10744" s="1" t="n">
        <v>45657</v>
      </c>
      <c r="D10744" t="inlineStr">
        <is>
          <t>VÄSTERNORRLANDS LÄN</t>
        </is>
      </c>
      <c r="E10744" t="inlineStr">
        <is>
          <t>SUNDSVALL</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50014-2023</t>
        </is>
      </c>
      <c r="B10745" s="1" t="n">
        <v>45215</v>
      </c>
      <c r="C10745" s="1" t="n">
        <v>45657</v>
      </c>
      <c r="D10745" t="inlineStr">
        <is>
          <t>VÄSTERNORRLANDS LÄN</t>
        </is>
      </c>
      <c r="E10745" t="inlineStr">
        <is>
          <t>ÖRNSKÖLDSVIK</t>
        </is>
      </c>
      <c r="F10745" t="inlineStr">
        <is>
          <t>Holmen skog AB</t>
        </is>
      </c>
      <c r="G10745" t="n">
        <v>16.2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50210-2023</t>
        </is>
      </c>
      <c r="B10746" s="1" t="n">
        <v>45216</v>
      </c>
      <c r="C10746" s="1" t="n">
        <v>45657</v>
      </c>
      <c r="D10746" t="inlineStr">
        <is>
          <t>VÄSTERNORRLANDS LÄN</t>
        </is>
      </c>
      <c r="E10746" t="inlineStr">
        <is>
          <t>SUNDSVALL</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50214-2023</t>
        </is>
      </c>
      <c r="B10747" s="1" t="n">
        <v>45216</v>
      </c>
      <c r="C10747" s="1" t="n">
        <v>45657</v>
      </c>
      <c r="D10747" t="inlineStr">
        <is>
          <t>VÄSTERNORRLANDS LÄN</t>
        </is>
      </c>
      <c r="E10747" t="inlineStr">
        <is>
          <t>SUNDSVALL</t>
        </is>
      </c>
      <c r="F10747" t="inlineStr">
        <is>
          <t>SCA</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50226-2023</t>
        </is>
      </c>
      <c r="B10748" s="1" t="n">
        <v>45216</v>
      </c>
      <c r="C10748" s="1" t="n">
        <v>45657</v>
      </c>
      <c r="D10748" t="inlineStr">
        <is>
          <t>VÄSTERNORRLANDS LÄN</t>
        </is>
      </c>
      <c r="E10748" t="inlineStr">
        <is>
          <t>SOLLEFTEÅ</t>
        </is>
      </c>
      <c r="F10748" t="inlineStr">
        <is>
          <t>SCA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50215-2023</t>
        </is>
      </c>
      <c r="B10749" s="1" t="n">
        <v>45216</v>
      </c>
      <c r="C10749" s="1" t="n">
        <v>45657</v>
      </c>
      <c r="D10749" t="inlineStr">
        <is>
          <t>VÄSTERNORRLANDS LÄN</t>
        </is>
      </c>
      <c r="E10749" t="inlineStr">
        <is>
          <t>ÅNGE</t>
        </is>
      </c>
      <c r="F10749" t="inlineStr">
        <is>
          <t>SCA</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51522-2023</t>
        </is>
      </c>
      <c r="B10750" s="1" t="n">
        <v>45215</v>
      </c>
      <c r="C10750" s="1" t="n">
        <v>45657</v>
      </c>
      <c r="D10750" t="inlineStr">
        <is>
          <t>VÄSTERNORRLANDS LÄN</t>
        </is>
      </c>
      <c r="E10750" t="inlineStr">
        <is>
          <t>SOLLEFTEÅ</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49960-2023</t>
        </is>
      </c>
      <c r="B10751" s="1" t="n">
        <v>45215</v>
      </c>
      <c r="C10751" s="1" t="n">
        <v>45657</v>
      </c>
      <c r="D10751" t="inlineStr">
        <is>
          <t>VÄSTERNORRLANDS LÄN</t>
        </is>
      </c>
      <c r="E10751" t="inlineStr">
        <is>
          <t>ÖRNSKÖLDSVIK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50193-2023</t>
        </is>
      </c>
      <c r="B10752" s="1" t="n">
        <v>45215</v>
      </c>
      <c r="C10752" s="1" t="n">
        <v>45657</v>
      </c>
      <c r="D10752" t="inlineStr">
        <is>
          <t>VÄSTERNORRLANDS LÄN</t>
        </is>
      </c>
      <c r="E10752" t="inlineStr">
        <is>
          <t>ÖRNSKÖLDSVIK</t>
        </is>
      </c>
      <c r="F10752" t="inlineStr">
        <is>
          <t>Holmen skog AB</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50201-2023</t>
        </is>
      </c>
      <c r="B10753" s="1" t="n">
        <v>45215</v>
      </c>
      <c r="C10753" s="1" t="n">
        <v>45657</v>
      </c>
      <c r="D10753" t="inlineStr">
        <is>
          <t>VÄSTERNORRLANDS LÄN</t>
        </is>
      </c>
      <c r="E10753" t="inlineStr">
        <is>
          <t>ÖRNSKÖLDSVIK</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50205-2023</t>
        </is>
      </c>
      <c r="B10754" s="1" t="n">
        <v>45216</v>
      </c>
      <c r="C10754" s="1" t="n">
        <v>45657</v>
      </c>
      <c r="D10754" t="inlineStr">
        <is>
          <t>VÄSTERNORRLANDS LÄN</t>
        </is>
      </c>
      <c r="E10754" t="inlineStr">
        <is>
          <t>SUNDSVALL</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50213-2023</t>
        </is>
      </c>
      <c r="B10755" s="1" t="n">
        <v>45216</v>
      </c>
      <c r="C10755" s="1" t="n">
        <v>45657</v>
      </c>
      <c r="D10755" t="inlineStr">
        <is>
          <t>VÄSTERNORRLANDS LÄN</t>
        </is>
      </c>
      <c r="E10755" t="inlineStr">
        <is>
          <t>SUNDSVALL</t>
        </is>
      </c>
      <c r="F10755" t="inlineStr">
        <is>
          <t>SCA</t>
        </is>
      </c>
      <c r="G10755" t="n">
        <v>10.9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50230-2023</t>
        </is>
      </c>
      <c r="B10756" s="1" t="n">
        <v>45215</v>
      </c>
      <c r="C10756" s="1" t="n">
        <v>45657</v>
      </c>
      <c r="D10756" t="inlineStr">
        <is>
          <t>VÄSTERNORRLANDS LÄN</t>
        </is>
      </c>
      <c r="E10756" t="inlineStr">
        <is>
          <t>TIMRÅ</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51515-2023</t>
        </is>
      </c>
      <c r="B10757" s="1" t="n">
        <v>45215</v>
      </c>
      <c r="C10757" s="1" t="n">
        <v>45657</v>
      </c>
      <c r="D10757" t="inlineStr">
        <is>
          <t>VÄSTERNORRLANDS LÄN</t>
        </is>
      </c>
      <c r="E10757" t="inlineStr">
        <is>
          <t>SOLLEFTEÅ</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50069-2023</t>
        </is>
      </c>
      <c r="B10758" s="1" t="n">
        <v>45215</v>
      </c>
      <c r="C10758" s="1" t="n">
        <v>45657</v>
      </c>
      <c r="D10758" t="inlineStr">
        <is>
          <t>VÄSTERNORRLANDS LÄN</t>
        </is>
      </c>
      <c r="E10758" t="inlineStr">
        <is>
          <t>ÖRNSKÖLDSVIK</t>
        </is>
      </c>
      <c r="F10758" t="inlineStr">
        <is>
          <t>Holmen skog AB</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50196-2023</t>
        </is>
      </c>
      <c r="B10759" s="1" t="n">
        <v>45215</v>
      </c>
      <c r="C10759" s="1" t="n">
        <v>45657</v>
      </c>
      <c r="D10759" t="inlineStr">
        <is>
          <t>VÄSTERNORRLANDS LÄN</t>
        </is>
      </c>
      <c r="E10759" t="inlineStr">
        <is>
          <t>ÖRNSKÖLDSVIK</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51735-2023</t>
        </is>
      </c>
      <c r="B10760" s="1" t="n">
        <v>45215</v>
      </c>
      <c r="C10760" s="1" t="n">
        <v>45657</v>
      </c>
      <c r="D10760" t="inlineStr">
        <is>
          <t>VÄSTERNORRLANDS LÄN</t>
        </is>
      </c>
      <c r="E10760" t="inlineStr">
        <is>
          <t>TIMRÅ</t>
        </is>
      </c>
      <c r="G10760" t="n">
        <v>8.5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51681-2023</t>
        </is>
      </c>
      <c r="B10761" s="1" t="n">
        <v>45215</v>
      </c>
      <c r="C10761" s="1" t="n">
        <v>45657</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51871-2023</t>
        </is>
      </c>
      <c r="B10762" s="1" t="n">
        <v>45215</v>
      </c>
      <c r="C10762" s="1" t="n">
        <v>45657</v>
      </c>
      <c r="D10762" t="inlineStr">
        <is>
          <t>VÄSTERNORRLANDS LÄN</t>
        </is>
      </c>
      <c r="E10762" t="inlineStr">
        <is>
          <t>TIMRÅ</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51890-2023</t>
        </is>
      </c>
      <c r="B10763" s="1" t="n">
        <v>45215</v>
      </c>
      <c r="C10763" s="1" t="n">
        <v>45657</v>
      </c>
      <c r="D10763" t="inlineStr">
        <is>
          <t>VÄSTERNORRLANDS LÄN</t>
        </is>
      </c>
      <c r="E10763" t="inlineStr">
        <is>
          <t>ÅNGE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51677-2023</t>
        </is>
      </c>
      <c r="B10764" s="1" t="n">
        <v>45215</v>
      </c>
      <c r="C10764" s="1" t="n">
        <v>45657</v>
      </c>
      <c r="D10764" t="inlineStr">
        <is>
          <t>VÄSTERNORRLANDS LÄN</t>
        </is>
      </c>
      <c r="E10764" t="inlineStr">
        <is>
          <t>SOLLEFTEÅ</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51690-2023</t>
        </is>
      </c>
      <c r="B10765" s="1" t="n">
        <v>45215</v>
      </c>
      <c r="C10765" s="1" t="n">
        <v>45657</v>
      </c>
      <c r="D10765" t="inlineStr">
        <is>
          <t>VÄSTERNORRLANDS LÄN</t>
        </is>
      </c>
      <c r="E10765" t="inlineStr">
        <is>
          <t>SOLLEFTEÅ</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51887-2023</t>
        </is>
      </c>
      <c r="B10766" s="1" t="n">
        <v>45215</v>
      </c>
      <c r="C10766" s="1" t="n">
        <v>45657</v>
      </c>
      <c r="D10766" t="inlineStr">
        <is>
          <t>VÄSTERNORRLANDS LÄN</t>
        </is>
      </c>
      <c r="E10766" t="inlineStr">
        <is>
          <t>ÅNGE</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51639-2023</t>
        </is>
      </c>
      <c r="B10767" s="1" t="n">
        <v>45215</v>
      </c>
      <c r="C10767" s="1" t="n">
        <v>45657</v>
      </c>
      <c r="D10767" t="inlineStr">
        <is>
          <t>VÄSTERNORRLANDS LÄN</t>
        </is>
      </c>
      <c r="E10767" t="inlineStr">
        <is>
          <t>SUNDSVALL</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51895-2023</t>
        </is>
      </c>
      <c r="B10768" s="1" t="n">
        <v>45215</v>
      </c>
      <c r="C10768" s="1" t="n">
        <v>45657</v>
      </c>
      <c r="D10768" t="inlineStr">
        <is>
          <t>VÄSTERNORRLANDS LÄN</t>
        </is>
      </c>
      <c r="E10768" t="inlineStr">
        <is>
          <t>ÅNGE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51609-2023</t>
        </is>
      </c>
      <c r="B10769" s="1" t="n">
        <v>45215</v>
      </c>
      <c r="C10769" s="1" t="n">
        <v>45657</v>
      </c>
      <c r="D10769" t="inlineStr">
        <is>
          <t>VÄSTERNORRLANDS LÄN</t>
        </is>
      </c>
      <c r="E10769" t="inlineStr">
        <is>
          <t>ÅNGE</t>
        </is>
      </c>
      <c r="F10769" t="inlineStr">
        <is>
          <t>SCA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51722-2023</t>
        </is>
      </c>
      <c r="B10770" s="1" t="n">
        <v>45215</v>
      </c>
      <c r="C10770" s="1" t="n">
        <v>45657</v>
      </c>
      <c r="D10770" t="inlineStr">
        <is>
          <t>VÄSTERNORRLANDS LÄN</t>
        </is>
      </c>
      <c r="E10770" t="inlineStr">
        <is>
          <t>ÖRNSKÖLDSVIK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51899-2023</t>
        </is>
      </c>
      <c r="B10771" s="1" t="n">
        <v>45215</v>
      </c>
      <c r="C10771" s="1" t="n">
        <v>45657</v>
      </c>
      <c r="D10771" t="inlineStr">
        <is>
          <t>VÄSTERNORRLANDS LÄN</t>
        </is>
      </c>
      <c r="E10771" t="inlineStr">
        <is>
          <t>ÅNGE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50272-2023</t>
        </is>
      </c>
      <c r="B10772" s="1" t="n">
        <v>45216</v>
      </c>
      <c r="C10772" s="1" t="n">
        <v>45657</v>
      </c>
      <c r="D10772" t="inlineStr">
        <is>
          <t>VÄSTERNORRLANDS LÄN</t>
        </is>
      </c>
      <c r="E10772" t="inlineStr">
        <is>
          <t>SUNDSVALL</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50290-2023</t>
        </is>
      </c>
      <c r="B10773" s="1" t="n">
        <v>45216</v>
      </c>
      <c r="C10773" s="1" t="n">
        <v>45657</v>
      </c>
      <c r="D10773" t="inlineStr">
        <is>
          <t>VÄSTERNORRLANDS LÄN</t>
        </is>
      </c>
      <c r="E10773" t="inlineStr">
        <is>
          <t>KRAMFORS</t>
        </is>
      </c>
      <c r="G10773" t="n">
        <v>1.6</v>
      </c>
      <c r="H10773" t="n">
        <v>0</v>
      </c>
      <c r="I10773" t="n">
        <v>0</v>
      </c>
      <c r="J10773" t="n">
        <v>0</v>
      </c>
      <c r="K10773" t="n">
        <v>0</v>
      </c>
      <c r="L10773" t="n">
        <v>0</v>
      </c>
      <c r="M10773" t="n">
        <v>0</v>
      </c>
      <c r="N10773" t="n">
        <v>0</v>
      </c>
      <c r="O10773" t="n">
        <v>0</v>
      </c>
      <c r="P10773" t="n">
        <v>0</v>
      </c>
      <c r="Q10773" t="n">
        <v>0</v>
      </c>
      <c r="R10773" s="2" t="inlineStr"/>
      <c r="U10773">
        <f>HYPERLINK("https://klasma.github.io/Logging_2282/knärot/A 50290-2023 karta knärot.png", "A 50290-2023")</f>
        <v/>
      </c>
      <c r="V10773">
        <f>HYPERLINK("https://klasma.github.io/Logging_2282/klagomål/A 50290-2023 FSC-klagomål.docx", "A 50290-2023")</f>
        <v/>
      </c>
      <c r="W10773">
        <f>HYPERLINK("https://klasma.github.io/Logging_2282/klagomålsmail/A 50290-2023 FSC-klagomål mail.docx", "A 50290-2023")</f>
        <v/>
      </c>
      <c r="X10773">
        <f>HYPERLINK("https://klasma.github.io/Logging_2282/tillsyn/A 50290-2023 tillsynsbegäran.docx", "A 50290-2023")</f>
        <v/>
      </c>
      <c r="Y10773">
        <f>HYPERLINK("https://klasma.github.io/Logging_2282/tillsynsmail/A 50290-2023 tillsynsbegäran mail.docx", "A 50290-2023")</f>
        <v/>
      </c>
    </row>
    <row r="10774" ht="15" customHeight="1">
      <c r="A10774" t="inlineStr">
        <is>
          <t>A 50507-2023</t>
        </is>
      </c>
      <c r="B10774" s="1" t="n">
        <v>45217</v>
      </c>
      <c r="C10774" s="1" t="n">
        <v>45657</v>
      </c>
      <c r="D10774" t="inlineStr">
        <is>
          <t>VÄSTERNORRLANDS LÄN</t>
        </is>
      </c>
      <c r="E10774" t="inlineStr">
        <is>
          <t>SOLLEFTEÅ</t>
        </is>
      </c>
      <c r="F10774" t="inlineStr">
        <is>
          <t>SCA</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50274-2023</t>
        </is>
      </c>
      <c r="B10775" s="1" t="n">
        <v>45216</v>
      </c>
      <c r="C10775" s="1" t="n">
        <v>45657</v>
      </c>
      <c r="D10775" t="inlineStr">
        <is>
          <t>VÄSTERNORRLANDS LÄN</t>
        </is>
      </c>
      <c r="E10775" t="inlineStr">
        <is>
          <t>SUNDSVALL</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50265-2023</t>
        </is>
      </c>
      <c r="B10776" s="1" t="n">
        <v>45216</v>
      </c>
      <c r="C10776" s="1" t="n">
        <v>45657</v>
      </c>
      <c r="D10776" t="inlineStr">
        <is>
          <t>VÄSTERNORRLANDS LÄN</t>
        </is>
      </c>
      <c r="E10776" t="inlineStr">
        <is>
          <t>ÖRNSKÖLDSVIK</t>
        </is>
      </c>
      <c r="F10776" t="inlineStr">
        <is>
          <t>Holmen skog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50496-2023</t>
        </is>
      </c>
      <c r="B10777" s="1" t="n">
        <v>45216</v>
      </c>
      <c r="C10777" s="1" t="n">
        <v>45657</v>
      </c>
      <c r="D10777" t="inlineStr">
        <is>
          <t>VÄSTERNORRLANDS LÄN</t>
        </is>
      </c>
      <c r="E10777" t="inlineStr">
        <is>
          <t>KRAMFORS</t>
        </is>
      </c>
      <c r="F10777" t="inlineStr">
        <is>
          <t>SCA</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50508-2023</t>
        </is>
      </c>
      <c r="B10778" s="1" t="n">
        <v>45217</v>
      </c>
      <c r="C10778" s="1" t="n">
        <v>45657</v>
      </c>
      <c r="D10778" t="inlineStr">
        <is>
          <t>VÄSTERNORRLANDS LÄN</t>
        </is>
      </c>
      <c r="E10778" t="inlineStr">
        <is>
          <t>ÅNGE</t>
        </is>
      </c>
      <c r="F10778" t="inlineStr">
        <is>
          <t>SCA</t>
        </is>
      </c>
      <c r="G10778" t="n">
        <v>6.9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50262-2023</t>
        </is>
      </c>
      <c r="B10779" s="1" t="n">
        <v>45216</v>
      </c>
      <c r="C10779" s="1" t="n">
        <v>45657</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50342-2023</t>
        </is>
      </c>
      <c r="B10780" s="1" t="n">
        <v>45216</v>
      </c>
      <c r="C10780" s="1" t="n">
        <v>45657</v>
      </c>
      <c r="D10780" t="inlineStr">
        <is>
          <t>VÄSTERNORRLANDS LÄN</t>
        </is>
      </c>
      <c r="E10780" t="inlineStr">
        <is>
          <t>ÖRNSKÖLDSVIK</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50411-2023</t>
        </is>
      </c>
      <c r="B10781" s="1" t="n">
        <v>45216</v>
      </c>
      <c r="C10781" s="1" t="n">
        <v>45657</v>
      </c>
      <c r="D10781" t="inlineStr">
        <is>
          <t>VÄSTERNORRLANDS LÄN</t>
        </is>
      </c>
      <c r="E10781" t="inlineStr">
        <is>
          <t>ÖRNSKÖLDSVIK</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50367-2023</t>
        </is>
      </c>
      <c r="B10782" s="1" t="n">
        <v>45216</v>
      </c>
      <c r="C10782" s="1" t="n">
        <v>45657</v>
      </c>
      <c r="D10782" t="inlineStr">
        <is>
          <t>VÄSTERNORRLANDS LÄN</t>
        </is>
      </c>
      <c r="E10782" t="inlineStr">
        <is>
          <t>ÖRNSKÖLDSVIK</t>
        </is>
      </c>
      <c r="F10782" t="inlineStr">
        <is>
          <t>Holmen skog AB</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50344-2023</t>
        </is>
      </c>
      <c r="B10783" s="1" t="n">
        <v>45216</v>
      </c>
      <c r="C10783" s="1" t="n">
        <v>45657</v>
      </c>
      <c r="D10783" t="inlineStr">
        <is>
          <t>VÄSTERNORRLANDS LÄN</t>
        </is>
      </c>
      <c r="E10783" t="inlineStr">
        <is>
          <t>KRAMFORS</t>
        </is>
      </c>
      <c r="G10783" t="n">
        <v>21.2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51972-2023</t>
        </is>
      </c>
      <c r="B10784" s="1" t="n">
        <v>45216</v>
      </c>
      <c r="C10784" s="1" t="n">
        <v>45657</v>
      </c>
      <c r="D10784" t="inlineStr">
        <is>
          <t>VÄSTERNORRLANDS LÄN</t>
        </is>
      </c>
      <c r="E10784" t="inlineStr">
        <is>
          <t>ÖRNSKÖLDSVIK</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51976-2023</t>
        </is>
      </c>
      <c r="B10785" s="1" t="n">
        <v>45216</v>
      </c>
      <c r="C10785" s="1" t="n">
        <v>45657</v>
      </c>
      <c r="D10785" t="inlineStr">
        <is>
          <t>VÄSTERNORRLANDS LÄN</t>
        </is>
      </c>
      <c r="E10785" t="inlineStr">
        <is>
          <t>ÖRNSKÖLDSVIK</t>
        </is>
      </c>
      <c r="G10785" t="n">
        <v>28.1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50376-2023</t>
        </is>
      </c>
      <c r="B10786" s="1" t="n">
        <v>45216</v>
      </c>
      <c r="C10786" s="1" t="n">
        <v>45657</v>
      </c>
      <c r="D10786" t="inlineStr">
        <is>
          <t>VÄSTERNORRLANDS LÄN</t>
        </is>
      </c>
      <c r="E10786" t="inlineStr">
        <is>
          <t>KRAMFORS</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50586-2023</t>
        </is>
      </c>
      <c r="B10787" s="1" t="n">
        <v>45217</v>
      </c>
      <c r="C10787" s="1" t="n">
        <v>45657</v>
      </c>
      <c r="D10787" t="inlineStr">
        <is>
          <t>VÄSTERNORRLANDS LÄN</t>
        </is>
      </c>
      <c r="E10787" t="inlineStr">
        <is>
          <t>ÖRNSKÖLDSVIK</t>
        </is>
      </c>
      <c r="F10787" t="inlineStr">
        <is>
          <t>Holmen skog AB</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50649-2023</t>
        </is>
      </c>
      <c r="B10788" s="1" t="n">
        <v>45217</v>
      </c>
      <c r="C10788" s="1" t="n">
        <v>45657</v>
      </c>
      <c r="D10788" t="inlineStr">
        <is>
          <t>VÄSTERNORRLANDS LÄN</t>
        </is>
      </c>
      <c r="E10788" t="inlineStr">
        <is>
          <t>KRAMFORS</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50767-2023</t>
        </is>
      </c>
      <c r="B10789" s="1" t="n">
        <v>45217</v>
      </c>
      <c r="C10789" s="1" t="n">
        <v>45657</v>
      </c>
      <c r="D10789" t="inlineStr">
        <is>
          <t>VÄSTERNORRLANDS LÄN</t>
        </is>
      </c>
      <c r="E10789" t="inlineStr">
        <is>
          <t>SOLLEFTEÅ</t>
        </is>
      </c>
      <c r="F10789" t="inlineStr">
        <is>
          <t>Holmen skog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50730-2023</t>
        </is>
      </c>
      <c r="B10790" s="1" t="n">
        <v>45217</v>
      </c>
      <c r="C10790" s="1" t="n">
        <v>45657</v>
      </c>
      <c r="D10790" t="inlineStr">
        <is>
          <t>VÄSTERNORRLANDS LÄN</t>
        </is>
      </c>
      <c r="E10790" t="inlineStr">
        <is>
          <t>ÖRNSKÖLDSVIK</t>
        </is>
      </c>
      <c r="F10790" t="inlineStr">
        <is>
          <t>Holmen skog AB</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50829-2023</t>
        </is>
      </c>
      <c r="B10791" s="1" t="n">
        <v>45217</v>
      </c>
      <c r="C10791" s="1" t="n">
        <v>45657</v>
      </c>
      <c r="D10791" t="inlineStr">
        <is>
          <t>VÄSTERNORRLANDS LÄN</t>
        </is>
      </c>
      <c r="E10791" t="inlineStr">
        <is>
          <t>SUNDSVALL</t>
        </is>
      </c>
      <c r="F10791" t="inlineStr">
        <is>
          <t>SCA</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50841-2023</t>
        </is>
      </c>
      <c r="B10792" s="1" t="n">
        <v>45217</v>
      </c>
      <c r="C10792" s="1" t="n">
        <v>45657</v>
      </c>
      <c r="D10792" t="inlineStr">
        <is>
          <t>VÄSTERNORRLANDS LÄN</t>
        </is>
      </c>
      <c r="E10792" t="inlineStr">
        <is>
          <t>SOLLEFTEÅ</t>
        </is>
      </c>
      <c r="F10792" t="inlineStr">
        <is>
          <t>SCA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50663-2023</t>
        </is>
      </c>
      <c r="B10793" s="1" t="n">
        <v>45217</v>
      </c>
      <c r="C10793" s="1" t="n">
        <v>45657</v>
      </c>
      <c r="D10793" t="inlineStr">
        <is>
          <t>VÄSTERNORRLANDS LÄN</t>
        </is>
      </c>
      <c r="E10793" t="inlineStr">
        <is>
          <t>KRAMFORS</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50677-2023</t>
        </is>
      </c>
      <c r="B10794" s="1" t="n">
        <v>45217</v>
      </c>
      <c r="C10794" s="1" t="n">
        <v>45657</v>
      </c>
      <c r="D10794" t="inlineStr">
        <is>
          <t>VÄSTERNORRLANDS LÄN</t>
        </is>
      </c>
      <c r="E10794" t="inlineStr">
        <is>
          <t>SUNDSVALL</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50615-2023</t>
        </is>
      </c>
      <c r="B10795" s="1" t="n">
        <v>45217</v>
      </c>
      <c r="C10795" s="1" t="n">
        <v>45657</v>
      </c>
      <c r="D10795" t="inlineStr">
        <is>
          <t>VÄSTERNORRLANDS LÄN</t>
        </is>
      </c>
      <c r="E10795" t="inlineStr">
        <is>
          <t>SOLLEFTEÅ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50724-2023</t>
        </is>
      </c>
      <c r="B10796" s="1" t="n">
        <v>45217</v>
      </c>
      <c r="C10796" s="1" t="n">
        <v>45657</v>
      </c>
      <c r="D10796" t="inlineStr">
        <is>
          <t>VÄSTERNORRLANDS LÄN</t>
        </is>
      </c>
      <c r="E10796" t="inlineStr">
        <is>
          <t>KRAMFORS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50746-2023</t>
        </is>
      </c>
      <c r="B10797" s="1" t="n">
        <v>45217</v>
      </c>
      <c r="C10797" s="1" t="n">
        <v>45657</v>
      </c>
      <c r="D10797" t="inlineStr">
        <is>
          <t>VÄSTERNORRLANDS LÄN</t>
        </is>
      </c>
      <c r="E10797" t="inlineStr">
        <is>
          <t>ÖRNSKÖLDSVIK</t>
        </is>
      </c>
      <c r="F10797" t="inlineStr">
        <is>
          <t>Holmen skog AB</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50757-2023</t>
        </is>
      </c>
      <c r="B10798" s="1" t="n">
        <v>45217</v>
      </c>
      <c r="C10798" s="1" t="n">
        <v>45657</v>
      </c>
      <c r="D10798" t="inlineStr">
        <is>
          <t>VÄSTERNORRLANDS LÄN</t>
        </is>
      </c>
      <c r="E10798" t="inlineStr">
        <is>
          <t>SOLLEFTEÅ</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50762-2023</t>
        </is>
      </c>
      <c r="B10799" s="1" t="n">
        <v>45217</v>
      </c>
      <c r="C10799" s="1" t="n">
        <v>45657</v>
      </c>
      <c r="D10799" t="inlineStr">
        <is>
          <t>VÄSTERNORRLANDS LÄN</t>
        </is>
      </c>
      <c r="E10799" t="inlineStr">
        <is>
          <t>ÖRNSKÖLDSVIK</t>
        </is>
      </c>
      <c r="F10799" t="inlineStr">
        <is>
          <t>Holmen skog AB</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50835-2023</t>
        </is>
      </c>
      <c r="B10800" s="1" t="n">
        <v>45217</v>
      </c>
      <c r="C10800" s="1" t="n">
        <v>45657</v>
      </c>
      <c r="D10800" t="inlineStr">
        <is>
          <t>VÄSTERNORRLANDS LÄN</t>
        </is>
      </c>
      <c r="E10800" t="inlineStr">
        <is>
          <t>SUNDSVALL</t>
        </is>
      </c>
      <c r="F10800" t="inlineStr">
        <is>
          <t>SCA</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50834-2023</t>
        </is>
      </c>
      <c r="B10801" s="1" t="n">
        <v>45218</v>
      </c>
      <c r="C10801" s="1" t="n">
        <v>45657</v>
      </c>
      <c r="D10801" t="inlineStr">
        <is>
          <t>VÄSTERNORRLANDS LÄN</t>
        </is>
      </c>
      <c r="E10801" t="inlineStr">
        <is>
          <t>SUNDSVALL</t>
        </is>
      </c>
      <c r="F10801" t="inlineStr">
        <is>
          <t>SCA</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50842-2023</t>
        </is>
      </c>
      <c r="B10802" s="1" t="n">
        <v>45217</v>
      </c>
      <c r="C10802" s="1" t="n">
        <v>45657</v>
      </c>
      <c r="D10802" t="inlineStr">
        <is>
          <t>VÄSTERNORRLANDS LÄN</t>
        </is>
      </c>
      <c r="E10802" t="inlineStr">
        <is>
          <t>SUNDSVALL</t>
        </is>
      </c>
      <c r="F10802" t="inlineStr">
        <is>
          <t>SCA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50846-2023</t>
        </is>
      </c>
      <c r="B10803" s="1" t="n">
        <v>45217</v>
      </c>
      <c r="C10803" s="1" t="n">
        <v>45657</v>
      </c>
      <c r="D10803" t="inlineStr">
        <is>
          <t>VÄSTERNORRLANDS LÄN</t>
        </is>
      </c>
      <c r="E10803" t="inlineStr">
        <is>
          <t>HÄRNÖSAND</t>
        </is>
      </c>
      <c r="F10803" t="inlineStr">
        <is>
          <t>SCA</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50844-2023</t>
        </is>
      </c>
      <c r="B10804" s="1" t="n">
        <v>45217</v>
      </c>
      <c r="C10804" s="1" t="n">
        <v>45657</v>
      </c>
      <c r="D10804" t="inlineStr">
        <is>
          <t>VÄSTERNORRLANDS LÄN</t>
        </is>
      </c>
      <c r="E10804" t="inlineStr">
        <is>
          <t>SOLLEFTEÅ</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52237-2023</t>
        </is>
      </c>
      <c r="B10805" s="1" t="n">
        <v>45217</v>
      </c>
      <c r="C10805" s="1" t="n">
        <v>45657</v>
      </c>
      <c r="D10805" t="inlineStr">
        <is>
          <t>VÄSTERNORRLANDS LÄN</t>
        </is>
      </c>
      <c r="E10805" t="inlineStr">
        <is>
          <t>SUNDSVALL</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52231-2023</t>
        </is>
      </c>
      <c r="B10806" s="1" t="n">
        <v>45217</v>
      </c>
      <c r="C10806" s="1" t="n">
        <v>45657</v>
      </c>
      <c r="D10806" t="inlineStr">
        <is>
          <t>VÄSTERNORRLANDS LÄN</t>
        </is>
      </c>
      <c r="E10806" t="inlineStr">
        <is>
          <t>SUNDSVALL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52266-2023</t>
        </is>
      </c>
      <c r="B10807" s="1" t="n">
        <v>45217</v>
      </c>
      <c r="C10807" s="1" t="n">
        <v>45657</v>
      </c>
      <c r="D10807" t="inlineStr">
        <is>
          <t>VÄSTERNORRLANDS LÄN</t>
        </is>
      </c>
      <c r="E10807" t="inlineStr">
        <is>
          <t>SOLLEFTEÅ</t>
        </is>
      </c>
      <c r="F10807" t="inlineStr">
        <is>
          <t>SCA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52267-2023</t>
        </is>
      </c>
      <c r="B10808" s="1" t="n">
        <v>45217</v>
      </c>
      <c r="C10808" s="1" t="n">
        <v>45657</v>
      </c>
      <c r="D10808" t="inlineStr">
        <is>
          <t>VÄSTERNORRLANDS LÄN</t>
        </is>
      </c>
      <c r="E10808" t="inlineStr">
        <is>
          <t>SOLLEFTEÅ</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50845-2023</t>
        </is>
      </c>
      <c r="B10809" s="1" t="n">
        <v>45217</v>
      </c>
      <c r="C10809" s="1" t="n">
        <v>45657</v>
      </c>
      <c r="D10809" t="inlineStr">
        <is>
          <t>VÄSTERNORRLANDS LÄN</t>
        </is>
      </c>
      <c r="E10809" t="inlineStr">
        <is>
          <t>HÄRNÖSAND</t>
        </is>
      </c>
      <c r="F10809" t="inlineStr">
        <is>
          <t>SCA</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50878-2023</t>
        </is>
      </c>
      <c r="B10810" s="1" t="n">
        <v>45218</v>
      </c>
      <c r="C10810" s="1" t="n">
        <v>45657</v>
      </c>
      <c r="D10810" t="inlineStr">
        <is>
          <t>VÄSTERNORRLANDS LÄN</t>
        </is>
      </c>
      <c r="E10810" t="inlineStr">
        <is>
          <t>ÖRNSKÖLDSVIK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50888-2023</t>
        </is>
      </c>
      <c r="B10811" s="1" t="n">
        <v>45218</v>
      </c>
      <c r="C10811" s="1" t="n">
        <v>45657</v>
      </c>
      <c r="D10811" t="inlineStr">
        <is>
          <t>VÄSTERNORRLANDS LÄN</t>
        </is>
      </c>
      <c r="E10811" t="inlineStr">
        <is>
          <t>ÖRNSKÖLDSVIK</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50928-2023</t>
        </is>
      </c>
      <c r="B10812" s="1" t="n">
        <v>45218</v>
      </c>
      <c r="C10812" s="1" t="n">
        <v>45657</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51045-2023</t>
        </is>
      </c>
      <c r="B10813" s="1" t="n">
        <v>45218</v>
      </c>
      <c r="C10813" s="1" t="n">
        <v>45657</v>
      </c>
      <c r="D10813" t="inlineStr">
        <is>
          <t>VÄSTERNORRLANDS LÄN</t>
        </is>
      </c>
      <c r="E10813" t="inlineStr">
        <is>
          <t>ÖRNSKÖLDSVIK</t>
        </is>
      </c>
      <c r="F10813" t="inlineStr">
        <is>
          <t>Holmen skog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51054-2023</t>
        </is>
      </c>
      <c r="B10814" s="1" t="n">
        <v>45218</v>
      </c>
      <c r="C10814" s="1" t="n">
        <v>45657</v>
      </c>
      <c r="D10814" t="inlineStr">
        <is>
          <t>VÄSTERNORRLANDS LÄN</t>
        </is>
      </c>
      <c r="E10814" t="inlineStr">
        <is>
          <t>ÖRNSKÖLDSVIK</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51070-2023</t>
        </is>
      </c>
      <c r="B10815" s="1" t="n">
        <v>45218</v>
      </c>
      <c r="C10815" s="1" t="n">
        <v>45657</v>
      </c>
      <c r="D10815" t="inlineStr">
        <is>
          <t>VÄSTERNORRLANDS LÄN</t>
        </is>
      </c>
      <c r="E10815" t="inlineStr">
        <is>
          <t>ÖRNSKÖLDSVIK</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51103-2023</t>
        </is>
      </c>
      <c r="B10816" s="1" t="n">
        <v>45219</v>
      </c>
      <c r="C10816" s="1" t="n">
        <v>45657</v>
      </c>
      <c r="D10816" t="inlineStr">
        <is>
          <t>VÄSTERNORRLANDS LÄN</t>
        </is>
      </c>
      <c r="E10816" t="inlineStr">
        <is>
          <t>SUNDSVALL</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51107-2023</t>
        </is>
      </c>
      <c r="B10817" s="1" t="n">
        <v>45219</v>
      </c>
      <c r="C10817" s="1" t="n">
        <v>45657</v>
      </c>
      <c r="D10817" t="inlineStr">
        <is>
          <t>VÄSTERNORRLANDS LÄN</t>
        </is>
      </c>
      <c r="E10817" t="inlineStr">
        <is>
          <t>SOLLEFTEÅ</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51111-2023</t>
        </is>
      </c>
      <c r="B10818" s="1" t="n">
        <v>45219</v>
      </c>
      <c r="C10818" s="1" t="n">
        <v>45657</v>
      </c>
      <c r="D10818" t="inlineStr">
        <is>
          <t>VÄSTERNORRLANDS LÄN</t>
        </is>
      </c>
      <c r="E10818" t="inlineStr">
        <is>
          <t>SUNDSVALL</t>
        </is>
      </c>
      <c r="F10818" t="inlineStr">
        <is>
          <t>SCA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51011-2023</t>
        </is>
      </c>
      <c r="B10819" s="1" t="n">
        <v>45218</v>
      </c>
      <c r="C10819" s="1" t="n">
        <v>45657</v>
      </c>
      <c r="D10819" t="inlineStr">
        <is>
          <t>VÄSTERNORRLANDS LÄN</t>
        </is>
      </c>
      <c r="E10819" t="inlineStr">
        <is>
          <t>ÅNGE</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51040-2023</t>
        </is>
      </c>
      <c r="B10820" s="1" t="n">
        <v>45218</v>
      </c>
      <c r="C10820" s="1" t="n">
        <v>45657</v>
      </c>
      <c r="D10820" t="inlineStr">
        <is>
          <t>VÄSTERNORRLANDS LÄN</t>
        </is>
      </c>
      <c r="E10820" t="inlineStr">
        <is>
          <t>ÖRNSKÖLDSVIK</t>
        </is>
      </c>
      <c r="F10820" t="inlineStr">
        <is>
          <t>Holmen skog AB</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51057-2023</t>
        </is>
      </c>
      <c r="B10821" s="1" t="n">
        <v>45218</v>
      </c>
      <c r="C10821" s="1" t="n">
        <v>45657</v>
      </c>
      <c r="D10821" t="inlineStr">
        <is>
          <t>VÄSTERNORRLANDS LÄN</t>
        </is>
      </c>
      <c r="E10821" t="inlineStr">
        <is>
          <t>ÖRNSKÖLDSVIK</t>
        </is>
      </c>
      <c r="F10821" t="inlineStr">
        <is>
          <t>Holmen skog AB</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51013-2023</t>
        </is>
      </c>
      <c r="B10822" s="1" t="n">
        <v>45218</v>
      </c>
      <c r="C10822" s="1" t="n">
        <v>45657</v>
      </c>
      <c r="D10822" t="inlineStr">
        <is>
          <t>VÄSTERNORRLANDS LÄN</t>
        </is>
      </c>
      <c r="E10822" t="inlineStr">
        <is>
          <t>ÖRNSKÖLDSVIK</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51055-2023</t>
        </is>
      </c>
      <c r="B10823" s="1" t="n">
        <v>45218</v>
      </c>
      <c r="C10823" s="1" t="n">
        <v>45657</v>
      </c>
      <c r="D10823" t="inlineStr">
        <is>
          <t>VÄSTERNORRLANDS LÄN</t>
        </is>
      </c>
      <c r="E10823" t="inlineStr">
        <is>
          <t>ÅNGE</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51104-2023</t>
        </is>
      </c>
      <c r="B10824" s="1" t="n">
        <v>45218</v>
      </c>
      <c r="C10824" s="1" t="n">
        <v>45657</v>
      </c>
      <c r="D10824" t="inlineStr">
        <is>
          <t>VÄSTERNORRLANDS LÄN</t>
        </is>
      </c>
      <c r="E10824" t="inlineStr">
        <is>
          <t>SUNDSVALL</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51108-2023</t>
        </is>
      </c>
      <c r="B10825" s="1" t="n">
        <v>45219</v>
      </c>
      <c r="C10825" s="1" t="n">
        <v>45657</v>
      </c>
      <c r="D10825" t="inlineStr">
        <is>
          <t>VÄSTERNORRLANDS LÄN</t>
        </is>
      </c>
      <c r="E10825" t="inlineStr">
        <is>
          <t>SUNDSVALL</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51026-2023</t>
        </is>
      </c>
      <c r="B10826" s="1" t="n">
        <v>45218</v>
      </c>
      <c r="C10826" s="1" t="n">
        <v>45657</v>
      </c>
      <c r="D10826" t="inlineStr">
        <is>
          <t>VÄSTERNORRLANDS LÄN</t>
        </is>
      </c>
      <c r="E10826" t="inlineStr">
        <is>
          <t>ÖRNSKÖLDSVIK</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52504-2023</t>
        </is>
      </c>
      <c r="B10827" s="1" t="n">
        <v>45218</v>
      </c>
      <c r="C10827" s="1" t="n">
        <v>45657</v>
      </c>
      <c r="D10827" t="inlineStr">
        <is>
          <t>VÄSTERNORRLANDS LÄN</t>
        </is>
      </c>
      <c r="E10827" t="inlineStr">
        <is>
          <t>ÖRNSKÖLDSVIK</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51106-2023</t>
        </is>
      </c>
      <c r="B10828" s="1" t="n">
        <v>45219</v>
      </c>
      <c r="C10828" s="1" t="n">
        <v>45657</v>
      </c>
      <c r="D10828" t="inlineStr">
        <is>
          <t>VÄSTERNORRLANDS LÄN</t>
        </is>
      </c>
      <c r="E10828" t="inlineStr">
        <is>
          <t>SOLLEFTEÅ</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51110-2023</t>
        </is>
      </c>
      <c r="B10829" s="1" t="n">
        <v>45219</v>
      </c>
      <c r="C10829" s="1" t="n">
        <v>45657</v>
      </c>
      <c r="D10829" t="inlineStr">
        <is>
          <t>VÄSTERNORRLANDS LÄN</t>
        </is>
      </c>
      <c r="E10829" t="inlineStr">
        <is>
          <t>SUNDSVALL</t>
        </is>
      </c>
      <c r="F10829" t="inlineStr">
        <is>
          <t>SCA</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52498-2023</t>
        </is>
      </c>
      <c r="B10830" s="1" t="n">
        <v>45218</v>
      </c>
      <c r="C10830" s="1" t="n">
        <v>45657</v>
      </c>
      <c r="D10830" t="inlineStr">
        <is>
          <t>VÄSTERNORRLANDS LÄN</t>
        </is>
      </c>
      <c r="E10830" t="inlineStr">
        <is>
          <t>ÖRNSKÖLDSVIK</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51112-2023</t>
        </is>
      </c>
      <c r="B10831" s="1" t="n">
        <v>45218</v>
      </c>
      <c r="C10831" s="1" t="n">
        <v>45657</v>
      </c>
      <c r="D10831" t="inlineStr">
        <is>
          <t>VÄSTERNORRLANDS LÄN</t>
        </is>
      </c>
      <c r="E10831" t="inlineStr">
        <is>
          <t>SUNDSVALL</t>
        </is>
      </c>
      <c r="F10831" t="inlineStr">
        <is>
          <t>SCA</t>
        </is>
      </c>
      <c r="G10831" t="n">
        <v>11.6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51105-2023</t>
        </is>
      </c>
      <c r="B10832" s="1" t="n">
        <v>45219</v>
      </c>
      <c r="C10832" s="1" t="n">
        <v>45657</v>
      </c>
      <c r="D10832" t="inlineStr">
        <is>
          <t>VÄSTERNORRLANDS LÄN</t>
        </is>
      </c>
      <c r="E10832" t="inlineStr">
        <is>
          <t>ÖRNSKÖLDSVIK</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51109-2023</t>
        </is>
      </c>
      <c r="B10833" s="1" t="n">
        <v>45219</v>
      </c>
      <c r="C10833" s="1" t="n">
        <v>45657</v>
      </c>
      <c r="D10833" t="inlineStr">
        <is>
          <t>VÄSTERNORRLANDS LÄN</t>
        </is>
      </c>
      <c r="E10833" t="inlineStr">
        <is>
          <t>SUNDSVALL</t>
        </is>
      </c>
      <c r="F10833" t="inlineStr">
        <is>
          <t>SCA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51113-2023</t>
        </is>
      </c>
      <c r="B10834" s="1" t="n">
        <v>45218</v>
      </c>
      <c r="C10834" s="1" t="n">
        <v>45657</v>
      </c>
      <c r="D10834" t="inlineStr">
        <is>
          <t>VÄSTERNORRLANDS LÄN</t>
        </is>
      </c>
      <c r="E10834" t="inlineStr">
        <is>
          <t>TIMRÅ</t>
        </is>
      </c>
      <c r="F10834" t="inlineStr">
        <is>
          <t>SCA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51411-2023</t>
        </is>
      </c>
      <c r="B10835" s="1" t="n">
        <v>45219</v>
      </c>
      <c r="C10835" s="1" t="n">
        <v>45657</v>
      </c>
      <c r="D10835" t="inlineStr">
        <is>
          <t>VÄSTERNORRLANDS LÄN</t>
        </is>
      </c>
      <c r="E10835" t="inlineStr">
        <is>
          <t>ÅNGE</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52679-2023</t>
        </is>
      </c>
      <c r="B10836" s="1" t="n">
        <v>45219</v>
      </c>
      <c r="C10836" s="1" t="n">
        <v>45657</v>
      </c>
      <c r="D10836" t="inlineStr">
        <is>
          <t>VÄSTERNORRLANDS LÄN</t>
        </is>
      </c>
      <c r="E10836" t="inlineStr">
        <is>
          <t>ÖRNSKÖLDSVIK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51442-2023</t>
        </is>
      </c>
      <c r="B10837" s="1" t="n">
        <v>45220</v>
      </c>
      <c r="C10837" s="1" t="n">
        <v>45657</v>
      </c>
      <c r="D10837" t="inlineStr">
        <is>
          <t>VÄSTERNORRLANDS LÄN</t>
        </is>
      </c>
      <c r="E10837" t="inlineStr">
        <is>
          <t>HÄRNÖSAND</t>
        </is>
      </c>
      <c r="F10837" t="inlineStr">
        <is>
          <t>SCA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51430-2023</t>
        </is>
      </c>
      <c r="B10838" s="1" t="n">
        <v>45219</v>
      </c>
      <c r="C10838" s="1" t="n">
        <v>45657</v>
      </c>
      <c r="D10838" t="inlineStr">
        <is>
          <t>VÄSTERNORRLANDS LÄN</t>
        </is>
      </c>
      <c r="E10838" t="inlineStr">
        <is>
          <t>KRAMFORS</t>
        </is>
      </c>
      <c r="F10838" t="inlineStr">
        <is>
          <t>SCA</t>
        </is>
      </c>
      <c r="G10838" t="n">
        <v>30.7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51329-2023</t>
        </is>
      </c>
      <c r="B10839" s="1" t="n">
        <v>45219</v>
      </c>
      <c r="C10839" s="1" t="n">
        <v>45657</v>
      </c>
      <c r="D10839" t="inlineStr">
        <is>
          <t>VÄSTERNORRLANDS LÄN</t>
        </is>
      </c>
      <c r="E10839" t="inlineStr">
        <is>
          <t>ÖRNSKÖLDSVIK</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51390-2023</t>
        </is>
      </c>
      <c r="B10840" s="1" t="n">
        <v>45219</v>
      </c>
      <c r="C10840" s="1" t="n">
        <v>45657</v>
      </c>
      <c r="D10840" t="inlineStr">
        <is>
          <t>VÄSTERNORRLANDS LÄN</t>
        </is>
      </c>
      <c r="E10840" t="inlineStr">
        <is>
          <t>KRAMFORS</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51436-2023</t>
        </is>
      </c>
      <c r="B10841" s="1" t="n">
        <v>45219</v>
      </c>
      <c r="C10841" s="1" t="n">
        <v>45657</v>
      </c>
      <c r="D10841" t="inlineStr">
        <is>
          <t>VÄSTERNORRLANDS LÄN</t>
        </is>
      </c>
      <c r="E10841" t="inlineStr">
        <is>
          <t>KRAMFORS</t>
        </is>
      </c>
      <c r="F10841" t="inlineStr">
        <is>
          <t>SCA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51443-2023</t>
        </is>
      </c>
      <c r="B10842" s="1" t="n">
        <v>45219</v>
      </c>
      <c r="C10842" s="1" t="n">
        <v>45657</v>
      </c>
      <c r="D10842" t="inlineStr">
        <is>
          <t>VÄSTERNORRLANDS LÄN</t>
        </is>
      </c>
      <c r="E10842" t="inlineStr">
        <is>
          <t>HÄRNÖSAND</t>
        </is>
      </c>
      <c r="F10842" t="inlineStr">
        <is>
          <t>SCA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51270-2023</t>
        </is>
      </c>
      <c r="B10843" s="1" t="n">
        <v>45219</v>
      </c>
      <c r="C10843" s="1" t="n">
        <v>45657</v>
      </c>
      <c r="D10843" t="inlineStr">
        <is>
          <t>VÄSTERNORRLANDS LÄN</t>
        </is>
      </c>
      <c r="E10843" t="inlineStr">
        <is>
          <t>ÅNGE</t>
        </is>
      </c>
      <c r="F10843" t="inlineStr">
        <is>
          <t>Kyrkan</t>
        </is>
      </c>
      <c r="G10843" t="n">
        <v>16.2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51272-2023</t>
        </is>
      </c>
      <c r="B10844" s="1" t="n">
        <v>45219</v>
      </c>
      <c r="C10844" s="1" t="n">
        <v>45657</v>
      </c>
      <c r="D10844" t="inlineStr">
        <is>
          <t>VÄSTERNORRLANDS LÄN</t>
        </is>
      </c>
      <c r="E10844" t="inlineStr">
        <is>
          <t>ÖRNSKÖLDSVIK</t>
        </is>
      </c>
      <c r="F10844" t="inlineStr">
        <is>
          <t>Holmen skog AB</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51453-2023</t>
        </is>
      </c>
      <c r="B10845" s="1" t="n">
        <v>45220</v>
      </c>
      <c r="C10845" s="1" t="n">
        <v>45657</v>
      </c>
      <c r="D10845" t="inlineStr">
        <is>
          <t>VÄSTERNORRLANDS LÄN</t>
        </is>
      </c>
      <c r="E10845" t="inlineStr">
        <is>
          <t>ÅNGE</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51477-2023</t>
        </is>
      </c>
      <c r="B10846" s="1" t="n">
        <v>45221</v>
      </c>
      <c r="C10846" s="1" t="n">
        <v>45657</v>
      </c>
      <c r="D10846" t="inlineStr">
        <is>
          <t>VÄSTERNORRLANDS LÄN</t>
        </is>
      </c>
      <c r="E10846" t="inlineStr">
        <is>
          <t>ÖRNSKÖLDSVIK</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51495-2023</t>
        </is>
      </c>
      <c r="B10847" s="1" t="n">
        <v>45222</v>
      </c>
      <c r="C10847" s="1" t="n">
        <v>45657</v>
      </c>
      <c r="D10847" t="inlineStr">
        <is>
          <t>VÄSTERNORRLANDS LÄN</t>
        </is>
      </c>
      <c r="E10847" t="inlineStr">
        <is>
          <t>ÖRNSKÖLDSVIK</t>
        </is>
      </c>
      <c r="F10847" t="inlineStr">
        <is>
          <t>Holmen skog AB</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51508-2023</t>
        </is>
      </c>
      <c r="B10848" s="1" t="n">
        <v>45222</v>
      </c>
      <c r="C10848" s="1" t="n">
        <v>45657</v>
      </c>
      <c r="D10848" t="inlineStr">
        <is>
          <t>VÄSTERNORRLANDS LÄN</t>
        </is>
      </c>
      <c r="E10848" t="inlineStr">
        <is>
          <t>ÖRNSKÖLDSVIK</t>
        </is>
      </c>
      <c r="F10848" t="inlineStr">
        <is>
          <t>Holmen skog AB</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51787-2023</t>
        </is>
      </c>
      <c r="B10849" s="1" t="n">
        <v>45222</v>
      </c>
      <c r="C10849" s="1" t="n">
        <v>45657</v>
      </c>
      <c r="D10849" t="inlineStr">
        <is>
          <t>VÄSTERNORRLANDS LÄN</t>
        </is>
      </c>
      <c r="E10849" t="inlineStr">
        <is>
          <t>ÖRNSKÖLDSVIK</t>
        </is>
      </c>
      <c r="F10849" t="inlineStr">
        <is>
          <t>Holmen skog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51791-2023</t>
        </is>
      </c>
      <c r="B10850" s="1" t="n">
        <v>45222</v>
      </c>
      <c r="C10850" s="1" t="n">
        <v>45657</v>
      </c>
      <c r="D10850" t="inlineStr">
        <is>
          <t>VÄSTERNORRLANDS LÄN</t>
        </is>
      </c>
      <c r="E10850" t="inlineStr">
        <is>
          <t>SUNDSVALL</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51561-2023</t>
        </is>
      </c>
      <c r="B10851" s="1" t="n">
        <v>45222</v>
      </c>
      <c r="C10851" s="1" t="n">
        <v>45657</v>
      </c>
      <c r="D10851" t="inlineStr">
        <is>
          <t>VÄSTERNORRLANDS LÄN</t>
        </is>
      </c>
      <c r="E10851" t="inlineStr">
        <is>
          <t>ÖRNSKÖLDSVIK</t>
        </is>
      </c>
      <c r="F10851" t="inlineStr">
        <is>
          <t>Holmen skog AB</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51792-2023</t>
        </is>
      </c>
      <c r="B10852" s="1" t="n">
        <v>45222</v>
      </c>
      <c r="C10852" s="1" t="n">
        <v>45657</v>
      </c>
      <c r="D10852" t="inlineStr">
        <is>
          <t>VÄSTERNORRLANDS LÄN</t>
        </is>
      </c>
      <c r="E10852" t="inlineStr">
        <is>
          <t>SUNDSVALL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51800-2023</t>
        </is>
      </c>
      <c r="B10853" s="1" t="n">
        <v>45222</v>
      </c>
      <c r="C10853" s="1" t="n">
        <v>45657</v>
      </c>
      <c r="D10853" t="inlineStr">
        <is>
          <t>VÄSTERNORRLANDS LÄN</t>
        </is>
      </c>
      <c r="E10853" t="inlineStr">
        <is>
          <t>SOLLEFTEÅ</t>
        </is>
      </c>
      <c r="F10853" t="inlineStr">
        <is>
          <t>SCA</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51575-2023</t>
        </is>
      </c>
      <c r="B10854" s="1" t="n">
        <v>45222</v>
      </c>
      <c r="C10854" s="1" t="n">
        <v>45657</v>
      </c>
      <c r="D10854" t="inlineStr">
        <is>
          <t>VÄSTERNORRLANDS LÄN</t>
        </is>
      </c>
      <c r="E10854" t="inlineStr">
        <is>
          <t>ÅNGE</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51737-2023</t>
        </is>
      </c>
      <c r="B10855" s="1" t="n">
        <v>45222</v>
      </c>
      <c r="C10855" s="1" t="n">
        <v>45657</v>
      </c>
      <c r="D10855" t="inlineStr">
        <is>
          <t>VÄSTERNORRLANDS LÄN</t>
        </is>
      </c>
      <c r="E10855" t="inlineStr">
        <is>
          <t>SUNDSVALL</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51789-2023</t>
        </is>
      </c>
      <c r="B10856" s="1" t="n">
        <v>45222</v>
      </c>
      <c r="C10856" s="1" t="n">
        <v>45657</v>
      </c>
      <c r="D10856" t="inlineStr">
        <is>
          <t>VÄSTERNORRLANDS LÄN</t>
        </is>
      </c>
      <c r="E10856" t="inlineStr">
        <is>
          <t>SUNDSVALL</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51801-2023</t>
        </is>
      </c>
      <c r="B10857" s="1" t="n">
        <v>45222</v>
      </c>
      <c r="C10857" s="1" t="n">
        <v>45657</v>
      </c>
      <c r="D10857" t="inlineStr">
        <is>
          <t>VÄSTERNORRLANDS LÄN</t>
        </is>
      </c>
      <c r="E10857" t="inlineStr">
        <is>
          <t>SOLLEFTEÅ</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51829-2023</t>
        </is>
      </c>
      <c r="B10858" s="1" t="n">
        <v>45222</v>
      </c>
      <c r="C10858" s="1" t="n">
        <v>45657</v>
      </c>
      <c r="D10858" t="inlineStr">
        <is>
          <t>VÄSTERNORRLANDS LÄN</t>
        </is>
      </c>
      <c r="E10858" t="inlineStr">
        <is>
          <t>SUNDSVALL</t>
        </is>
      </c>
      <c r="F10858" t="inlineStr">
        <is>
          <t>SCA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51824-2023</t>
        </is>
      </c>
      <c r="B10859" s="1" t="n">
        <v>45222</v>
      </c>
      <c r="C10859" s="1" t="n">
        <v>45657</v>
      </c>
      <c r="D10859" t="inlineStr">
        <is>
          <t>VÄSTERNORRLANDS LÄN</t>
        </is>
      </c>
      <c r="E10859" t="inlineStr">
        <is>
          <t>SUNDSVALL</t>
        </is>
      </c>
      <c r="F10859" t="inlineStr">
        <is>
          <t>SCA</t>
        </is>
      </c>
      <c r="G10859" t="n">
        <v>8.9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52873-2023</t>
        </is>
      </c>
      <c r="B10860" s="1" t="n">
        <v>45222</v>
      </c>
      <c r="C10860" s="1" t="n">
        <v>45657</v>
      </c>
      <c r="D10860" t="inlineStr">
        <is>
          <t>VÄSTERNORRLANDS LÄN</t>
        </is>
      </c>
      <c r="E10860" t="inlineStr">
        <is>
          <t>SUNDSVALL</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53174-2023</t>
        </is>
      </c>
      <c r="B10861" s="1" t="n">
        <v>45222</v>
      </c>
      <c r="C10861" s="1" t="n">
        <v>45657</v>
      </c>
      <c r="D10861" t="inlineStr">
        <is>
          <t>VÄSTERNORRLANDS LÄN</t>
        </is>
      </c>
      <c r="E10861" t="inlineStr">
        <is>
          <t>ÖRNSKÖLDSVIK</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53375-2023</t>
        </is>
      </c>
      <c r="B10862" s="1" t="n">
        <v>45222</v>
      </c>
      <c r="C10862" s="1" t="n">
        <v>45657</v>
      </c>
      <c r="D10862" t="inlineStr">
        <is>
          <t>VÄSTERNORRLANDS LÄN</t>
        </is>
      </c>
      <c r="E10862" t="inlineStr">
        <is>
          <t>SOLLEFTEÅ</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51823-2023</t>
        </is>
      </c>
      <c r="B10863" s="1" t="n">
        <v>45223</v>
      </c>
      <c r="C10863" s="1" t="n">
        <v>45657</v>
      </c>
      <c r="D10863" t="inlineStr">
        <is>
          <t>VÄSTERNORRLANDS LÄN</t>
        </is>
      </c>
      <c r="E10863" t="inlineStr">
        <is>
          <t>SUNDSVALL</t>
        </is>
      </c>
      <c r="F10863" t="inlineStr">
        <is>
          <t>SCA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52939-2023</t>
        </is>
      </c>
      <c r="B10864" s="1" t="n">
        <v>45222</v>
      </c>
      <c r="C10864" s="1" t="n">
        <v>45657</v>
      </c>
      <c r="D10864" t="inlineStr">
        <is>
          <t>VÄSTERNORRLANDS LÄN</t>
        </is>
      </c>
      <c r="E10864" t="inlineStr">
        <is>
          <t>SUNDSVALL</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53171-2023</t>
        </is>
      </c>
      <c r="B10865" s="1" t="n">
        <v>45222</v>
      </c>
      <c r="C10865" s="1" t="n">
        <v>45657</v>
      </c>
      <c r="D10865" t="inlineStr">
        <is>
          <t>VÄSTERNORRLANDS LÄN</t>
        </is>
      </c>
      <c r="E10865" t="inlineStr">
        <is>
          <t>ÖRNSKÖLDSVIK</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53224-2023</t>
        </is>
      </c>
      <c r="B10866" s="1" t="n">
        <v>45222</v>
      </c>
      <c r="C10866" s="1" t="n">
        <v>45657</v>
      </c>
      <c r="D10866" t="inlineStr">
        <is>
          <t>VÄSTERNORRLANDS LÄN</t>
        </is>
      </c>
      <c r="E10866" t="inlineStr">
        <is>
          <t>SOLLEFTEÅ</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53231-2023</t>
        </is>
      </c>
      <c r="B10867" s="1" t="n">
        <v>45222</v>
      </c>
      <c r="C10867" s="1" t="n">
        <v>45657</v>
      </c>
      <c r="D10867" t="inlineStr">
        <is>
          <t>VÄSTERNORRLANDS LÄN</t>
        </is>
      </c>
      <c r="E10867" t="inlineStr">
        <is>
          <t>SOLLEFTEÅ</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53246-2023</t>
        </is>
      </c>
      <c r="B10868" s="1" t="n">
        <v>45222</v>
      </c>
      <c r="C10868" s="1" t="n">
        <v>45657</v>
      </c>
      <c r="D10868" t="inlineStr">
        <is>
          <t>VÄSTERNORRLANDS LÄN</t>
        </is>
      </c>
      <c r="E10868" t="inlineStr">
        <is>
          <t>ÅNGE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53379-2023</t>
        </is>
      </c>
      <c r="B10869" s="1" t="n">
        <v>45222</v>
      </c>
      <c r="C10869" s="1" t="n">
        <v>45657</v>
      </c>
      <c r="D10869" t="inlineStr">
        <is>
          <t>VÄSTERNORRLANDS LÄN</t>
        </is>
      </c>
      <c r="E10869" t="inlineStr">
        <is>
          <t>SOLLEFTEÅ</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51518-2023</t>
        </is>
      </c>
      <c r="B10870" s="1" t="n">
        <v>45222</v>
      </c>
      <c r="C10870" s="1" t="n">
        <v>45657</v>
      </c>
      <c r="D10870" t="inlineStr">
        <is>
          <t>VÄSTERNORRLANDS LÄN</t>
        </is>
      </c>
      <c r="E10870" t="inlineStr">
        <is>
          <t>ÖRNSKÖLDSVIK</t>
        </is>
      </c>
      <c r="F10870" t="inlineStr">
        <is>
          <t>Holmen skog AB</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51711-2023</t>
        </is>
      </c>
      <c r="B10871" s="1" t="n">
        <v>45222</v>
      </c>
      <c r="C10871" s="1" t="n">
        <v>45657</v>
      </c>
      <c r="D10871" t="inlineStr">
        <is>
          <t>VÄSTERNORRLANDS LÄN</t>
        </is>
      </c>
      <c r="E10871" t="inlineStr">
        <is>
          <t>ÖRNSKÖLDSVIK</t>
        </is>
      </c>
      <c r="F10871" t="inlineStr">
        <is>
          <t>Holmen skog AB</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51754-2023</t>
        </is>
      </c>
      <c r="B10872" s="1" t="n">
        <v>45222</v>
      </c>
      <c r="C10872" s="1" t="n">
        <v>45657</v>
      </c>
      <c r="D10872" t="inlineStr">
        <is>
          <t>VÄSTERNORRLANDS LÄN</t>
        </is>
      </c>
      <c r="E10872" t="inlineStr">
        <is>
          <t>SUNDSVALL</t>
        </is>
      </c>
      <c r="F10872" t="inlineStr">
        <is>
          <t>Kommuner</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51790-2023</t>
        </is>
      </c>
      <c r="B10873" s="1" t="n">
        <v>45222</v>
      </c>
      <c r="C10873" s="1" t="n">
        <v>45657</v>
      </c>
      <c r="D10873" t="inlineStr">
        <is>
          <t>VÄSTERNORRLANDS LÄN</t>
        </is>
      </c>
      <c r="E10873" t="inlineStr">
        <is>
          <t>SUNDSVALL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51802-2023</t>
        </is>
      </c>
      <c r="B10874" s="1" t="n">
        <v>45223</v>
      </c>
      <c r="C10874" s="1" t="n">
        <v>45657</v>
      </c>
      <c r="D10874" t="inlineStr">
        <is>
          <t>VÄSTERNORRLANDS LÄN</t>
        </is>
      </c>
      <c r="E10874" t="inlineStr">
        <is>
          <t>SOLLEFTEÅ</t>
        </is>
      </c>
      <c r="F10874" t="inlineStr">
        <is>
          <t>SCA</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51810-2023</t>
        </is>
      </c>
      <c r="B10875" s="1" t="n">
        <v>45223</v>
      </c>
      <c r="C10875" s="1" t="n">
        <v>45657</v>
      </c>
      <c r="D10875" t="inlineStr">
        <is>
          <t>VÄSTERNORRLANDS LÄN</t>
        </is>
      </c>
      <c r="E10875" t="inlineStr">
        <is>
          <t>ÅNGE</t>
        </is>
      </c>
      <c r="F10875" t="inlineStr">
        <is>
          <t>SCA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51830-2023</t>
        </is>
      </c>
      <c r="B10876" s="1" t="n">
        <v>45222</v>
      </c>
      <c r="C10876" s="1" t="n">
        <v>45657</v>
      </c>
      <c r="D10876" t="inlineStr">
        <is>
          <t>VÄSTERNORRLANDS LÄN</t>
        </is>
      </c>
      <c r="E10876" t="inlineStr">
        <is>
          <t>SUNDSVALL</t>
        </is>
      </c>
      <c r="F10876" t="inlineStr">
        <is>
          <t>SCA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51834-2023</t>
        </is>
      </c>
      <c r="B10877" s="1" t="n">
        <v>45223</v>
      </c>
      <c r="C10877" s="1" t="n">
        <v>45657</v>
      </c>
      <c r="D10877" t="inlineStr">
        <is>
          <t>VÄSTERNORRLANDS LÄN</t>
        </is>
      </c>
      <c r="E10877" t="inlineStr">
        <is>
          <t>SUNDSVALL</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52933-2023</t>
        </is>
      </c>
      <c r="B10878" s="1" t="n">
        <v>45222</v>
      </c>
      <c r="C10878" s="1" t="n">
        <v>45657</v>
      </c>
      <c r="D10878" t="inlineStr">
        <is>
          <t>VÄSTERNORRLANDS LÄN</t>
        </is>
      </c>
      <c r="E10878" t="inlineStr">
        <is>
          <t>SUNDSVALL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53394-2023</t>
        </is>
      </c>
      <c r="B10879" s="1" t="n">
        <v>45222</v>
      </c>
      <c r="C10879" s="1" t="n">
        <v>45657</v>
      </c>
      <c r="D10879" t="inlineStr">
        <is>
          <t>VÄSTERNORRLANDS LÄN</t>
        </is>
      </c>
      <c r="E10879" t="inlineStr">
        <is>
          <t>SOLLEFTEÅ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51939-2023</t>
        </is>
      </c>
      <c r="B10880" s="1" t="n">
        <v>45223</v>
      </c>
      <c r="C10880" s="1" t="n">
        <v>45657</v>
      </c>
      <c r="D10880" t="inlineStr">
        <is>
          <t>VÄSTERNORRLANDS LÄN</t>
        </is>
      </c>
      <c r="E10880" t="inlineStr">
        <is>
          <t>KRAMFORS</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51907-2023</t>
        </is>
      </c>
      <c r="B10881" s="1" t="n">
        <v>45223</v>
      </c>
      <c r="C10881" s="1" t="n">
        <v>45657</v>
      </c>
      <c r="D10881" t="inlineStr">
        <is>
          <t>VÄSTERNORRLANDS LÄN</t>
        </is>
      </c>
      <c r="E10881" t="inlineStr">
        <is>
          <t>ÅNGE</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52008-2023</t>
        </is>
      </c>
      <c r="B10882" s="1" t="n">
        <v>45223</v>
      </c>
      <c r="C10882" s="1" t="n">
        <v>45657</v>
      </c>
      <c r="D10882" t="inlineStr">
        <is>
          <t>VÄSTERNORRLANDS LÄN</t>
        </is>
      </c>
      <c r="E10882" t="inlineStr">
        <is>
          <t>HÄRNÖSAND</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52119-2023</t>
        </is>
      </c>
      <c r="B10883" s="1" t="n">
        <v>45223</v>
      </c>
      <c r="C10883" s="1" t="n">
        <v>45657</v>
      </c>
      <c r="D10883" t="inlineStr">
        <is>
          <t>VÄSTERNORRLANDS LÄN</t>
        </is>
      </c>
      <c r="E10883" t="inlineStr">
        <is>
          <t>SUNDSVALL</t>
        </is>
      </c>
      <c r="F10883" t="inlineStr">
        <is>
          <t>SCA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52110-2023</t>
        </is>
      </c>
      <c r="B10884" s="1" t="n">
        <v>45223</v>
      </c>
      <c r="C10884" s="1" t="n">
        <v>45657</v>
      </c>
      <c r="D10884" t="inlineStr">
        <is>
          <t>VÄSTERNORRLANDS LÄN</t>
        </is>
      </c>
      <c r="E10884" t="inlineStr">
        <is>
          <t>SUNDSVALL</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52118-2023</t>
        </is>
      </c>
      <c r="B10885" s="1" t="n">
        <v>45224</v>
      </c>
      <c r="C10885" s="1" t="n">
        <v>45657</v>
      </c>
      <c r="D10885" t="inlineStr">
        <is>
          <t>VÄSTERNORRLANDS LÄN</t>
        </is>
      </c>
      <c r="E10885" t="inlineStr">
        <is>
          <t>SUNDSVALL</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51884-2023</t>
        </is>
      </c>
      <c r="B10886" s="1" t="n">
        <v>45223</v>
      </c>
      <c r="C10886" s="1" t="n">
        <v>45657</v>
      </c>
      <c r="D10886" t="inlineStr">
        <is>
          <t>VÄSTERNORRLANDS LÄN</t>
        </is>
      </c>
      <c r="E10886" t="inlineStr">
        <is>
          <t>ÖRNSKÖLDSVIK</t>
        </is>
      </c>
      <c r="F10886" t="inlineStr">
        <is>
          <t>Holmen skog AB</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51964-2023</t>
        </is>
      </c>
      <c r="B10887" s="1" t="n">
        <v>45223</v>
      </c>
      <c r="C10887" s="1" t="n">
        <v>45657</v>
      </c>
      <c r="D10887" t="inlineStr">
        <is>
          <t>VÄSTERNORRLANDS LÄN</t>
        </is>
      </c>
      <c r="E10887" t="inlineStr">
        <is>
          <t>KRAMFORS</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52136-2023</t>
        </is>
      </c>
      <c r="B10888" s="1" t="n">
        <v>45224</v>
      </c>
      <c r="C10888" s="1" t="n">
        <v>45657</v>
      </c>
      <c r="D10888" t="inlineStr">
        <is>
          <t>VÄSTERNORRLANDS LÄN</t>
        </is>
      </c>
      <c r="E10888" t="inlineStr">
        <is>
          <t>SOLLEFTEÅ</t>
        </is>
      </c>
      <c r="F10888" t="inlineStr">
        <is>
          <t>SCA</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52140-2023</t>
        </is>
      </c>
      <c r="B10889" s="1" t="n">
        <v>45224</v>
      </c>
      <c r="C10889" s="1" t="n">
        <v>45657</v>
      </c>
      <c r="D10889" t="inlineStr">
        <is>
          <t>VÄSTERNORRLANDS LÄN</t>
        </is>
      </c>
      <c r="E10889" t="inlineStr">
        <is>
          <t>SUNDSVALL</t>
        </is>
      </c>
      <c r="F10889" t="inlineStr">
        <is>
          <t>Naturvårdsverket</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52053-2023</t>
        </is>
      </c>
      <c r="B10890" s="1" t="n">
        <v>45223</v>
      </c>
      <c r="C10890" s="1" t="n">
        <v>45657</v>
      </c>
      <c r="D10890" t="inlineStr">
        <is>
          <t>VÄSTERNORRLANDS LÄN</t>
        </is>
      </c>
      <c r="E10890" t="inlineStr">
        <is>
          <t>ÖRNSKÖLDSVIK</t>
        </is>
      </c>
      <c r="F10890" t="inlineStr">
        <is>
          <t>Holmen skog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52087-2023</t>
        </is>
      </c>
      <c r="B10891" s="1" t="n">
        <v>45223</v>
      </c>
      <c r="C10891" s="1" t="n">
        <v>45657</v>
      </c>
      <c r="D10891" t="inlineStr">
        <is>
          <t>VÄSTERNORRLANDS LÄN</t>
        </is>
      </c>
      <c r="E10891" t="inlineStr">
        <is>
          <t>SOLLEFTEÅ</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52120-2023</t>
        </is>
      </c>
      <c r="B10892" s="1" t="n">
        <v>45223</v>
      </c>
      <c r="C10892" s="1" t="n">
        <v>45657</v>
      </c>
      <c r="D10892" t="inlineStr">
        <is>
          <t>VÄSTERNORRLANDS LÄN</t>
        </is>
      </c>
      <c r="E10892" t="inlineStr">
        <is>
          <t>SUNDSVALL</t>
        </is>
      </c>
      <c r="F10892" t="inlineStr">
        <is>
          <t>SCA</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52109-2023</t>
        </is>
      </c>
      <c r="B10893" s="1" t="n">
        <v>45223</v>
      </c>
      <c r="C10893" s="1" t="n">
        <v>45657</v>
      </c>
      <c r="D10893" t="inlineStr">
        <is>
          <t>VÄSTERNORRLANDS LÄN</t>
        </is>
      </c>
      <c r="E10893" t="inlineStr">
        <is>
          <t>SUNDSVALL</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52117-2023</t>
        </is>
      </c>
      <c r="B10894" s="1" t="n">
        <v>45223</v>
      </c>
      <c r="C10894" s="1" t="n">
        <v>45657</v>
      </c>
      <c r="D10894" t="inlineStr">
        <is>
          <t>VÄSTERNORRLANDS LÄN</t>
        </is>
      </c>
      <c r="E10894" t="inlineStr">
        <is>
          <t>SUNDSVALL</t>
        </is>
      </c>
      <c r="F10894" t="inlineStr">
        <is>
          <t>SCA</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52146-2023</t>
        </is>
      </c>
      <c r="B10895" s="1" t="n">
        <v>45223</v>
      </c>
      <c r="C10895" s="1" t="n">
        <v>45657</v>
      </c>
      <c r="D10895" t="inlineStr">
        <is>
          <t>VÄSTERNORRLANDS LÄN</t>
        </is>
      </c>
      <c r="E10895" t="inlineStr">
        <is>
          <t>SUNDSVALL</t>
        </is>
      </c>
      <c r="F10895" t="inlineStr">
        <is>
          <t>SCA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53395-2023</t>
        </is>
      </c>
      <c r="B10896" s="1" t="n">
        <v>45223</v>
      </c>
      <c r="C10896" s="1" t="n">
        <v>45657</v>
      </c>
      <c r="D10896" t="inlineStr">
        <is>
          <t>VÄSTERNORRLANDS LÄN</t>
        </is>
      </c>
      <c r="E10896" t="inlineStr">
        <is>
          <t>ÖRNSKÖLDSVIK</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52147-2023</t>
        </is>
      </c>
      <c r="B10897" s="1" t="n">
        <v>45223</v>
      </c>
      <c r="C10897" s="1" t="n">
        <v>45657</v>
      </c>
      <c r="D10897" t="inlineStr">
        <is>
          <t>VÄSTERNORRLANDS LÄN</t>
        </is>
      </c>
      <c r="E10897" t="inlineStr">
        <is>
          <t>SUNDSVALL</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53550-2023</t>
        </is>
      </c>
      <c r="B10898" s="1" t="n">
        <v>45223</v>
      </c>
      <c r="C10898" s="1" t="n">
        <v>45657</v>
      </c>
      <c r="D10898" t="inlineStr">
        <is>
          <t>VÄSTERNORRLANDS LÄN</t>
        </is>
      </c>
      <c r="E10898" t="inlineStr">
        <is>
          <t>SOLLEFTEÅ</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52245-2023</t>
        </is>
      </c>
      <c r="B10899" s="1" t="n">
        <v>45224</v>
      </c>
      <c r="C10899" s="1" t="n">
        <v>45657</v>
      </c>
      <c r="D10899" t="inlineStr">
        <is>
          <t>VÄSTERNORRLANDS LÄN</t>
        </is>
      </c>
      <c r="E10899" t="inlineStr">
        <is>
          <t>ÖRNSKÖLDSVIK</t>
        </is>
      </c>
      <c r="F10899" t="inlineStr">
        <is>
          <t>Holmen skog AB</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52405-2023</t>
        </is>
      </c>
      <c r="B10900" s="1" t="n">
        <v>45224</v>
      </c>
      <c r="C10900" s="1" t="n">
        <v>45657</v>
      </c>
      <c r="D10900" t="inlineStr">
        <is>
          <t>VÄSTERNORRLANDS LÄN</t>
        </is>
      </c>
      <c r="E10900" t="inlineStr">
        <is>
          <t>SUNDSVALL</t>
        </is>
      </c>
      <c r="F10900" t="inlineStr">
        <is>
          <t>SCA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53815-2023</t>
        </is>
      </c>
      <c r="B10901" s="1" t="n">
        <v>45224</v>
      </c>
      <c r="C10901" s="1" t="n">
        <v>45657</v>
      </c>
      <c r="D10901" t="inlineStr">
        <is>
          <t>VÄSTERNORRLANDS LÄN</t>
        </is>
      </c>
      <c r="E10901" t="inlineStr">
        <is>
          <t>HÄRNÖSAND</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53855-2023</t>
        </is>
      </c>
      <c r="B10902" s="1" t="n">
        <v>45224</v>
      </c>
      <c r="C10902" s="1" t="n">
        <v>45657</v>
      </c>
      <c r="D10902" t="inlineStr">
        <is>
          <t>VÄSTERNORRLANDS LÄN</t>
        </is>
      </c>
      <c r="E10902" t="inlineStr">
        <is>
          <t>SOLLEFTEÅ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52306-2023</t>
        </is>
      </c>
      <c r="B10903" s="1" t="n">
        <v>45224</v>
      </c>
      <c r="C10903" s="1" t="n">
        <v>45657</v>
      </c>
      <c r="D10903" t="inlineStr">
        <is>
          <t>VÄSTERNORRLANDS LÄN</t>
        </is>
      </c>
      <c r="E10903" t="inlineStr">
        <is>
          <t>ÖRNSKÖLDSVIK</t>
        </is>
      </c>
      <c r="F10903" t="inlineStr">
        <is>
          <t>Holmen skog AB</t>
        </is>
      </c>
      <c r="G10903" t="n">
        <v>10.4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52404-2023</t>
        </is>
      </c>
      <c r="B10904" s="1" t="n">
        <v>45225</v>
      </c>
      <c r="C10904" s="1" t="n">
        <v>45657</v>
      </c>
      <c r="D10904" t="inlineStr">
        <is>
          <t>VÄSTERNORRLANDS LÄN</t>
        </is>
      </c>
      <c r="E10904" t="inlineStr">
        <is>
          <t>SUNDSVALL</t>
        </is>
      </c>
      <c r="F10904" t="inlineStr">
        <is>
          <t>SCA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52403-2023</t>
        </is>
      </c>
      <c r="B10905" s="1" t="n">
        <v>45224</v>
      </c>
      <c r="C10905" s="1" t="n">
        <v>45657</v>
      </c>
      <c r="D10905" t="inlineStr">
        <is>
          <t>VÄSTERNORRLANDS LÄN</t>
        </is>
      </c>
      <c r="E10905" t="inlineStr">
        <is>
          <t>SUNDSVALL</t>
        </is>
      </c>
      <c r="F10905" t="inlineStr">
        <is>
          <t>SCA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53674-2023</t>
        </is>
      </c>
      <c r="B10906" s="1" t="n">
        <v>45224</v>
      </c>
      <c r="C10906" s="1" t="n">
        <v>45657</v>
      </c>
      <c r="D10906" t="inlineStr">
        <is>
          <t>VÄSTERNORRLANDS LÄN</t>
        </is>
      </c>
      <c r="E10906" t="inlineStr">
        <is>
          <t>SUNDSVALL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53810-2023</t>
        </is>
      </c>
      <c r="B10907" s="1" t="n">
        <v>45224</v>
      </c>
      <c r="C10907" s="1" t="n">
        <v>45657</v>
      </c>
      <c r="D10907" t="inlineStr">
        <is>
          <t>VÄSTERNORRLANDS LÄN</t>
        </is>
      </c>
      <c r="E10907" t="inlineStr">
        <is>
          <t>HÄRNÖSAND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53850-2023</t>
        </is>
      </c>
      <c r="B10908" s="1" t="n">
        <v>45224</v>
      </c>
      <c r="C10908" s="1" t="n">
        <v>45657</v>
      </c>
      <c r="D10908" t="inlineStr">
        <is>
          <t>VÄSTERNORRLANDS LÄN</t>
        </is>
      </c>
      <c r="E10908" t="inlineStr">
        <is>
          <t>SOLLEFTEÅ</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53902-2023</t>
        </is>
      </c>
      <c r="B10909" s="1" t="n">
        <v>45224</v>
      </c>
      <c r="C10909" s="1" t="n">
        <v>45657</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52398-2023</t>
        </is>
      </c>
      <c r="B10910" s="1" t="n">
        <v>45225</v>
      </c>
      <c r="C10910" s="1" t="n">
        <v>45657</v>
      </c>
      <c r="D10910" t="inlineStr">
        <is>
          <t>VÄSTERNORRLANDS LÄN</t>
        </is>
      </c>
      <c r="E10910" t="inlineStr">
        <is>
          <t>SUNDSVALL</t>
        </is>
      </c>
      <c r="F10910" t="inlineStr">
        <is>
          <t>SCA</t>
        </is>
      </c>
      <c r="G10910" t="n">
        <v>8.800000000000001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52406-2023</t>
        </is>
      </c>
      <c r="B10911" s="1" t="n">
        <v>45224</v>
      </c>
      <c r="C10911" s="1" t="n">
        <v>45657</v>
      </c>
      <c r="D10911" t="inlineStr">
        <is>
          <t>VÄSTERNORRLANDS LÄN</t>
        </is>
      </c>
      <c r="E10911" t="inlineStr">
        <is>
          <t>SUNDSVALL</t>
        </is>
      </c>
      <c r="F10911" t="inlineStr">
        <is>
          <t>SCA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53825-2023</t>
        </is>
      </c>
      <c r="B10912" s="1" t="n">
        <v>45224</v>
      </c>
      <c r="C10912" s="1" t="n">
        <v>45657</v>
      </c>
      <c r="D10912" t="inlineStr">
        <is>
          <t>VÄSTERNORRLANDS LÄN</t>
        </is>
      </c>
      <c r="E10912" t="inlineStr">
        <is>
          <t>HÄRNÖSAND</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53939-2023</t>
        </is>
      </c>
      <c r="B10913" s="1" t="n">
        <v>45224</v>
      </c>
      <c r="C10913" s="1" t="n">
        <v>45657</v>
      </c>
      <c r="D10913" t="inlineStr">
        <is>
          <t>VÄSTERNORRLANDS LÄN</t>
        </is>
      </c>
      <c r="E10913" t="inlineStr">
        <is>
          <t>SOLLEFTEÅ</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52445-2023</t>
        </is>
      </c>
      <c r="B10914" s="1" t="n">
        <v>45225</v>
      </c>
      <c r="C10914" s="1" t="n">
        <v>45657</v>
      </c>
      <c r="D10914" t="inlineStr">
        <is>
          <t>VÄSTERNORRLANDS LÄN</t>
        </is>
      </c>
      <c r="E10914" t="inlineStr">
        <is>
          <t>SOLLEFTEÅ</t>
        </is>
      </c>
      <c r="F10914" t="inlineStr">
        <is>
          <t>Holmen skog AB</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52416-2023</t>
        </is>
      </c>
      <c r="B10915" s="1" t="n">
        <v>45225</v>
      </c>
      <c r="C10915" s="1" t="n">
        <v>45657</v>
      </c>
      <c r="D10915" t="inlineStr">
        <is>
          <t>VÄSTERNORRLANDS LÄN</t>
        </is>
      </c>
      <c r="E10915" t="inlineStr">
        <is>
          <t>ÖRNSKÖLDSVIK</t>
        </is>
      </c>
      <c r="F10915" t="inlineStr">
        <is>
          <t>Holmen skog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52421-2023</t>
        </is>
      </c>
      <c r="B10916" s="1" t="n">
        <v>45225</v>
      </c>
      <c r="C10916" s="1" t="n">
        <v>45657</v>
      </c>
      <c r="D10916" t="inlineStr">
        <is>
          <t>VÄSTERNORRLANDS LÄN</t>
        </is>
      </c>
      <c r="E10916" t="inlineStr">
        <is>
          <t>KRAMFORS</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52439-2023</t>
        </is>
      </c>
      <c r="B10917" s="1" t="n">
        <v>45225</v>
      </c>
      <c r="C10917" s="1" t="n">
        <v>45657</v>
      </c>
      <c r="D10917" t="inlineStr">
        <is>
          <t>VÄSTERNORRLANDS LÄN</t>
        </is>
      </c>
      <c r="E10917" t="inlineStr">
        <is>
          <t>ÖRNSKÖLDSVIK</t>
        </is>
      </c>
      <c r="F10917" t="inlineStr">
        <is>
          <t>Holmen skog AB</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52502-2023</t>
        </is>
      </c>
      <c r="B10918" s="1" t="n">
        <v>45225</v>
      </c>
      <c r="C10918" s="1" t="n">
        <v>45657</v>
      </c>
      <c r="D10918" t="inlineStr">
        <is>
          <t>VÄSTERNORRLANDS LÄN</t>
        </is>
      </c>
      <c r="E10918" t="inlineStr">
        <is>
          <t>SUNDSVALL</t>
        </is>
      </c>
      <c r="F10918" t="inlineStr">
        <is>
          <t>Kommuner</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52573-2023</t>
        </is>
      </c>
      <c r="B10919" s="1" t="n">
        <v>45225</v>
      </c>
      <c r="C10919" s="1" t="n">
        <v>45657</v>
      </c>
      <c r="D10919" t="inlineStr">
        <is>
          <t>VÄSTERNORRLANDS LÄN</t>
        </is>
      </c>
      <c r="E10919" t="inlineStr">
        <is>
          <t>ÖRNSKÖLDSVIK</t>
        </is>
      </c>
      <c r="F10919" t="inlineStr">
        <is>
          <t>Holmen skog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52517-2023</t>
        </is>
      </c>
      <c r="B10920" s="1" t="n">
        <v>45225</v>
      </c>
      <c r="C10920" s="1" t="n">
        <v>45657</v>
      </c>
      <c r="D10920" t="inlineStr">
        <is>
          <t>VÄSTERNORRLANDS LÄN</t>
        </is>
      </c>
      <c r="E10920" t="inlineStr">
        <is>
          <t>SUNDSVALL</t>
        </is>
      </c>
      <c r="F10920" t="inlineStr">
        <is>
          <t>Kommuner</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52585-2023</t>
        </is>
      </c>
      <c r="B10921" s="1" t="n">
        <v>45225</v>
      </c>
      <c r="C10921" s="1" t="n">
        <v>45657</v>
      </c>
      <c r="D10921" t="inlineStr">
        <is>
          <t>VÄSTERNORRLANDS LÄN</t>
        </is>
      </c>
      <c r="E10921" t="inlineStr">
        <is>
          <t>KRAMFORS</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52742-2023</t>
        </is>
      </c>
      <c r="B10922" s="1" t="n">
        <v>45226</v>
      </c>
      <c r="C10922" s="1" t="n">
        <v>45657</v>
      </c>
      <c r="D10922" t="inlineStr">
        <is>
          <t>VÄSTERNORRLANDS LÄN</t>
        </is>
      </c>
      <c r="E10922" t="inlineStr">
        <is>
          <t>ÅNGE</t>
        </is>
      </c>
      <c r="F10922" t="inlineStr">
        <is>
          <t>SCA</t>
        </is>
      </c>
      <c r="G10922" t="n">
        <v>19.8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54096-2023</t>
        </is>
      </c>
      <c r="B10923" s="1" t="n">
        <v>45225</v>
      </c>
      <c r="C10923" s="1" t="n">
        <v>45657</v>
      </c>
      <c r="D10923" t="inlineStr">
        <is>
          <t>VÄSTERNORRLANDS LÄN</t>
        </is>
      </c>
      <c r="E10923" t="inlineStr">
        <is>
          <t>HÄRNÖSAND</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53943-2023</t>
        </is>
      </c>
      <c r="B10924" s="1" t="n">
        <v>45225</v>
      </c>
      <c r="C10924" s="1" t="n">
        <v>45657</v>
      </c>
      <c r="D10924" t="inlineStr">
        <is>
          <t>VÄSTERNORRLANDS LÄN</t>
        </is>
      </c>
      <c r="E10924" t="inlineStr">
        <is>
          <t>SUNDSVALL</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54166-2023</t>
        </is>
      </c>
      <c r="B10925" s="1" t="n">
        <v>45225</v>
      </c>
      <c r="C10925" s="1" t="n">
        <v>45657</v>
      </c>
      <c r="D10925" t="inlineStr">
        <is>
          <t>VÄSTERNORRLANDS LÄN</t>
        </is>
      </c>
      <c r="E10925" t="inlineStr">
        <is>
          <t>KRAMFORS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54091-2023</t>
        </is>
      </c>
      <c r="B10926" s="1" t="n">
        <v>45225</v>
      </c>
      <c r="C10926" s="1" t="n">
        <v>45657</v>
      </c>
      <c r="D10926" t="inlineStr">
        <is>
          <t>VÄSTERNORRLANDS LÄN</t>
        </is>
      </c>
      <c r="E10926" t="inlineStr">
        <is>
          <t>HÄRNÖSAND</t>
        </is>
      </c>
      <c r="G10926" t="n">
        <v>8.6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54182-2023</t>
        </is>
      </c>
      <c r="B10927" s="1" t="n">
        <v>45225</v>
      </c>
      <c r="C10927" s="1" t="n">
        <v>45657</v>
      </c>
      <c r="D10927" t="inlineStr">
        <is>
          <t>VÄSTERNORRLANDS LÄN</t>
        </is>
      </c>
      <c r="E10927" t="inlineStr">
        <is>
          <t>KRAMFORS</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54307-2023</t>
        </is>
      </c>
      <c r="B10928" s="1" t="n">
        <v>45225</v>
      </c>
      <c r="C10928" s="1" t="n">
        <v>45657</v>
      </c>
      <c r="D10928" t="inlineStr">
        <is>
          <t>VÄSTERNORRLANDS LÄN</t>
        </is>
      </c>
      <c r="E10928" t="inlineStr">
        <is>
          <t>SOLLEFTEÅ</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52758-2023</t>
        </is>
      </c>
      <c r="B10929" s="1" t="n">
        <v>45225</v>
      </c>
      <c r="C10929" s="1" t="n">
        <v>45657</v>
      </c>
      <c r="D10929" t="inlineStr">
        <is>
          <t>VÄSTERNORRLANDS LÄN</t>
        </is>
      </c>
      <c r="E10929" t="inlineStr">
        <is>
          <t>SUNDSVALL</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52759-2023</t>
        </is>
      </c>
      <c r="B10930" s="1" t="n">
        <v>45225</v>
      </c>
      <c r="C10930" s="1" t="n">
        <v>45657</v>
      </c>
      <c r="D10930" t="inlineStr">
        <is>
          <t>VÄSTERNORRLANDS LÄN</t>
        </is>
      </c>
      <c r="E10930" t="inlineStr">
        <is>
          <t>SUNDSVALL</t>
        </is>
      </c>
      <c r="F10930" t="inlineStr">
        <is>
          <t>SCA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54178-2023</t>
        </is>
      </c>
      <c r="B10931" s="1" t="n">
        <v>45225</v>
      </c>
      <c r="C10931" s="1" t="n">
        <v>45657</v>
      </c>
      <c r="D10931" t="inlineStr">
        <is>
          <t>VÄSTERNORRLANDS LÄN</t>
        </is>
      </c>
      <c r="E10931" t="inlineStr">
        <is>
          <t>KRAMFORS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53040-2023</t>
        </is>
      </c>
      <c r="B10932" s="1" t="n">
        <v>45226</v>
      </c>
      <c r="C10932" s="1" t="n">
        <v>45657</v>
      </c>
      <c r="D10932" t="inlineStr">
        <is>
          <t>VÄSTERNORRLANDS LÄN</t>
        </is>
      </c>
      <c r="E10932" t="inlineStr">
        <is>
          <t>SOLLEFTEÅ</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52764-2023</t>
        </is>
      </c>
      <c r="B10933" s="1" t="n">
        <v>45226</v>
      </c>
      <c r="C10933" s="1" t="n">
        <v>45657</v>
      </c>
      <c r="D10933" t="inlineStr">
        <is>
          <t>VÄSTERNORRLANDS LÄN</t>
        </is>
      </c>
      <c r="E10933" t="inlineStr">
        <is>
          <t>ÖRNSKÖLDSVIK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53042-2023</t>
        </is>
      </c>
      <c r="B10934" s="1" t="n">
        <v>45226</v>
      </c>
      <c r="C10934" s="1" t="n">
        <v>45657</v>
      </c>
      <c r="D10934" t="inlineStr">
        <is>
          <t>VÄSTERNORRLANDS LÄN</t>
        </is>
      </c>
      <c r="E10934" t="inlineStr">
        <is>
          <t>SUNDSVALL</t>
        </is>
      </c>
      <c r="F10934" t="inlineStr">
        <is>
          <t>SCA</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52793-2023</t>
        </is>
      </c>
      <c r="B10935" s="1" t="n">
        <v>45226</v>
      </c>
      <c r="C10935" s="1" t="n">
        <v>45657</v>
      </c>
      <c r="D10935" t="inlineStr">
        <is>
          <t>VÄSTERNORRLANDS LÄN</t>
        </is>
      </c>
      <c r="E10935" t="inlineStr">
        <is>
          <t>ÖRNSKÖLDSVIK</t>
        </is>
      </c>
      <c r="F10935" t="inlineStr">
        <is>
          <t>Holmen skog AB</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53038-2023</t>
        </is>
      </c>
      <c r="B10936" s="1" t="n">
        <v>45227</v>
      </c>
      <c r="C10936" s="1" t="n">
        <v>45657</v>
      </c>
      <c r="D10936" t="inlineStr">
        <is>
          <t>VÄSTERNORRLANDS LÄN</t>
        </is>
      </c>
      <c r="E10936" t="inlineStr">
        <is>
          <t>SUNDSVALL</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52986-2023</t>
        </is>
      </c>
      <c r="B10937" s="1" t="n">
        <v>45226</v>
      </c>
      <c r="C10937" s="1" t="n">
        <v>45657</v>
      </c>
      <c r="D10937" t="inlineStr">
        <is>
          <t>VÄSTERNORRLANDS LÄN</t>
        </is>
      </c>
      <c r="E10937" t="inlineStr">
        <is>
          <t>ÖRNSKÖLDSVIK</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53060-2023</t>
        </is>
      </c>
      <c r="B10938" s="1" t="n">
        <v>45227</v>
      </c>
      <c r="C10938" s="1" t="n">
        <v>45657</v>
      </c>
      <c r="D10938" t="inlineStr">
        <is>
          <t>VÄSTERNORRLANDS LÄN</t>
        </is>
      </c>
      <c r="E10938" t="inlineStr">
        <is>
          <t>SUNDSVALL</t>
        </is>
      </c>
      <c r="F10938" t="inlineStr">
        <is>
          <t>SCA</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54526-2023</t>
        </is>
      </c>
      <c r="B10939" s="1" t="n">
        <v>45226</v>
      </c>
      <c r="C10939" s="1" t="n">
        <v>45657</v>
      </c>
      <c r="D10939" t="inlineStr">
        <is>
          <t>VÄSTERNORRLANDS LÄN</t>
        </is>
      </c>
      <c r="E10939" t="inlineStr">
        <is>
          <t>SOLLEFTEÅ</t>
        </is>
      </c>
      <c r="G10939" t="n">
        <v>23.8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53057-2023</t>
        </is>
      </c>
      <c r="B10940" s="1" t="n">
        <v>45226</v>
      </c>
      <c r="C10940" s="1" t="n">
        <v>45657</v>
      </c>
      <c r="D10940" t="inlineStr">
        <is>
          <t>VÄSTERNORRLANDS LÄN</t>
        </is>
      </c>
      <c r="E10940" t="inlineStr">
        <is>
          <t>SOLLEFTEÅ</t>
        </is>
      </c>
      <c r="F10940" t="inlineStr">
        <is>
          <t>SCA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53045-2023</t>
        </is>
      </c>
      <c r="B10941" s="1" t="n">
        <v>45226</v>
      </c>
      <c r="C10941" s="1" t="n">
        <v>45657</v>
      </c>
      <c r="D10941" t="inlineStr">
        <is>
          <t>VÄSTERNORRLANDS LÄN</t>
        </is>
      </c>
      <c r="E10941" t="inlineStr">
        <is>
          <t>SUNDSVALL</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53041-2023</t>
        </is>
      </c>
      <c r="B10942" s="1" t="n">
        <v>45226</v>
      </c>
      <c r="C10942" s="1" t="n">
        <v>45657</v>
      </c>
      <c r="D10942" t="inlineStr">
        <is>
          <t>VÄSTERNORRLANDS LÄN</t>
        </is>
      </c>
      <c r="E10942" t="inlineStr">
        <is>
          <t>SOLLEFTEÅ</t>
        </is>
      </c>
      <c r="F10942" t="inlineStr">
        <is>
          <t>SCA</t>
        </is>
      </c>
      <c r="G10942" t="n">
        <v>50.2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53033-2023</t>
        </is>
      </c>
      <c r="B10943" s="1" t="n">
        <v>45227</v>
      </c>
      <c r="C10943" s="1" t="n">
        <v>45657</v>
      </c>
      <c r="D10943" t="inlineStr">
        <is>
          <t>VÄSTERNORRLANDS LÄN</t>
        </is>
      </c>
      <c r="E10943" t="inlineStr">
        <is>
          <t>TIMRÅ</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52777-2023</t>
        </is>
      </c>
      <c r="B10944" s="1" t="n">
        <v>45226</v>
      </c>
      <c r="C10944" s="1" t="n">
        <v>45657</v>
      </c>
      <c r="D10944" t="inlineStr">
        <is>
          <t>VÄSTERNORRLANDS LÄN</t>
        </is>
      </c>
      <c r="E10944" t="inlineStr">
        <is>
          <t>SUNDSVALL</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53048-2023</t>
        </is>
      </c>
      <c r="B10945" s="1" t="n">
        <v>45226</v>
      </c>
      <c r="C10945" s="1" t="n">
        <v>45657</v>
      </c>
      <c r="D10945" t="inlineStr">
        <is>
          <t>VÄSTERNORRLANDS LÄN</t>
        </is>
      </c>
      <c r="E10945" t="inlineStr">
        <is>
          <t>SOLLEFTEÅ</t>
        </is>
      </c>
      <c r="F10945" t="inlineStr">
        <is>
          <t>SCA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53107-2023</t>
        </is>
      </c>
      <c r="B10946" s="1" t="n">
        <v>45228</v>
      </c>
      <c r="C10946" s="1" t="n">
        <v>45657</v>
      </c>
      <c r="D10946" t="inlineStr">
        <is>
          <t>VÄSTERNORRLANDS LÄN</t>
        </is>
      </c>
      <c r="E10946" t="inlineStr">
        <is>
          <t>HÄRNÖSAND</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53104-2023</t>
        </is>
      </c>
      <c r="B10947" s="1" t="n">
        <v>45228</v>
      </c>
      <c r="C10947" s="1" t="n">
        <v>45657</v>
      </c>
      <c r="D10947" t="inlineStr">
        <is>
          <t>VÄSTERNORRLANDS LÄN</t>
        </is>
      </c>
      <c r="E10947" t="inlineStr">
        <is>
          <t>HÄRNÖSAND</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53282-2023</t>
        </is>
      </c>
      <c r="B10948" s="1" t="n">
        <v>45229</v>
      </c>
      <c r="C10948" s="1" t="n">
        <v>45657</v>
      </c>
      <c r="D10948" t="inlineStr">
        <is>
          <t>VÄSTERNORRLANDS LÄN</t>
        </is>
      </c>
      <c r="E10948" t="inlineStr">
        <is>
          <t>ÖRNSKÖLDSVIK</t>
        </is>
      </c>
      <c r="F10948" t="inlineStr">
        <is>
          <t>Holmen skog AB</t>
        </is>
      </c>
      <c r="G10948" t="n">
        <v>10.3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53448-2023</t>
        </is>
      </c>
      <c r="B10949" s="1" t="n">
        <v>45230</v>
      </c>
      <c r="C10949" s="1" t="n">
        <v>45657</v>
      </c>
      <c r="D10949" t="inlineStr">
        <is>
          <t>VÄSTERNORRLANDS LÄN</t>
        </is>
      </c>
      <c r="E10949" t="inlineStr">
        <is>
          <t>TIMRÅ</t>
        </is>
      </c>
      <c r="F10949" t="inlineStr">
        <is>
          <t>SCA</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53452-2023</t>
        </is>
      </c>
      <c r="B10950" s="1" t="n">
        <v>45229</v>
      </c>
      <c r="C10950" s="1" t="n">
        <v>45657</v>
      </c>
      <c r="D10950" t="inlineStr">
        <is>
          <t>VÄSTERNORRLANDS LÄN</t>
        </is>
      </c>
      <c r="E10950" t="inlineStr">
        <is>
          <t>SOLLEFTEÅ</t>
        </is>
      </c>
      <c r="F10950" t="inlineStr">
        <is>
          <t>SCA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53450-2023</t>
        </is>
      </c>
      <c r="B10951" s="1" t="n">
        <v>45230</v>
      </c>
      <c r="C10951" s="1" t="n">
        <v>45657</v>
      </c>
      <c r="D10951" t="inlineStr">
        <is>
          <t>VÄSTERNORRLANDS LÄN</t>
        </is>
      </c>
      <c r="E10951" t="inlineStr">
        <is>
          <t>SUNDSVALL</t>
        </is>
      </c>
      <c r="F10951" t="inlineStr">
        <is>
          <t>SCA</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53310-2023</t>
        </is>
      </c>
      <c r="B10952" s="1" t="n">
        <v>45229</v>
      </c>
      <c r="C10952" s="1" t="n">
        <v>45657</v>
      </c>
      <c r="D10952" t="inlineStr">
        <is>
          <t>VÄSTERNORRLANDS LÄN</t>
        </is>
      </c>
      <c r="E10952" t="inlineStr">
        <is>
          <t>ÖRNSKÖLDSVIK</t>
        </is>
      </c>
      <c r="F10952" t="inlineStr">
        <is>
          <t>Holmen skog AB</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53451-2023</t>
        </is>
      </c>
      <c r="B10953" s="1" t="n">
        <v>45230</v>
      </c>
      <c r="C10953" s="1" t="n">
        <v>45657</v>
      </c>
      <c r="D10953" t="inlineStr">
        <is>
          <t>VÄSTERNORRLANDS LÄN</t>
        </is>
      </c>
      <c r="E10953" t="inlineStr">
        <is>
          <t>SUNDSVALL</t>
        </is>
      </c>
      <c r="F10953" t="inlineStr">
        <is>
          <t>SCA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53147-2023</t>
        </is>
      </c>
      <c r="B10954" s="1" t="n">
        <v>45229</v>
      </c>
      <c r="C10954" s="1" t="n">
        <v>45657</v>
      </c>
      <c r="D10954" t="inlineStr">
        <is>
          <t>VÄSTERNORRLANDS LÄN</t>
        </is>
      </c>
      <c r="E10954" t="inlineStr">
        <is>
          <t>ÖRNSKÖLDSVIK</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53259-2023</t>
        </is>
      </c>
      <c r="B10955" s="1" t="n">
        <v>45229</v>
      </c>
      <c r="C10955" s="1" t="n">
        <v>45657</v>
      </c>
      <c r="D10955" t="inlineStr">
        <is>
          <t>VÄSTERNORRLANDS LÄN</t>
        </is>
      </c>
      <c r="E10955" t="inlineStr">
        <is>
          <t>ÖRNSKÖLDSVIK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53371-2023</t>
        </is>
      </c>
      <c r="B10956" s="1" t="n">
        <v>45229</v>
      </c>
      <c r="C10956" s="1" t="n">
        <v>45657</v>
      </c>
      <c r="D10956" t="inlineStr">
        <is>
          <t>VÄSTERNORRLANDS LÄN</t>
        </is>
      </c>
      <c r="E10956" t="inlineStr">
        <is>
          <t>ÖRNSKÖLDSVIK</t>
        </is>
      </c>
      <c r="F10956" t="inlineStr">
        <is>
          <t>Holmen skog AB</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53430-2023</t>
        </is>
      </c>
      <c r="B10957" s="1" t="n">
        <v>45229</v>
      </c>
      <c r="C10957" s="1" t="n">
        <v>45657</v>
      </c>
      <c r="D10957" t="inlineStr">
        <is>
          <t>VÄSTERNORRLANDS LÄN</t>
        </is>
      </c>
      <c r="E10957" t="inlineStr">
        <is>
          <t>TIMRÅ</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54771-2023</t>
        </is>
      </c>
      <c r="B10958" s="1" t="n">
        <v>45229</v>
      </c>
      <c r="C10958" s="1" t="n">
        <v>45657</v>
      </c>
      <c r="D10958" t="inlineStr">
        <is>
          <t>VÄSTERNORRLANDS LÄN</t>
        </is>
      </c>
      <c r="E10958" t="inlineStr">
        <is>
          <t>ÅNGE</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54754-2023</t>
        </is>
      </c>
      <c r="B10959" s="1" t="n">
        <v>45229</v>
      </c>
      <c r="C10959" s="1" t="n">
        <v>45657</v>
      </c>
      <c r="D10959" t="inlineStr">
        <is>
          <t>VÄSTERNORRLANDS LÄN</t>
        </is>
      </c>
      <c r="E10959" t="inlineStr">
        <is>
          <t>ÅNGE</t>
        </is>
      </c>
      <c r="G10959" t="n">
        <v>14.6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53453-2023</t>
        </is>
      </c>
      <c r="B10960" s="1" t="n">
        <v>45230</v>
      </c>
      <c r="C10960" s="1" t="n">
        <v>45657</v>
      </c>
      <c r="D10960" t="inlineStr">
        <is>
          <t>VÄSTERNORRLANDS LÄN</t>
        </is>
      </c>
      <c r="E10960" t="inlineStr">
        <is>
          <t>SOLLEFTEÅ</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53457-2023</t>
        </is>
      </c>
      <c r="B10961" s="1" t="n">
        <v>45230</v>
      </c>
      <c r="C10961" s="1" t="n">
        <v>45657</v>
      </c>
      <c r="D10961" t="inlineStr">
        <is>
          <t>VÄSTERNORRLANDS LÄN</t>
        </is>
      </c>
      <c r="E10961" t="inlineStr">
        <is>
          <t>ÖRNSKÖLDSVIK</t>
        </is>
      </c>
      <c r="F10961" t="inlineStr">
        <is>
          <t>SCA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54761-2023</t>
        </is>
      </c>
      <c r="B10962" s="1" t="n">
        <v>45229</v>
      </c>
      <c r="C10962" s="1" t="n">
        <v>45657</v>
      </c>
      <c r="D10962" t="inlineStr">
        <is>
          <t>VÄSTERNORRLANDS LÄN</t>
        </is>
      </c>
      <c r="E10962" t="inlineStr">
        <is>
          <t>ÅNGE</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54823-2023</t>
        </is>
      </c>
      <c r="B10963" s="1" t="n">
        <v>45229</v>
      </c>
      <c r="C10963" s="1" t="n">
        <v>45657</v>
      </c>
      <c r="D10963" t="inlineStr">
        <is>
          <t>VÄSTERNORRLANDS LÄN</t>
        </is>
      </c>
      <c r="E10963" t="inlineStr">
        <is>
          <t>ÅNGE</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54769-2023</t>
        </is>
      </c>
      <c r="B10964" s="1" t="n">
        <v>45229</v>
      </c>
      <c r="C10964" s="1" t="n">
        <v>45657</v>
      </c>
      <c r="D10964" t="inlineStr">
        <is>
          <t>VÄSTERNORRLANDS LÄN</t>
        </is>
      </c>
      <c r="E10964" t="inlineStr">
        <is>
          <t>ÅNGE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55058-2023</t>
        </is>
      </c>
      <c r="B10965" s="1" t="n">
        <v>45229</v>
      </c>
      <c r="C10965" s="1" t="n">
        <v>45657</v>
      </c>
      <c r="D10965" t="inlineStr">
        <is>
          <t>VÄSTERNORRLANDS LÄN</t>
        </is>
      </c>
      <c r="E10965" t="inlineStr">
        <is>
          <t>HÄRNÖSAND</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54773-2023</t>
        </is>
      </c>
      <c r="B10966" s="1" t="n">
        <v>45229</v>
      </c>
      <c r="C10966" s="1" t="n">
        <v>45657</v>
      </c>
      <c r="D10966" t="inlineStr">
        <is>
          <t>VÄSTERNORRLANDS LÄN</t>
        </is>
      </c>
      <c r="E10966" t="inlineStr">
        <is>
          <t>ÅNGE</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53462-2023</t>
        </is>
      </c>
      <c r="B10967" s="1" t="n">
        <v>45230</v>
      </c>
      <c r="C10967" s="1" t="n">
        <v>45657</v>
      </c>
      <c r="D10967" t="inlineStr">
        <is>
          <t>VÄSTERNORRLANDS LÄN</t>
        </is>
      </c>
      <c r="E10967" t="inlineStr">
        <is>
          <t>ÖRNSKÖLDSVIK</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53736-2023</t>
        </is>
      </c>
      <c r="B10968" s="1" t="n">
        <v>45230</v>
      </c>
      <c r="C10968" s="1" t="n">
        <v>45657</v>
      </c>
      <c r="D10968" t="inlineStr">
        <is>
          <t>VÄSTERNORRLANDS LÄN</t>
        </is>
      </c>
      <c r="E10968" t="inlineStr">
        <is>
          <t>SUNDSVALL</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53755-2023</t>
        </is>
      </c>
      <c r="B10969" s="1" t="n">
        <v>45230</v>
      </c>
      <c r="C10969" s="1" t="n">
        <v>45657</v>
      </c>
      <c r="D10969" t="inlineStr">
        <is>
          <t>VÄSTERNORRLANDS LÄN</t>
        </is>
      </c>
      <c r="E10969" t="inlineStr">
        <is>
          <t>TIMRÅ</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53651-2023</t>
        </is>
      </c>
      <c r="B10970" s="1" t="n">
        <v>45230</v>
      </c>
      <c r="C10970" s="1" t="n">
        <v>45657</v>
      </c>
      <c r="D10970" t="inlineStr">
        <is>
          <t>VÄSTERNORRLANDS LÄN</t>
        </is>
      </c>
      <c r="E10970" t="inlineStr">
        <is>
          <t>ÅNGE</t>
        </is>
      </c>
      <c r="F10970" t="inlineStr">
        <is>
          <t>Holmen skog AB</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53627-2023</t>
        </is>
      </c>
      <c r="B10971" s="1" t="n">
        <v>45230</v>
      </c>
      <c r="C10971" s="1" t="n">
        <v>45657</v>
      </c>
      <c r="D10971" t="inlineStr">
        <is>
          <t>VÄSTERNORRLANDS LÄN</t>
        </is>
      </c>
      <c r="E10971" t="inlineStr">
        <is>
          <t>ÅNGE</t>
        </is>
      </c>
      <c r="F10971" t="inlineStr">
        <is>
          <t>Holmen skog AB</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53689-2023</t>
        </is>
      </c>
      <c r="B10972" s="1" t="n">
        <v>45230</v>
      </c>
      <c r="C10972" s="1" t="n">
        <v>45657</v>
      </c>
      <c r="D10972" t="inlineStr">
        <is>
          <t>VÄSTERNORRLANDS LÄN</t>
        </is>
      </c>
      <c r="E10972" t="inlineStr">
        <is>
          <t>ÖRNSKÖLDSVIK</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53511-2023</t>
        </is>
      </c>
      <c r="B10973" s="1" t="n">
        <v>45230</v>
      </c>
      <c r="C10973" s="1" t="n">
        <v>45657</v>
      </c>
      <c r="D10973" t="inlineStr">
        <is>
          <t>VÄSTERNORRLANDS LÄN</t>
        </is>
      </c>
      <c r="E10973" t="inlineStr">
        <is>
          <t>SUNDSVALL</t>
        </is>
      </c>
      <c r="F10973" t="inlineStr">
        <is>
          <t>Kyrkan</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53469-2023</t>
        </is>
      </c>
      <c r="B10974" s="1" t="n">
        <v>45230</v>
      </c>
      <c r="C10974" s="1" t="n">
        <v>45657</v>
      </c>
      <c r="D10974" t="inlineStr">
        <is>
          <t>VÄSTERNORRLANDS LÄN</t>
        </is>
      </c>
      <c r="E10974" t="inlineStr">
        <is>
          <t>ÖRNSKÖLDSVIK</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53464-2023</t>
        </is>
      </c>
      <c r="B10975" s="1" t="n">
        <v>45230</v>
      </c>
      <c r="C10975" s="1" t="n">
        <v>45657</v>
      </c>
      <c r="D10975" t="inlineStr">
        <is>
          <t>VÄSTERNORRLANDS LÄN</t>
        </is>
      </c>
      <c r="E10975" t="inlineStr">
        <is>
          <t>ÖRNSKÖLDSVIK</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55187-2023</t>
        </is>
      </c>
      <c r="B10976" s="1" t="n">
        <v>45230</v>
      </c>
      <c r="C10976" s="1" t="n">
        <v>45657</v>
      </c>
      <c r="D10976" t="inlineStr">
        <is>
          <t>VÄSTERNORRLANDS LÄN</t>
        </is>
      </c>
      <c r="E10976" t="inlineStr">
        <is>
          <t>ÖRNSKÖLDSVIK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53767-2023</t>
        </is>
      </c>
      <c r="B10977" s="1" t="n">
        <v>45231</v>
      </c>
      <c r="C10977" s="1" t="n">
        <v>45657</v>
      </c>
      <c r="D10977" t="inlineStr">
        <is>
          <t>VÄSTERNORRLANDS LÄN</t>
        </is>
      </c>
      <c r="E10977" t="inlineStr">
        <is>
          <t>SUNDSVALL</t>
        </is>
      </c>
      <c r="F10977" t="inlineStr">
        <is>
          <t>SCA</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53669-2023</t>
        </is>
      </c>
      <c r="B10978" s="1" t="n">
        <v>45230</v>
      </c>
      <c r="C10978" s="1" t="n">
        <v>45657</v>
      </c>
      <c r="D10978" t="inlineStr">
        <is>
          <t>VÄSTERNORRLANDS LÄN</t>
        </is>
      </c>
      <c r="E10978" t="inlineStr">
        <is>
          <t>SOLLEFTEÅ</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53549-2023</t>
        </is>
      </c>
      <c r="B10979" s="1" t="n">
        <v>45230</v>
      </c>
      <c r="C10979" s="1" t="n">
        <v>45657</v>
      </c>
      <c r="D10979" t="inlineStr">
        <is>
          <t>VÄSTERNORRLANDS LÄN</t>
        </is>
      </c>
      <c r="E10979" t="inlineStr">
        <is>
          <t>ÅNGE</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53765-2023</t>
        </is>
      </c>
      <c r="B10980" s="1" t="n">
        <v>45231</v>
      </c>
      <c r="C10980" s="1" t="n">
        <v>45657</v>
      </c>
      <c r="D10980" t="inlineStr">
        <is>
          <t>VÄSTERNORRLANDS LÄN</t>
        </is>
      </c>
      <c r="E10980" t="inlineStr">
        <is>
          <t>ÅNGE</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53512-2023</t>
        </is>
      </c>
      <c r="B10981" s="1" t="n">
        <v>45230</v>
      </c>
      <c r="C10981" s="1" t="n">
        <v>45657</v>
      </c>
      <c r="D10981" t="inlineStr">
        <is>
          <t>VÄSTERNORRLANDS LÄN</t>
        </is>
      </c>
      <c r="E10981" t="inlineStr">
        <is>
          <t>ÅNGE</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53716-2023</t>
        </is>
      </c>
      <c r="B10982" s="1" t="n">
        <v>45230</v>
      </c>
      <c r="C10982" s="1" t="n">
        <v>45657</v>
      </c>
      <c r="D10982" t="inlineStr">
        <is>
          <t>VÄSTERNORRLANDS LÄN</t>
        </is>
      </c>
      <c r="E10982" t="inlineStr">
        <is>
          <t>SUNDSVALL</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53465-2023</t>
        </is>
      </c>
      <c r="B10983" s="1" t="n">
        <v>45230</v>
      </c>
      <c r="C10983" s="1" t="n">
        <v>45657</v>
      </c>
      <c r="D10983" t="inlineStr">
        <is>
          <t>VÄSTERNORRLANDS LÄN</t>
        </is>
      </c>
      <c r="E10983" t="inlineStr">
        <is>
          <t>ÖRNSKÖLDSVIK</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53764-2023</t>
        </is>
      </c>
      <c r="B10984" s="1" t="n">
        <v>45231</v>
      </c>
      <c r="C10984" s="1" t="n">
        <v>45657</v>
      </c>
      <c r="D10984" t="inlineStr">
        <is>
          <t>VÄSTERNORRLANDS LÄN</t>
        </is>
      </c>
      <c r="E10984" t="inlineStr">
        <is>
          <t>SUNDSVALL</t>
        </is>
      </c>
      <c r="F10984" t="inlineStr">
        <is>
          <t>SCA</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53459-2023</t>
        </is>
      </c>
      <c r="B10985" s="1" t="n">
        <v>45230</v>
      </c>
      <c r="C10985" s="1" t="n">
        <v>45657</v>
      </c>
      <c r="D10985" t="inlineStr">
        <is>
          <t>VÄSTERNORRLANDS LÄN</t>
        </is>
      </c>
      <c r="E10985" t="inlineStr">
        <is>
          <t>ÖRNSKÖLDSVIK</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55143-2023</t>
        </is>
      </c>
      <c r="B10986" s="1" t="n">
        <v>45230</v>
      </c>
      <c r="C10986" s="1" t="n">
        <v>45657</v>
      </c>
      <c r="D10986" t="inlineStr">
        <is>
          <t>VÄSTERNORRLANDS LÄN</t>
        </is>
      </c>
      <c r="E10986" t="inlineStr">
        <is>
          <t>KRAMFORS</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53782-2023</t>
        </is>
      </c>
      <c r="B10987" s="1" t="n">
        <v>45231</v>
      </c>
      <c r="C10987" s="1" t="n">
        <v>45657</v>
      </c>
      <c r="D10987" t="inlineStr">
        <is>
          <t>VÄSTERNORRLANDS LÄN</t>
        </is>
      </c>
      <c r="E10987" t="inlineStr">
        <is>
          <t>ÖRNSKÖLDSVIK</t>
        </is>
      </c>
      <c r="G10987" t="n">
        <v>10.2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53932-2023</t>
        </is>
      </c>
      <c r="B10988" s="1" t="n">
        <v>45231</v>
      </c>
      <c r="C10988" s="1" t="n">
        <v>45657</v>
      </c>
      <c r="D10988" t="inlineStr">
        <is>
          <t>VÄSTERNORRLANDS LÄN</t>
        </is>
      </c>
      <c r="E10988" t="inlineStr">
        <is>
          <t>ÖRNSKÖLDSVIK</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53936-2023</t>
        </is>
      </c>
      <c r="B10989" s="1" t="n">
        <v>45231</v>
      </c>
      <c r="C10989" s="1" t="n">
        <v>45657</v>
      </c>
      <c r="D10989" t="inlineStr">
        <is>
          <t>VÄSTERNORRLANDS LÄN</t>
        </is>
      </c>
      <c r="E10989" t="inlineStr">
        <is>
          <t>ÖRNSKÖLDSVIK</t>
        </is>
      </c>
      <c r="F10989" t="inlineStr">
        <is>
          <t>Holmen skog AB</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53800-2023</t>
        </is>
      </c>
      <c r="B10990" s="1" t="n">
        <v>45231</v>
      </c>
      <c r="C10990" s="1" t="n">
        <v>45657</v>
      </c>
      <c r="D10990" t="inlineStr">
        <is>
          <t>VÄSTERNORRLANDS LÄN</t>
        </is>
      </c>
      <c r="E10990" t="inlineStr">
        <is>
          <t>ÖRNSKÖLDSVIK</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53924-2023</t>
        </is>
      </c>
      <c r="B10991" s="1" t="n">
        <v>45231</v>
      </c>
      <c r="C10991" s="1" t="n">
        <v>45657</v>
      </c>
      <c r="D10991" t="inlineStr">
        <is>
          <t>VÄSTERNORRLANDS LÄN</t>
        </is>
      </c>
      <c r="E10991" t="inlineStr">
        <is>
          <t>ÖRNSKÖLDSVIK</t>
        </is>
      </c>
      <c r="F10991" t="inlineStr">
        <is>
          <t>Holmen skog AB</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54016-2023</t>
        </is>
      </c>
      <c r="B10992" s="1" t="n">
        <v>45231</v>
      </c>
      <c r="C10992" s="1" t="n">
        <v>45657</v>
      </c>
      <c r="D10992" t="inlineStr">
        <is>
          <t>VÄSTERNORRLANDS LÄN</t>
        </is>
      </c>
      <c r="E10992" t="inlineStr">
        <is>
          <t>SOLLEFTEÅ</t>
        </is>
      </c>
      <c r="F10992" t="inlineStr">
        <is>
          <t>Holmen skog AB</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54020-2023</t>
        </is>
      </c>
      <c r="B10993" s="1" t="n">
        <v>45231</v>
      </c>
      <c r="C10993" s="1" t="n">
        <v>45657</v>
      </c>
      <c r="D10993" t="inlineStr">
        <is>
          <t>VÄSTERNORRLANDS LÄN</t>
        </is>
      </c>
      <c r="E10993" t="inlineStr">
        <is>
          <t>SOLLEFTEÅ</t>
        </is>
      </c>
      <c r="F10993" t="inlineStr">
        <is>
          <t>Holmen skog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54034-2023</t>
        </is>
      </c>
      <c r="B10994" s="1" t="n">
        <v>45231</v>
      </c>
      <c r="C10994" s="1" t="n">
        <v>45657</v>
      </c>
      <c r="D10994" t="inlineStr">
        <is>
          <t>VÄSTERNORRLANDS LÄN</t>
        </is>
      </c>
      <c r="E10994" t="inlineStr">
        <is>
          <t>SOLLEFTEÅ</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54059-2023</t>
        </is>
      </c>
      <c r="B10995" s="1" t="n">
        <v>45232</v>
      </c>
      <c r="C10995" s="1" t="n">
        <v>45657</v>
      </c>
      <c r="D10995" t="inlineStr">
        <is>
          <t>VÄSTERNORRLANDS LÄN</t>
        </is>
      </c>
      <c r="E10995" t="inlineStr">
        <is>
          <t>SUNDSVALL</t>
        </is>
      </c>
      <c r="F10995" t="inlineStr">
        <is>
          <t>SCA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54033-2023</t>
        </is>
      </c>
      <c r="B10996" s="1" t="n">
        <v>45231</v>
      </c>
      <c r="C10996" s="1" t="n">
        <v>45657</v>
      </c>
      <c r="D10996" t="inlineStr">
        <is>
          <t>VÄSTERNORRLANDS LÄN</t>
        </is>
      </c>
      <c r="E10996" t="inlineStr">
        <is>
          <t>SOLLEFTEÅ</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53806-2023</t>
        </is>
      </c>
      <c r="B10997" s="1" t="n">
        <v>45231</v>
      </c>
      <c r="C10997" s="1" t="n">
        <v>45657</v>
      </c>
      <c r="D10997" t="inlineStr">
        <is>
          <t>VÄSTERNORRLANDS LÄN</t>
        </is>
      </c>
      <c r="E10997" t="inlineStr">
        <is>
          <t>ÖRNSKÖLDSVIK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54075-2023</t>
        </is>
      </c>
      <c r="B10998" s="1" t="n">
        <v>45232</v>
      </c>
      <c r="C10998" s="1" t="n">
        <v>45657</v>
      </c>
      <c r="D10998" t="inlineStr">
        <is>
          <t>VÄSTERNORRLANDS LÄN</t>
        </is>
      </c>
      <c r="E10998" t="inlineStr">
        <is>
          <t>SUNDSVALL</t>
        </is>
      </c>
      <c r="F10998" t="inlineStr">
        <is>
          <t>SCA</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54079-2023</t>
        </is>
      </c>
      <c r="B10999" s="1" t="n">
        <v>45231</v>
      </c>
      <c r="C10999" s="1" t="n">
        <v>45657</v>
      </c>
      <c r="D10999" t="inlineStr">
        <is>
          <t>VÄSTERNORRLANDS LÄN</t>
        </is>
      </c>
      <c r="E10999" t="inlineStr">
        <is>
          <t>ÅNGE</t>
        </is>
      </c>
      <c r="F10999" t="inlineStr">
        <is>
          <t>SCA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55241-2023</t>
        </is>
      </c>
      <c r="B11000" s="1" t="n">
        <v>45231</v>
      </c>
      <c r="C11000" s="1" t="n">
        <v>45657</v>
      </c>
      <c r="D11000" t="inlineStr">
        <is>
          <t>VÄSTERNORRLANDS LÄN</t>
        </is>
      </c>
      <c r="E11000" t="inlineStr">
        <is>
          <t>KRAMFORS</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55212-2023</t>
        </is>
      </c>
      <c r="B11001" s="1" t="n">
        <v>45231</v>
      </c>
      <c r="C11001" s="1" t="n">
        <v>45657</v>
      </c>
      <c r="D11001" t="inlineStr">
        <is>
          <t>VÄSTERNORRLANDS LÄN</t>
        </is>
      </c>
      <c r="E11001" t="inlineStr">
        <is>
          <t>SUNDSVALL</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55271-2023</t>
        </is>
      </c>
      <c r="B11002" s="1" t="n">
        <v>45231</v>
      </c>
      <c r="C11002" s="1" t="n">
        <v>45657</v>
      </c>
      <c r="D11002" t="inlineStr">
        <is>
          <t>VÄSTERNORRLANDS LÄN</t>
        </is>
      </c>
      <c r="E11002" t="inlineStr">
        <is>
          <t>HÄRNÖSAND</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54035-2023</t>
        </is>
      </c>
      <c r="B11003" s="1" t="n">
        <v>45231</v>
      </c>
      <c r="C11003" s="1" t="n">
        <v>45657</v>
      </c>
      <c r="D11003" t="inlineStr">
        <is>
          <t>VÄSTERNORRLANDS LÄN</t>
        </is>
      </c>
      <c r="E11003" t="inlineStr">
        <is>
          <t>SOLLEFTEÅ</t>
        </is>
      </c>
      <c r="G11003" t="n">
        <v>12.7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54040-2023</t>
        </is>
      </c>
      <c r="B11004" s="1" t="n">
        <v>45231</v>
      </c>
      <c r="C11004" s="1" t="n">
        <v>45657</v>
      </c>
      <c r="D11004" t="inlineStr">
        <is>
          <t>VÄSTERNORRLANDS LÄN</t>
        </is>
      </c>
      <c r="E11004" t="inlineStr">
        <is>
          <t>TIMRÅ</t>
        </is>
      </c>
      <c r="F11004" t="inlineStr">
        <is>
          <t>SCA</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54044-2023</t>
        </is>
      </c>
      <c r="B11005" s="1" t="n">
        <v>45231</v>
      </c>
      <c r="C11005" s="1" t="n">
        <v>45657</v>
      </c>
      <c r="D11005" t="inlineStr">
        <is>
          <t>VÄSTERNORRLANDS LÄN</t>
        </is>
      </c>
      <c r="E11005" t="inlineStr">
        <is>
          <t>SUNDSVALL</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54048-2023</t>
        </is>
      </c>
      <c r="B11006" s="1" t="n">
        <v>45232</v>
      </c>
      <c r="C11006" s="1" t="n">
        <v>45657</v>
      </c>
      <c r="D11006" t="inlineStr">
        <is>
          <t>VÄSTERNORRLANDS LÄN</t>
        </is>
      </c>
      <c r="E11006" t="inlineStr">
        <is>
          <t>SOLLEFTEÅ</t>
        </is>
      </c>
      <c r="F11006" t="inlineStr">
        <is>
          <t>SCA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54052-2023</t>
        </is>
      </c>
      <c r="B11007" s="1" t="n">
        <v>45232</v>
      </c>
      <c r="C11007" s="1" t="n">
        <v>45657</v>
      </c>
      <c r="D11007" t="inlineStr">
        <is>
          <t>VÄSTERNORRLANDS LÄN</t>
        </is>
      </c>
      <c r="E11007" t="inlineStr">
        <is>
          <t>SUNDSVALL</t>
        </is>
      </c>
      <c r="F11007" t="inlineStr">
        <is>
          <t>SCA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54060-2023</t>
        </is>
      </c>
      <c r="B11008" s="1" t="n">
        <v>45232</v>
      </c>
      <c r="C11008" s="1" t="n">
        <v>45657</v>
      </c>
      <c r="D11008" t="inlineStr">
        <is>
          <t>VÄSTERNORRLANDS LÄN</t>
        </is>
      </c>
      <c r="E11008" t="inlineStr">
        <is>
          <t>ÅNGE</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54076-2023</t>
        </is>
      </c>
      <c r="B11009" s="1" t="n">
        <v>45232</v>
      </c>
      <c r="C11009" s="1" t="n">
        <v>45657</v>
      </c>
      <c r="D11009" t="inlineStr">
        <is>
          <t>VÄSTERNORRLANDS LÄN</t>
        </is>
      </c>
      <c r="E11009" t="inlineStr">
        <is>
          <t>SUNDSVALL</t>
        </is>
      </c>
      <c r="F11009" t="inlineStr">
        <is>
          <t>Naturvårdsverket</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55256-2023</t>
        </is>
      </c>
      <c r="B11010" s="1" t="n">
        <v>45231</v>
      </c>
      <c r="C11010" s="1" t="n">
        <v>45657</v>
      </c>
      <c r="D11010" t="inlineStr">
        <is>
          <t>VÄSTERNORRLANDS LÄN</t>
        </is>
      </c>
      <c r="E11010" t="inlineStr">
        <is>
          <t>ÖRNSKÖLDSVIK</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55275-2023</t>
        </is>
      </c>
      <c r="B11011" s="1" t="n">
        <v>45231</v>
      </c>
      <c r="C11011" s="1" t="n">
        <v>45657</v>
      </c>
      <c r="D11011" t="inlineStr">
        <is>
          <t>VÄSTERNORRLANDS LÄN</t>
        </is>
      </c>
      <c r="E11011" t="inlineStr">
        <is>
          <t>ÖRNSKÖLDSVIK</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54036-2023</t>
        </is>
      </c>
      <c r="B11012" s="1" t="n">
        <v>45231</v>
      </c>
      <c r="C11012" s="1" t="n">
        <v>45657</v>
      </c>
      <c r="D11012" t="inlineStr">
        <is>
          <t>VÄSTERNORRLANDS LÄN</t>
        </is>
      </c>
      <c r="E11012" t="inlineStr">
        <is>
          <t>SOLLEFTEÅ</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54041-2023</t>
        </is>
      </c>
      <c r="B11013" s="1" t="n">
        <v>45231</v>
      </c>
      <c r="C11013" s="1" t="n">
        <v>45657</v>
      </c>
      <c r="D11013" t="inlineStr">
        <is>
          <t>VÄSTERNORRLANDS LÄN</t>
        </is>
      </c>
      <c r="E11013" t="inlineStr">
        <is>
          <t>TIMRÅ</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54045-2023</t>
        </is>
      </c>
      <c r="B11014" s="1" t="n">
        <v>45232</v>
      </c>
      <c r="C11014" s="1" t="n">
        <v>45657</v>
      </c>
      <c r="D11014" t="inlineStr">
        <is>
          <t>VÄSTERNORRLANDS LÄN</t>
        </is>
      </c>
      <c r="E11014" t="inlineStr">
        <is>
          <t>SOLLEFTEÅ</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54053-2023</t>
        </is>
      </c>
      <c r="B11015" s="1" t="n">
        <v>45232</v>
      </c>
      <c r="C11015" s="1" t="n">
        <v>45657</v>
      </c>
      <c r="D11015" t="inlineStr">
        <is>
          <t>VÄSTERNORRLANDS LÄN</t>
        </is>
      </c>
      <c r="E11015" t="inlineStr">
        <is>
          <t>SUNDSVALL</t>
        </is>
      </c>
      <c r="F11015" t="inlineStr">
        <is>
          <t>SCA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54065-2023</t>
        </is>
      </c>
      <c r="B11016" s="1" t="n">
        <v>45232</v>
      </c>
      <c r="C11016" s="1" t="n">
        <v>45657</v>
      </c>
      <c r="D11016" t="inlineStr">
        <is>
          <t>VÄSTERNORRLANDS LÄN</t>
        </is>
      </c>
      <c r="E11016" t="inlineStr">
        <is>
          <t>ÅNGE</t>
        </is>
      </c>
      <c r="F11016" t="inlineStr">
        <is>
          <t>SCA</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55276-2023</t>
        </is>
      </c>
      <c r="B11017" s="1" t="n">
        <v>45231</v>
      </c>
      <c r="C11017" s="1" t="n">
        <v>45657</v>
      </c>
      <c r="D11017" t="inlineStr">
        <is>
          <t>VÄSTERNORRLANDS LÄN</t>
        </is>
      </c>
      <c r="E11017" t="inlineStr">
        <is>
          <t>HÄRNÖSAND</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55441-2023</t>
        </is>
      </c>
      <c r="B11018" s="1" t="n">
        <v>45231</v>
      </c>
      <c r="C11018" s="1" t="n">
        <v>45657</v>
      </c>
      <c r="D11018" t="inlineStr">
        <is>
          <t>VÄSTERNORRLANDS LÄN</t>
        </is>
      </c>
      <c r="E11018" t="inlineStr">
        <is>
          <t>TIMRÅ</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54092-2023</t>
        </is>
      </c>
      <c r="B11019" s="1" t="n">
        <v>45232</v>
      </c>
      <c r="C11019" s="1" t="n">
        <v>45657</v>
      </c>
      <c r="D11019" t="inlineStr">
        <is>
          <t>VÄSTERNORRLANDS LÄN</t>
        </is>
      </c>
      <c r="E11019" t="inlineStr">
        <is>
          <t>SOLLEFTEÅ</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54089-2023</t>
        </is>
      </c>
      <c r="B11020" s="1" t="n">
        <v>45232</v>
      </c>
      <c r="C11020" s="1" t="n">
        <v>45657</v>
      </c>
      <c r="D11020" t="inlineStr">
        <is>
          <t>VÄSTERNORRLANDS LÄN</t>
        </is>
      </c>
      <c r="E11020" t="inlineStr">
        <is>
          <t>ÖRNSKÖLDSVIK</t>
        </is>
      </c>
      <c r="F11020" t="inlineStr">
        <is>
          <t>Holmen skog AB</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54169-2023</t>
        </is>
      </c>
      <c r="B11021" s="1" t="n">
        <v>45232</v>
      </c>
      <c r="C11021" s="1" t="n">
        <v>45657</v>
      </c>
      <c r="D11021" t="inlineStr">
        <is>
          <t>VÄSTERNORRLANDS LÄN</t>
        </is>
      </c>
      <c r="E11021" t="inlineStr">
        <is>
          <t>ÖRNSKÖLDSVIK</t>
        </is>
      </c>
      <c r="F11021" t="inlineStr">
        <is>
          <t>Holmen skog AB</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54088-2023</t>
        </is>
      </c>
      <c r="B11022" s="1" t="n">
        <v>45232</v>
      </c>
      <c r="C11022" s="1" t="n">
        <v>45657</v>
      </c>
      <c r="D11022" t="inlineStr">
        <is>
          <t>VÄSTERNORRLANDS LÄN</t>
        </is>
      </c>
      <c r="E11022" t="inlineStr">
        <is>
          <t>SOLLEFTEÅ</t>
        </is>
      </c>
      <c r="F11022" t="inlineStr">
        <is>
          <t>Holmen skog AB</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54120-2023</t>
        </is>
      </c>
      <c r="B11023" s="1" t="n">
        <v>45232</v>
      </c>
      <c r="C11023" s="1" t="n">
        <v>45657</v>
      </c>
      <c r="D11023" t="inlineStr">
        <is>
          <t>VÄSTERNORRLANDS LÄN</t>
        </is>
      </c>
      <c r="E11023" t="inlineStr">
        <is>
          <t>SUNDSVALL</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54186-2023</t>
        </is>
      </c>
      <c r="B11024" s="1" t="n">
        <v>45232</v>
      </c>
      <c r="C11024" s="1" t="n">
        <v>45657</v>
      </c>
      <c r="D11024" t="inlineStr">
        <is>
          <t>VÄSTERNORRLANDS LÄN</t>
        </is>
      </c>
      <c r="E11024" t="inlineStr">
        <is>
          <t>ÖRNSKÖLDSVIK</t>
        </is>
      </c>
      <c r="F11024" t="inlineStr">
        <is>
          <t>Holmen skog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54198-2023</t>
        </is>
      </c>
      <c r="B11025" s="1" t="n">
        <v>45232</v>
      </c>
      <c r="C11025" s="1" t="n">
        <v>45657</v>
      </c>
      <c r="D11025" t="inlineStr">
        <is>
          <t>VÄSTERNORRLANDS LÄN</t>
        </is>
      </c>
      <c r="E11025" t="inlineStr">
        <is>
          <t>SOLLEFTEÅ</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54320-2023</t>
        </is>
      </c>
      <c r="B11026" s="1" t="n">
        <v>45232</v>
      </c>
      <c r="C11026" s="1" t="n">
        <v>45657</v>
      </c>
      <c r="D11026" t="inlineStr">
        <is>
          <t>VÄSTERNORRLANDS LÄN</t>
        </is>
      </c>
      <c r="E11026" t="inlineStr">
        <is>
          <t>KRAMFORS</t>
        </is>
      </c>
      <c r="G11026" t="n">
        <v>12.9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54326-2023</t>
        </is>
      </c>
      <c r="B11027" s="1" t="n">
        <v>45232</v>
      </c>
      <c r="C11027" s="1" t="n">
        <v>45657</v>
      </c>
      <c r="D11027" t="inlineStr">
        <is>
          <t>VÄSTERNORRLANDS LÄN</t>
        </is>
      </c>
      <c r="E11027" t="inlineStr">
        <is>
          <t>SUNDSVALL</t>
        </is>
      </c>
      <c r="F11027" t="inlineStr">
        <is>
          <t>SCA</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54330-2023</t>
        </is>
      </c>
      <c r="B11028" s="1" t="n">
        <v>45232</v>
      </c>
      <c r="C11028" s="1" t="n">
        <v>45657</v>
      </c>
      <c r="D11028" t="inlineStr">
        <is>
          <t>VÄSTERNORRLANDS LÄN</t>
        </is>
      </c>
      <c r="E11028" t="inlineStr">
        <is>
          <t>SOLLEFTEÅ</t>
        </is>
      </c>
      <c r="F11028" t="inlineStr">
        <is>
          <t>SCA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54338-2023</t>
        </is>
      </c>
      <c r="B11029" s="1" t="n">
        <v>45232</v>
      </c>
      <c r="C11029" s="1" t="n">
        <v>45657</v>
      </c>
      <c r="D11029" t="inlineStr">
        <is>
          <t>VÄSTERNORRLANDS LÄN</t>
        </is>
      </c>
      <c r="E11029" t="inlineStr">
        <is>
          <t>ÅNGE</t>
        </is>
      </c>
      <c r="F11029" t="inlineStr">
        <is>
          <t>SCA</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54188-2023</t>
        </is>
      </c>
      <c r="B11030" s="1" t="n">
        <v>45232</v>
      </c>
      <c r="C11030" s="1" t="n">
        <v>45657</v>
      </c>
      <c r="D11030" t="inlineStr">
        <is>
          <t>VÄSTERNORRLANDS LÄN</t>
        </is>
      </c>
      <c r="E11030" t="inlineStr">
        <is>
          <t>KRAMFORS</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54329-2023</t>
        </is>
      </c>
      <c r="B11031" s="1" t="n">
        <v>45232</v>
      </c>
      <c r="C11031" s="1" t="n">
        <v>45657</v>
      </c>
      <c r="D11031" t="inlineStr">
        <is>
          <t>VÄSTERNORRLANDS LÄN</t>
        </is>
      </c>
      <c r="E11031" t="inlineStr">
        <is>
          <t>SUNDSVALL</t>
        </is>
      </c>
      <c r="F11031" t="inlineStr">
        <is>
          <t>SCA</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54351-2023</t>
        </is>
      </c>
      <c r="B11032" s="1" t="n">
        <v>45232</v>
      </c>
      <c r="C11032" s="1" t="n">
        <v>45657</v>
      </c>
      <c r="D11032" t="inlineStr">
        <is>
          <t>VÄSTERNORRLANDS LÄN</t>
        </is>
      </c>
      <c r="E11032" t="inlineStr">
        <is>
          <t>SOLLEFTEÅ</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54342-2023</t>
        </is>
      </c>
      <c r="B11033" s="1" t="n">
        <v>45232</v>
      </c>
      <c r="C11033" s="1" t="n">
        <v>45657</v>
      </c>
      <c r="D11033" t="inlineStr">
        <is>
          <t>VÄSTERNORRLANDS LÄN</t>
        </is>
      </c>
      <c r="E11033" t="inlineStr">
        <is>
          <t>ÅNGE</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54346-2023</t>
        </is>
      </c>
      <c r="B11034" s="1" t="n">
        <v>45233</v>
      </c>
      <c r="C11034" s="1" t="n">
        <v>45657</v>
      </c>
      <c r="D11034" t="inlineStr">
        <is>
          <t>VÄSTERNORRLANDS LÄN</t>
        </is>
      </c>
      <c r="E11034" t="inlineStr">
        <is>
          <t>ÅNGE</t>
        </is>
      </c>
      <c r="F11034" t="inlineStr">
        <is>
          <t>SCA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55543-2023</t>
        </is>
      </c>
      <c r="B11035" s="1" t="n">
        <v>45232</v>
      </c>
      <c r="C11035" s="1" t="n">
        <v>45657</v>
      </c>
      <c r="D11035" t="inlineStr">
        <is>
          <t>VÄSTERNORRLANDS LÄN</t>
        </is>
      </c>
      <c r="E11035" t="inlineStr">
        <is>
          <t>ÖRNSKÖLDSVIK</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54318-2023</t>
        </is>
      </c>
      <c r="B11036" s="1" t="n">
        <v>45232</v>
      </c>
      <c r="C11036" s="1" t="n">
        <v>45657</v>
      </c>
      <c r="D11036" t="inlineStr">
        <is>
          <t>VÄSTERNORRLANDS LÄN</t>
        </is>
      </c>
      <c r="E11036" t="inlineStr">
        <is>
          <t>KRAMFORS</t>
        </is>
      </c>
      <c r="F11036" t="inlineStr">
        <is>
          <t>Kyrkan</t>
        </is>
      </c>
      <c r="G11036" t="n">
        <v>6.8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54336-2023</t>
        </is>
      </c>
      <c r="B11037" s="1" t="n">
        <v>45233</v>
      </c>
      <c r="C11037" s="1" t="n">
        <v>45657</v>
      </c>
      <c r="D11037" t="inlineStr">
        <is>
          <t>VÄSTERNORRLANDS LÄN</t>
        </is>
      </c>
      <c r="E11037" t="inlineStr">
        <is>
          <t>ÅNGE</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54341-2023</t>
        </is>
      </c>
      <c r="B11038" s="1" t="n">
        <v>45232</v>
      </c>
      <c r="C11038" s="1" t="n">
        <v>45657</v>
      </c>
      <c r="D11038" t="inlineStr">
        <is>
          <t>VÄSTERNORRLANDS LÄN</t>
        </is>
      </c>
      <c r="E11038" t="inlineStr">
        <is>
          <t>ÅNGE</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54195-2023</t>
        </is>
      </c>
      <c r="B11039" s="1" t="n">
        <v>45232</v>
      </c>
      <c r="C11039" s="1" t="n">
        <v>45657</v>
      </c>
      <c r="D11039" t="inlineStr">
        <is>
          <t>VÄSTERNORRLANDS LÄN</t>
        </is>
      </c>
      <c r="E11039" t="inlineStr">
        <is>
          <t>SOLLEFTEÅ</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54215-2023</t>
        </is>
      </c>
      <c r="B11040" s="1" t="n">
        <v>45232</v>
      </c>
      <c r="C11040" s="1" t="n">
        <v>45657</v>
      </c>
      <c r="D11040" t="inlineStr">
        <is>
          <t>VÄSTERNORRLANDS LÄN</t>
        </is>
      </c>
      <c r="E11040" t="inlineStr">
        <is>
          <t>ÖRNSKÖLDSVIK</t>
        </is>
      </c>
      <c r="F11040" t="inlineStr">
        <is>
          <t>Holmen skog AB</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54260-2023</t>
        </is>
      </c>
      <c r="B11041" s="1" t="n">
        <v>45232</v>
      </c>
      <c r="C11041" s="1" t="n">
        <v>45657</v>
      </c>
      <c r="D11041" t="inlineStr">
        <is>
          <t>VÄSTERNORRLANDS LÄN</t>
        </is>
      </c>
      <c r="E11041" t="inlineStr">
        <is>
          <t>ÖRNSKÖLDSVIK</t>
        </is>
      </c>
      <c r="F11041" t="inlineStr">
        <is>
          <t>Holmen skog AB</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54339-2023</t>
        </is>
      </c>
      <c r="B11042" s="1" t="n">
        <v>45233</v>
      </c>
      <c r="C11042" s="1" t="n">
        <v>45657</v>
      </c>
      <c r="D11042" t="inlineStr">
        <is>
          <t>VÄSTERNORRLANDS LÄN</t>
        </is>
      </c>
      <c r="E11042" t="inlineStr">
        <is>
          <t>ÅNGE</t>
        </is>
      </c>
      <c r="F11042" t="inlineStr">
        <is>
          <t>SCA</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54348-2023</t>
        </is>
      </c>
      <c r="B11043" s="1" t="n">
        <v>45233</v>
      </c>
      <c r="C11043" s="1" t="n">
        <v>45657</v>
      </c>
      <c r="D11043" t="inlineStr">
        <is>
          <t>VÄSTERNORRLANDS LÄN</t>
        </is>
      </c>
      <c r="E11043" t="inlineStr">
        <is>
          <t>SUNDSVALL</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56022-2023</t>
        </is>
      </c>
      <c r="B11044" s="1" t="n">
        <v>45233</v>
      </c>
      <c r="C11044" s="1" t="n">
        <v>45657</v>
      </c>
      <c r="D11044" t="inlineStr">
        <is>
          <t>VÄSTERNORRLANDS LÄN</t>
        </is>
      </c>
      <c r="E11044" t="inlineStr">
        <is>
          <t>ÖRNSKÖLDSVIK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54620-2023</t>
        </is>
      </c>
      <c r="B11045" s="1" t="n">
        <v>45233</v>
      </c>
      <c r="C11045" s="1" t="n">
        <v>45657</v>
      </c>
      <c r="D11045" t="inlineStr">
        <is>
          <t>VÄSTERNORRLANDS LÄN</t>
        </is>
      </c>
      <c r="E11045" t="inlineStr">
        <is>
          <t>SOLLEFTEÅ</t>
        </is>
      </c>
      <c r="F11045" t="inlineStr">
        <is>
          <t>SCA</t>
        </is>
      </c>
      <c r="G11045" t="n">
        <v>11.8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54617-2023</t>
        </is>
      </c>
      <c r="B11046" s="1" t="n">
        <v>45234</v>
      </c>
      <c r="C11046" s="1" t="n">
        <v>45657</v>
      </c>
      <c r="D11046" t="inlineStr">
        <is>
          <t>VÄSTERNORRLANDS LÄN</t>
        </is>
      </c>
      <c r="E11046" t="inlineStr">
        <is>
          <t>SOLLEFTEÅ</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54613-2023</t>
        </is>
      </c>
      <c r="B11047" s="1" t="n">
        <v>45233</v>
      </c>
      <c r="C11047" s="1" t="n">
        <v>45657</v>
      </c>
      <c r="D11047" t="inlineStr">
        <is>
          <t>VÄSTERNORRLANDS LÄN</t>
        </is>
      </c>
      <c r="E11047" t="inlineStr">
        <is>
          <t>ÅNGE</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54605-2023</t>
        </is>
      </c>
      <c r="B11048" s="1" t="n">
        <v>45233</v>
      </c>
      <c r="C11048" s="1" t="n">
        <v>45657</v>
      </c>
      <c r="D11048" t="inlineStr">
        <is>
          <t>VÄSTERNORRLANDS LÄN</t>
        </is>
      </c>
      <c r="E11048" t="inlineStr">
        <is>
          <t>SUNDSVALL</t>
        </is>
      </c>
      <c r="F11048" t="inlineStr">
        <is>
          <t>SCA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56040-2023</t>
        </is>
      </c>
      <c r="B11049" s="1" t="n">
        <v>45233</v>
      </c>
      <c r="C11049" s="1" t="n">
        <v>45657</v>
      </c>
      <c r="D11049" t="inlineStr">
        <is>
          <t>VÄSTERNORRLANDS LÄN</t>
        </is>
      </c>
      <c r="E11049" t="inlineStr">
        <is>
          <t>ÖRNSKÖLDSVIK</t>
        </is>
      </c>
      <c r="G11049" t="n">
        <v>8.300000000000001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54615-2023</t>
        </is>
      </c>
      <c r="B11050" s="1" t="n">
        <v>45233</v>
      </c>
      <c r="C11050" s="1" t="n">
        <v>45657</v>
      </c>
      <c r="D11050" t="inlineStr">
        <is>
          <t>VÄSTERNORRLANDS LÄN</t>
        </is>
      </c>
      <c r="E11050" t="inlineStr">
        <is>
          <t>SUNDSVALL</t>
        </is>
      </c>
      <c r="F11050" t="inlineStr">
        <is>
          <t>SCA</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54611-2023</t>
        </is>
      </c>
      <c r="B11051" s="1" t="n">
        <v>45233</v>
      </c>
      <c r="C11051" s="1" t="n">
        <v>45657</v>
      </c>
      <c r="D11051" t="inlineStr">
        <is>
          <t>VÄSTERNORRLANDS LÄN</t>
        </is>
      </c>
      <c r="E11051" t="inlineStr">
        <is>
          <t>ÅNGE</t>
        </is>
      </c>
      <c r="F11051" t="inlineStr">
        <is>
          <t>SCA</t>
        </is>
      </c>
      <c r="G11051" t="n">
        <v>6.2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54607-2023</t>
        </is>
      </c>
      <c r="B11052" s="1" t="n">
        <v>45233</v>
      </c>
      <c r="C11052" s="1" t="n">
        <v>45657</v>
      </c>
      <c r="D11052" t="inlineStr">
        <is>
          <t>VÄSTERNORRLANDS LÄN</t>
        </is>
      </c>
      <c r="E11052" t="inlineStr">
        <is>
          <t>SOLLEFTEÅ</t>
        </is>
      </c>
      <c r="F11052" t="inlineStr">
        <is>
          <t>SCA</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54510-2023</t>
        </is>
      </c>
      <c r="B11053" s="1" t="n">
        <v>45233</v>
      </c>
      <c r="C11053" s="1" t="n">
        <v>45657</v>
      </c>
      <c r="D11053" t="inlineStr">
        <is>
          <t>VÄSTERNORRLANDS LÄN</t>
        </is>
      </c>
      <c r="E11053" t="inlineStr">
        <is>
          <t>KRAMFORS</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54622-2023</t>
        </is>
      </c>
      <c r="B11054" s="1" t="n">
        <v>45233</v>
      </c>
      <c r="C11054" s="1" t="n">
        <v>45657</v>
      </c>
      <c r="D11054" t="inlineStr">
        <is>
          <t>VÄSTERNORRLANDS LÄN</t>
        </is>
      </c>
      <c r="E11054" t="inlineStr">
        <is>
          <t>SOLLEFTEÅ</t>
        </is>
      </c>
      <c r="F11054" t="inlineStr">
        <is>
          <t>SCA</t>
        </is>
      </c>
      <c r="G11054" t="n">
        <v>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54618-2023</t>
        </is>
      </c>
      <c r="B11055" s="1" t="n">
        <v>45233</v>
      </c>
      <c r="C11055" s="1" t="n">
        <v>45657</v>
      </c>
      <c r="D11055" t="inlineStr">
        <is>
          <t>VÄSTERNORRLANDS LÄN</t>
        </is>
      </c>
      <c r="E11055" t="inlineStr">
        <is>
          <t>SOLLEFTEÅ</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54614-2023</t>
        </is>
      </c>
      <c r="B11056" s="1" t="n">
        <v>45233</v>
      </c>
      <c r="C11056" s="1" t="n">
        <v>45657</v>
      </c>
      <c r="D11056" t="inlineStr">
        <is>
          <t>VÄSTERNORRLANDS LÄN</t>
        </is>
      </c>
      <c r="E11056" t="inlineStr">
        <is>
          <t>ÅNGE</t>
        </is>
      </c>
      <c r="F11056" t="inlineStr">
        <is>
          <t>SCA</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54610-2023</t>
        </is>
      </c>
      <c r="B11057" s="1" t="n">
        <v>45233</v>
      </c>
      <c r="C11057" s="1" t="n">
        <v>45657</v>
      </c>
      <c r="D11057" t="inlineStr">
        <is>
          <t>VÄSTERNORRLANDS LÄN</t>
        </is>
      </c>
      <c r="E11057" t="inlineStr">
        <is>
          <t>TIMRÅ</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54606-2023</t>
        </is>
      </c>
      <c r="B11058" s="1" t="n">
        <v>45233</v>
      </c>
      <c r="C11058" s="1" t="n">
        <v>45657</v>
      </c>
      <c r="D11058" t="inlineStr">
        <is>
          <t>VÄSTERNORRLANDS LÄN</t>
        </is>
      </c>
      <c r="E11058" t="inlineStr">
        <is>
          <t>SUNDSVALL</t>
        </is>
      </c>
      <c r="F11058" t="inlineStr">
        <is>
          <t>SCA</t>
        </is>
      </c>
      <c r="G11058" t="n">
        <v>21.3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54602-2023</t>
        </is>
      </c>
      <c r="B11059" s="1" t="n">
        <v>45233</v>
      </c>
      <c r="C11059" s="1" t="n">
        <v>45657</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54566-2023</t>
        </is>
      </c>
      <c r="B11060" s="1" t="n">
        <v>45233</v>
      </c>
      <c r="C11060" s="1" t="n">
        <v>45657</v>
      </c>
      <c r="D11060" t="inlineStr">
        <is>
          <t>VÄSTERNORRLANDS LÄN</t>
        </is>
      </c>
      <c r="E11060" t="inlineStr">
        <is>
          <t>ÅNGE</t>
        </is>
      </c>
      <c r="F11060" t="inlineStr">
        <is>
          <t>Sveaskog</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54642-2023</t>
        </is>
      </c>
      <c r="B11061" s="1" t="n">
        <v>45234</v>
      </c>
      <c r="C11061" s="1" t="n">
        <v>45657</v>
      </c>
      <c r="D11061" t="inlineStr">
        <is>
          <t>VÄSTERNORRLANDS LÄN</t>
        </is>
      </c>
      <c r="E11061" t="inlineStr">
        <is>
          <t>SOLLEFTEÅ</t>
        </is>
      </c>
      <c r="F11061" t="inlineStr">
        <is>
          <t>SCA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54639-2023</t>
        </is>
      </c>
      <c r="B11062" s="1" t="n">
        <v>45234</v>
      </c>
      <c r="C11062" s="1" t="n">
        <v>45657</v>
      </c>
      <c r="D11062" t="inlineStr">
        <is>
          <t>VÄSTERNORRLANDS LÄN</t>
        </is>
      </c>
      <c r="E11062" t="inlineStr">
        <is>
          <t>SUNDSVALL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54641-2023</t>
        </is>
      </c>
      <c r="B11063" s="1" t="n">
        <v>45234</v>
      </c>
      <c r="C11063" s="1" t="n">
        <v>45657</v>
      </c>
      <c r="D11063" t="inlineStr">
        <is>
          <t>VÄSTERNORRLANDS LÄN</t>
        </is>
      </c>
      <c r="E11063" t="inlineStr">
        <is>
          <t>SOLLEFTEÅ</t>
        </is>
      </c>
      <c r="F11063" t="inlineStr">
        <is>
          <t>SCA</t>
        </is>
      </c>
      <c r="G11063" t="n">
        <v>7.8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54675-2023</t>
        </is>
      </c>
      <c r="B11064" s="1" t="n">
        <v>45235</v>
      </c>
      <c r="C11064" s="1" t="n">
        <v>45657</v>
      </c>
      <c r="D11064" t="inlineStr">
        <is>
          <t>VÄSTERNORRLANDS LÄN</t>
        </is>
      </c>
      <c r="E11064" t="inlineStr">
        <is>
          <t>SUNDSVALL</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54674-2023</t>
        </is>
      </c>
      <c r="B11065" s="1" t="n">
        <v>45235</v>
      </c>
      <c r="C11065" s="1" t="n">
        <v>45657</v>
      </c>
      <c r="D11065" t="inlineStr">
        <is>
          <t>VÄSTERNORRLANDS LÄN</t>
        </is>
      </c>
      <c r="E11065" t="inlineStr">
        <is>
          <t>SUNDSVALL</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54707-2023</t>
        </is>
      </c>
      <c r="B11066" s="1" t="n">
        <v>45236</v>
      </c>
      <c r="C11066" s="1" t="n">
        <v>45657</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54739-2023</t>
        </is>
      </c>
      <c r="B11067" s="1" t="n">
        <v>45236</v>
      </c>
      <c r="C11067" s="1" t="n">
        <v>45657</v>
      </c>
      <c r="D11067" t="inlineStr">
        <is>
          <t>VÄSTERNORRLANDS LÄN</t>
        </is>
      </c>
      <c r="E11067" t="inlineStr">
        <is>
          <t>SUNDSVALL</t>
        </is>
      </c>
      <c r="F11067" t="inlineStr">
        <is>
          <t>Holmen skog AB</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54824-2023</t>
        </is>
      </c>
      <c r="B11068" s="1" t="n">
        <v>45236</v>
      </c>
      <c r="C11068" s="1" t="n">
        <v>45657</v>
      </c>
      <c r="D11068" t="inlineStr">
        <is>
          <t>VÄSTERNORRLANDS LÄN</t>
        </is>
      </c>
      <c r="E11068" t="inlineStr">
        <is>
          <t>ÖRNSKÖLDSVIK</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54979-2023</t>
        </is>
      </c>
      <c r="B11069" s="1" t="n">
        <v>45236</v>
      </c>
      <c r="C11069" s="1" t="n">
        <v>45657</v>
      </c>
      <c r="D11069" t="inlineStr">
        <is>
          <t>VÄSTERNORRLANDS LÄN</t>
        </is>
      </c>
      <c r="E11069" t="inlineStr">
        <is>
          <t>SOLLEFTEÅ</t>
        </is>
      </c>
      <c r="F11069" t="inlineStr">
        <is>
          <t>SCA</t>
        </is>
      </c>
      <c r="G11069" t="n">
        <v>11.8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54987-2023</t>
        </is>
      </c>
      <c r="B11070" s="1" t="n">
        <v>45236</v>
      </c>
      <c r="C11070" s="1" t="n">
        <v>45657</v>
      </c>
      <c r="D11070" t="inlineStr">
        <is>
          <t>VÄSTERNORRLANDS LÄN</t>
        </is>
      </c>
      <c r="E11070" t="inlineStr">
        <is>
          <t>SUNDSVALL</t>
        </is>
      </c>
      <c r="F11070" t="inlineStr">
        <is>
          <t>SCA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55003-2023</t>
        </is>
      </c>
      <c r="B11071" s="1" t="n">
        <v>45236</v>
      </c>
      <c r="C11071" s="1" t="n">
        <v>45657</v>
      </c>
      <c r="D11071" t="inlineStr">
        <is>
          <t>VÄSTERNORRLANDS LÄN</t>
        </is>
      </c>
      <c r="E11071" t="inlineStr">
        <is>
          <t>SUNDSVALL</t>
        </is>
      </c>
      <c r="F11071" t="inlineStr">
        <is>
          <t>SCA</t>
        </is>
      </c>
      <c r="G11071" t="n">
        <v>9.5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56148-2023</t>
        </is>
      </c>
      <c r="B11072" s="1" t="n">
        <v>45236</v>
      </c>
      <c r="C11072" s="1" t="n">
        <v>45657</v>
      </c>
      <c r="D11072" t="inlineStr">
        <is>
          <t>VÄSTERNORRLANDS LÄN</t>
        </is>
      </c>
      <c r="E11072" t="inlineStr">
        <is>
          <t>SOLLEFTEÅ</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54853-2023</t>
        </is>
      </c>
      <c r="B11073" s="1" t="n">
        <v>45236</v>
      </c>
      <c r="C11073" s="1" t="n">
        <v>45657</v>
      </c>
      <c r="D11073" t="inlineStr">
        <is>
          <t>VÄSTERNORRLANDS LÄN</t>
        </is>
      </c>
      <c r="E11073" t="inlineStr">
        <is>
          <t>ÖRNSKÖLDSVIK</t>
        </is>
      </c>
      <c r="F11073" t="inlineStr">
        <is>
          <t>Holmen skog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54900-2023</t>
        </is>
      </c>
      <c r="B11074" s="1" t="n">
        <v>45236</v>
      </c>
      <c r="C11074" s="1" t="n">
        <v>45657</v>
      </c>
      <c r="D11074" t="inlineStr">
        <is>
          <t>VÄSTERNORRLANDS LÄN</t>
        </is>
      </c>
      <c r="E11074" t="inlineStr">
        <is>
          <t>ÖRNSKÖLDSVIK</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54972-2023</t>
        </is>
      </c>
      <c r="B11075" s="1" t="n">
        <v>45236</v>
      </c>
      <c r="C11075" s="1" t="n">
        <v>45657</v>
      </c>
      <c r="D11075" t="inlineStr">
        <is>
          <t>VÄSTERNORRLANDS LÄN</t>
        </is>
      </c>
      <c r="E11075" t="inlineStr">
        <is>
          <t>KRAMFORS</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54976-2023</t>
        </is>
      </c>
      <c r="B11076" s="1" t="n">
        <v>45236</v>
      </c>
      <c r="C11076" s="1" t="n">
        <v>45657</v>
      </c>
      <c r="D11076" t="inlineStr">
        <is>
          <t>VÄSTERNORRLANDS LÄN</t>
        </is>
      </c>
      <c r="E11076" t="inlineStr">
        <is>
          <t>SUNDSVALL</t>
        </is>
      </c>
      <c r="F11076" t="inlineStr">
        <is>
          <t>Kyrkan</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54988-2023</t>
        </is>
      </c>
      <c r="B11077" s="1" t="n">
        <v>45236</v>
      </c>
      <c r="C11077" s="1" t="n">
        <v>45657</v>
      </c>
      <c r="D11077" t="inlineStr">
        <is>
          <t>VÄSTERNORRLANDS LÄN</t>
        </is>
      </c>
      <c r="E11077" t="inlineStr">
        <is>
          <t>SUNDSVALL</t>
        </is>
      </c>
      <c r="F11077" t="inlineStr">
        <is>
          <t>SCA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54896-2023</t>
        </is>
      </c>
      <c r="B11078" s="1" t="n">
        <v>45236</v>
      </c>
      <c r="C11078" s="1" t="n">
        <v>45657</v>
      </c>
      <c r="D11078" t="inlineStr">
        <is>
          <t>VÄSTERNORRLANDS LÄN</t>
        </is>
      </c>
      <c r="E11078" t="inlineStr">
        <is>
          <t>ÖRNSKÖLDSVIK</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54978-2023</t>
        </is>
      </c>
      <c r="B11079" s="1" t="n">
        <v>45237</v>
      </c>
      <c r="C11079" s="1" t="n">
        <v>45657</v>
      </c>
      <c r="D11079" t="inlineStr">
        <is>
          <t>VÄSTERNORRLANDS LÄN</t>
        </is>
      </c>
      <c r="E11079" t="inlineStr">
        <is>
          <t>SOLLEFTEÅ</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54982-2023</t>
        </is>
      </c>
      <c r="B11080" s="1" t="n">
        <v>45236</v>
      </c>
      <c r="C11080" s="1" t="n">
        <v>45657</v>
      </c>
      <c r="D11080" t="inlineStr">
        <is>
          <t>VÄSTERNORRLANDS LÄN</t>
        </is>
      </c>
      <c r="E11080" t="inlineStr">
        <is>
          <t>ÅNGE</t>
        </is>
      </c>
      <c r="F11080" t="inlineStr">
        <is>
          <t>SCA</t>
        </is>
      </c>
      <c r="G11080" t="n">
        <v>26.2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54990-2023</t>
        </is>
      </c>
      <c r="B11081" s="1" t="n">
        <v>45237</v>
      </c>
      <c r="C11081" s="1" t="n">
        <v>45657</v>
      </c>
      <c r="D11081" t="inlineStr">
        <is>
          <t>VÄSTERNORRLANDS LÄN</t>
        </is>
      </c>
      <c r="E11081" t="inlineStr">
        <is>
          <t>ÖRNSKÖLDSVIK</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56347-2023</t>
        </is>
      </c>
      <c r="B11082" s="1" t="n">
        <v>45236</v>
      </c>
      <c r="C11082" s="1" t="n">
        <v>45657</v>
      </c>
      <c r="D11082" t="inlineStr">
        <is>
          <t>VÄSTERNORRLANDS LÄN</t>
        </is>
      </c>
      <c r="E11082" t="inlineStr">
        <is>
          <t>KRAMFORS</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54799-2023</t>
        </is>
      </c>
      <c r="B11083" s="1" t="n">
        <v>45236</v>
      </c>
      <c r="C11083" s="1" t="n">
        <v>45657</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54913-2023</t>
        </is>
      </c>
      <c r="B11084" s="1" t="n">
        <v>45236</v>
      </c>
      <c r="C11084" s="1" t="n">
        <v>45657</v>
      </c>
      <c r="D11084" t="inlineStr">
        <is>
          <t>VÄSTERNORRLANDS LÄN</t>
        </is>
      </c>
      <c r="E11084" t="inlineStr">
        <is>
          <t>ÖRNSKÖLDSVIK</t>
        </is>
      </c>
      <c r="F11084" t="inlineStr">
        <is>
          <t>Holmen skog AB</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54939-2023</t>
        </is>
      </c>
      <c r="B11085" s="1" t="n">
        <v>45236</v>
      </c>
      <c r="C11085" s="1" t="n">
        <v>45657</v>
      </c>
      <c r="D11085" t="inlineStr">
        <is>
          <t>VÄSTERNORRLANDS LÄN</t>
        </is>
      </c>
      <c r="E11085" t="inlineStr">
        <is>
          <t>ÖRNSKÖLDSVIK</t>
        </is>
      </c>
      <c r="F11085" t="inlineStr">
        <is>
          <t>Holmen skog AB</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54977-2023</t>
        </is>
      </c>
      <c r="B11086" s="1" t="n">
        <v>45236</v>
      </c>
      <c r="C11086" s="1" t="n">
        <v>45657</v>
      </c>
      <c r="D11086" t="inlineStr">
        <is>
          <t>VÄSTERNORRLANDS LÄN</t>
        </is>
      </c>
      <c r="E11086" t="inlineStr">
        <is>
          <t>SUNDSVALL</t>
        </is>
      </c>
      <c r="F11086" t="inlineStr">
        <is>
          <t>Kyrkan</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54989-2023</t>
        </is>
      </c>
      <c r="B11087" s="1" t="n">
        <v>45236</v>
      </c>
      <c r="C11087" s="1" t="n">
        <v>45657</v>
      </c>
      <c r="D11087" t="inlineStr">
        <is>
          <t>VÄSTERNORRLANDS LÄN</t>
        </is>
      </c>
      <c r="E11087" t="inlineStr">
        <is>
          <t>SUNDSVALL</t>
        </is>
      </c>
      <c r="F11087" t="inlineStr">
        <is>
          <t>SCA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55005-2023</t>
        </is>
      </c>
      <c r="B11088" s="1" t="n">
        <v>45236</v>
      </c>
      <c r="C11088" s="1" t="n">
        <v>45657</v>
      </c>
      <c r="D11088" t="inlineStr">
        <is>
          <t>VÄSTERNORRLANDS LÄN</t>
        </is>
      </c>
      <c r="E11088" t="inlineStr">
        <is>
          <t>SOLLEFTEÅ</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56329-2023</t>
        </is>
      </c>
      <c r="B11089" s="1" t="n">
        <v>45236</v>
      </c>
      <c r="C11089" s="1" t="n">
        <v>45657</v>
      </c>
      <c r="D11089" t="inlineStr">
        <is>
          <t>VÄSTERNORRLANDS LÄN</t>
        </is>
      </c>
      <c r="E11089" t="inlineStr">
        <is>
          <t>KRAMFORS</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56325-2023</t>
        </is>
      </c>
      <c r="B11090" s="1" t="n">
        <v>45236</v>
      </c>
      <c r="C11090" s="1" t="n">
        <v>45657</v>
      </c>
      <c r="D11090" t="inlineStr">
        <is>
          <t>VÄSTERNORRLANDS LÄN</t>
        </is>
      </c>
      <c r="E11090" t="inlineStr">
        <is>
          <t>KRAMFORS</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56339-2023</t>
        </is>
      </c>
      <c r="B11091" s="1" t="n">
        <v>45236</v>
      </c>
      <c r="C11091" s="1" t="n">
        <v>45657</v>
      </c>
      <c r="D11091" t="inlineStr">
        <is>
          <t>VÄSTERNORRLANDS LÄN</t>
        </is>
      </c>
      <c r="E11091" t="inlineStr">
        <is>
          <t>KRAMFORS</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56356-2023</t>
        </is>
      </c>
      <c r="B11092" s="1" t="n">
        <v>45236</v>
      </c>
      <c r="C11092" s="1" t="n">
        <v>45657</v>
      </c>
      <c r="D11092" t="inlineStr">
        <is>
          <t>VÄSTERNORRLANDS LÄN</t>
        </is>
      </c>
      <c r="E11092" t="inlineStr">
        <is>
          <t>SOLLEFTEÅ</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55023-2023</t>
        </is>
      </c>
      <c r="B11093" s="1" t="n">
        <v>45237</v>
      </c>
      <c r="C11093" s="1" t="n">
        <v>45657</v>
      </c>
      <c r="D11093" t="inlineStr">
        <is>
          <t>VÄSTERNORRLANDS LÄN</t>
        </is>
      </c>
      <c r="E11093" t="inlineStr">
        <is>
          <t>ÖRNSKÖLDSVIK</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55021-2023</t>
        </is>
      </c>
      <c r="B11094" s="1" t="n">
        <v>45237</v>
      </c>
      <c r="C11094" s="1" t="n">
        <v>45657</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55125-2023</t>
        </is>
      </c>
      <c r="B11095" s="1" t="n">
        <v>45237</v>
      </c>
      <c r="C11095" s="1" t="n">
        <v>45657</v>
      </c>
      <c r="D11095" t="inlineStr">
        <is>
          <t>VÄSTERNORRLANDS LÄN</t>
        </is>
      </c>
      <c r="E11095" t="inlineStr">
        <is>
          <t>KRAMFORS</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55231-2023</t>
        </is>
      </c>
      <c r="B11096" s="1" t="n">
        <v>45237</v>
      </c>
      <c r="C11096" s="1" t="n">
        <v>45657</v>
      </c>
      <c r="D11096" t="inlineStr">
        <is>
          <t>VÄSTERNORRLANDS LÄN</t>
        </is>
      </c>
      <c r="E11096" t="inlineStr">
        <is>
          <t>KRAMFORS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55165-2023</t>
        </is>
      </c>
      <c r="B11097" s="1" t="n">
        <v>45237</v>
      </c>
      <c r="C11097" s="1" t="n">
        <v>45657</v>
      </c>
      <c r="D11097" t="inlineStr">
        <is>
          <t>VÄSTERNORRLANDS LÄN</t>
        </is>
      </c>
      <c r="E11097" t="inlineStr">
        <is>
          <t>ÖRNSKÖLDSVIK</t>
        </is>
      </c>
      <c r="F11097" t="inlineStr">
        <is>
          <t>Holmen skog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55320-2023</t>
        </is>
      </c>
      <c r="B11098" s="1" t="n">
        <v>45237</v>
      </c>
      <c r="C11098" s="1" t="n">
        <v>45657</v>
      </c>
      <c r="D11098" t="inlineStr">
        <is>
          <t>VÄSTERNORRLANDS LÄN</t>
        </is>
      </c>
      <c r="E11098" t="inlineStr">
        <is>
          <t>SUNDSVALL</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55329-2023</t>
        </is>
      </c>
      <c r="B11099" s="1" t="n">
        <v>45237</v>
      </c>
      <c r="C11099" s="1" t="n">
        <v>45657</v>
      </c>
      <c r="D11099" t="inlineStr">
        <is>
          <t>VÄSTERNORRLANDS LÄN</t>
        </is>
      </c>
      <c r="E11099" t="inlineStr">
        <is>
          <t>ÅNGE</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55324-2023</t>
        </is>
      </c>
      <c r="B11100" s="1" t="n">
        <v>45238</v>
      </c>
      <c r="C11100" s="1" t="n">
        <v>45657</v>
      </c>
      <c r="D11100" t="inlineStr">
        <is>
          <t>VÄSTERNORRLANDS LÄN</t>
        </is>
      </c>
      <c r="E11100" t="inlineStr">
        <is>
          <t>ÅNGE</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55328-2023</t>
        </is>
      </c>
      <c r="B11101" s="1" t="n">
        <v>45237</v>
      </c>
      <c r="C11101" s="1" t="n">
        <v>45657</v>
      </c>
      <c r="D11101" t="inlineStr">
        <is>
          <t>VÄSTERNORRLANDS LÄN</t>
        </is>
      </c>
      <c r="E11101" t="inlineStr">
        <is>
          <t>ÅNGE</t>
        </is>
      </c>
      <c r="F11101" t="inlineStr">
        <is>
          <t>SCA</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55318-2023</t>
        </is>
      </c>
      <c r="B11102" s="1" t="n">
        <v>45237</v>
      </c>
      <c r="C11102" s="1" t="n">
        <v>45657</v>
      </c>
      <c r="D11102" t="inlineStr">
        <is>
          <t>VÄSTERNORRLANDS LÄN</t>
        </is>
      </c>
      <c r="E11102" t="inlineStr">
        <is>
          <t>ÖRNSKÖLDSVIK</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55337-2023</t>
        </is>
      </c>
      <c r="B11103" s="1" t="n">
        <v>45237</v>
      </c>
      <c r="C11103" s="1" t="n">
        <v>45657</v>
      </c>
      <c r="D11103" t="inlineStr">
        <is>
          <t>VÄSTERNORRLANDS LÄN</t>
        </is>
      </c>
      <c r="E11103" t="inlineStr">
        <is>
          <t>SUNDSVALL</t>
        </is>
      </c>
      <c r="F11103" t="inlineStr">
        <is>
          <t>SCA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55341-2023</t>
        </is>
      </c>
      <c r="B11104" s="1" t="n">
        <v>45237</v>
      </c>
      <c r="C11104" s="1" t="n">
        <v>45657</v>
      </c>
      <c r="D11104" t="inlineStr">
        <is>
          <t>VÄSTERNORRLANDS LÄN</t>
        </is>
      </c>
      <c r="E11104" t="inlineStr">
        <is>
          <t>SUNDSVALL</t>
        </is>
      </c>
      <c r="F11104" t="inlineStr">
        <is>
          <t>SCA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56416-2023</t>
        </is>
      </c>
      <c r="B11105" s="1" t="n">
        <v>45237</v>
      </c>
      <c r="C11105" s="1" t="n">
        <v>45657</v>
      </c>
      <c r="D11105" t="inlineStr">
        <is>
          <t>VÄSTERNORRLANDS LÄN</t>
        </is>
      </c>
      <c r="E11105" t="inlineStr">
        <is>
          <t>SOLLEFTEÅ</t>
        </is>
      </c>
      <c r="G11105" t="n">
        <v>11.2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56431-2023</t>
        </is>
      </c>
      <c r="B11106" s="1" t="n">
        <v>45237</v>
      </c>
      <c r="C11106" s="1" t="n">
        <v>45657</v>
      </c>
      <c r="D11106" t="inlineStr">
        <is>
          <t>VÄSTERNORRLANDS LÄN</t>
        </is>
      </c>
      <c r="E11106" t="inlineStr">
        <is>
          <t>SOLLEFTEÅ</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55338-2023</t>
        </is>
      </c>
      <c r="B11107" s="1" t="n">
        <v>45238</v>
      </c>
      <c r="C11107" s="1" t="n">
        <v>45657</v>
      </c>
      <c r="D11107" t="inlineStr">
        <is>
          <t>VÄSTERNORRLANDS LÄN</t>
        </is>
      </c>
      <c r="E11107" t="inlineStr">
        <is>
          <t>SOLLEFTEÅ</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55342-2023</t>
        </is>
      </c>
      <c r="B11108" s="1" t="n">
        <v>45237</v>
      </c>
      <c r="C11108" s="1" t="n">
        <v>45657</v>
      </c>
      <c r="D11108" t="inlineStr">
        <is>
          <t>VÄSTERNORRLANDS LÄN</t>
        </is>
      </c>
      <c r="E11108" t="inlineStr">
        <is>
          <t>SUNDSVALL</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55339-2023</t>
        </is>
      </c>
      <c r="B11109" s="1" t="n">
        <v>45238</v>
      </c>
      <c r="C11109" s="1" t="n">
        <v>45657</v>
      </c>
      <c r="D11109" t="inlineStr">
        <is>
          <t>VÄSTERNORRLANDS LÄN</t>
        </is>
      </c>
      <c r="E11109" t="inlineStr">
        <is>
          <t>SUNDSVALL</t>
        </is>
      </c>
      <c r="F11109" t="inlineStr">
        <is>
          <t>SCA</t>
        </is>
      </c>
      <c r="G11109" t="n">
        <v>12.1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56424-2023</t>
        </is>
      </c>
      <c r="B11110" s="1" t="n">
        <v>45237</v>
      </c>
      <c r="C11110" s="1" t="n">
        <v>45657</v>
      </c>
      <c r="D11110" t="inlineStr">
        <is>
          <t>VÄSTERNORRLANDS LÄN</t>
        </is>
      </c>
      <c r="E11110" t="inlineStr">
        <is>
          <t>SOLLEFTEÅ</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55490-2023</t>
        </is>
      </c>
      <c r="B11111" s="1" t="n">
        <v>45238</v>
      </c>
      <c r="C11111" s="1" t="n">
        <v>45657</v>
      </c>
      <c r="D11111" t="inlineStr">
        <is>
          <t>VÄSTERNORRLANDS LÄN</t>
        </is>
      </c>
      <c r="E11111" t="inlineStr">
        <is>
          <t>ÖRNSKÖLDSVIK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55494-2023</t>
        </is>
      </c>
      <c r="B11112" s="1" t="n">
        <v>45238</v>
      </c>
      <c r="C11112" s="1" t="n">
        <v>45657</v>
      </c>
      <c r="D11112" t="inlineStr">
        <is>
          <t>VÄSTERNORRLANDS LÄN</t>
        </is>
      </c>
      <c r="E11112" t="inlineStr">
        <is>
          <t>ÖRNSKÖLDSVIK</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55382-2023</t>
        </is>
      </c>
      <c r="B11113" s="1" t="n">
        <v>45238</v>
      </c>
      <c r="C11113" s="1" t="n">
        <v>45657</v>
      </c>
      <c r="D11113" t="inlineStr">
        <is>
          <t>VÄSTERNORRLANDS LÄN</t>
        </is>
      </c>
      <c r="E11113" t="inlineStr">
        <is>
          <t>ÖRNSKÖLDSVIK</t>
        </is>
      </c>
      <c r="F11113" t="inlineStr">
        <is>
          <t>Holmen skog AB</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55488-2023</t>
        </is>
      </c>
      <c r="B11114" s="1" t="n">
        <v>45238</v>
      </c>
      <c r="C11114" s="1" t="n">
        <v>45657</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55493-2023</t>
        </is>
      </c>
      <c r="B11115" s="1" t="n">
        <v>45238</v>
      </c>
      <c r="C11115" s="1" t="n">
        <v>45657</v>
      </c>
      <c r="D11115" t="inlineStr">
        <is>
          <t>VÄSTERNORRLANDS LÄN</t>
        </is>
      </c>
      <c r="E11115" t="inlineStr">
        <is>
          <t>ÖRNSKÖLDSVIK</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55637-2023</t>
        </is>
      </c>
      <c r="B11116" s="1" t="n">
        <v>45238</v>
      </c>
      <c r="C11116" s="1" t="n">
        <v>45657</v>
      </c>
      <c r="D11116" t="inlineStr">
        <is>
          <t>VÄSTERNORRLANDS LÄN</t>
        </is>
      </c>
      <c r="E11116" t="inlineStr">
        <is>
          <t>SOLLEFTEÅ</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55641-2023</t>
        </is>
      </c>
      <c r="B11117" s="1" t="n">
        <v>45238</v>
      </c>
      <c r="C11117" s="1" t="n">
        <v>45657</v>
      </c>
      <c r="D11117" t="inlineStr">
        <is>
          <t>VÄSTERNORRLANDS LÄN</t>
        </is>
      </c>
      <c r="E11117" t="inlineStr">
        <is>
          <t>ÖRNSKÖLDSVIK</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55653-2023</t>
        </is>
      </c>
      <c r="B11118" s="1" t="n">
        <v>45239</v>
      </c>
      <c r="C11118" s="1" t="n">
        <v>45657</v>
      </c>
      <c r="D11118" t="inlineStr">
        <is>
          <t>VÄSTERNORRLANDS LÄN</t>
        </is>
      </c>
      <c r="E11118" t="inlineStr">
        <is>
          <t>SOLLEFTEÅ</t>
        </is>
      </c>
      <c r="F11118" t="inlineStr">
        <is>
          <t>SCA</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55622-2023</t>
        </is>
      </c>
      <c r="B11119" s="1" t="n">
        <v>45238</v>
      </c>
      <c r="C11119" s="1" t="n">
        <v>45657</v>
      </c>
      <c r="D11119" t="inlineStr">
        <is>
          <t>VÄSTERNORRLANDS LÄN</t>
        </is>
      </c>
      <c r="E11119" t="inlineStr">
        <is>
          <t>SOLLEFTEÅ</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55638-2023</t>
        </is>
      </c>
      <c r="B11120" s="1" t="n">
        <v>45238</v>
      </c>
      <c r="C11120" s="1" t="n">
        <v>45657</v>
      </c>
      <c r="D11120" t="inlineStr">
        <is>
          <t>VÄSTERNORRLANDS LÄN</t>
        </is>
      </c>
      <c r="E11120" t="inlineStr">
        <is>
          <t>SOLLEFTEÅ</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55650-2023</t>
        </is>
      </c>
      <c r="B11121" s="1" t="n">
        <v>45239</v>
      </c>
      <c r="C11121" s="1" t="n">
        <v>45657</v>
      </c>
      <c r="D11121" t="inlineStr">
        <is>
          <t>VÄSTERNORRLANDS LÄN</t>
        </is>
      </c>
      <c r="E11121" t="inlineStr">
        <is>
          <t>SOLLEFTEÅ</t>
        </is>
      </c>
      <c r="F11121" t="inlineStr">
        <is>
          <t>SCA</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55654-2023</t>
        </is>
      </c>
      <c r="B11122" s="1" t="n">
        <v>45239</v>
      </c>
      <c r="C11122" s="1" t="n">
        <v>45657</v>
      </c>
      <c r="D11122" t="inlineStr">
        <is>
          <t>VÄSTERNORRLANDS LÄN</t>
        </is>
      </c>
      <c r="E11122" t="inlineStr">
        <is>
          <t>SOLLEFTEÅ</t>
        </is>
      </c>
      <c r="F11122" t="inlineStr">
        <is>
          <t>SCA</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55640-2023</t>
        </is>
      </c>
      <c r="B11123" s="1" t="n">
        <v>45238</v>
      </c>
      <c r="C11123" s="1" t="n">
        <v>45657</v>
      </c>
      <c r="D11123" t="inlineStr">
        <is>
          <t>VÄSTERNORRLANDS LÄN</t>
        </is>
      </c>
      <c r="E11123" t="inlineStr">
        <is>
          <t>ÖRNSKÖLDSVIK</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55652-2023</t>
        </is>
      </c>
      <c r="B11124" s="1" t="n">
        <v>45238</v>
      </c>
      <c r="C11124" s="1" t="n">
        <v>45657</v>
      </c>
      <c r="D11124" t="inlineStr">
        <is>
          <t>VÄSTERNORRLANDS LÄN</t>
        </is>
      </c>
      <c r="E11124" t="inlineStr">
        <is>
          <t>SOLLEFTEÅ</t>
        </is>
      </c>
      <c r="F11124" t="inlineStr">
        <is>
          <t>SCA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55664-2023</t>
        </is>
      </c>
      <c r="B11125" s="1" t="n">
        <v>45239</v>
      </c>
      <c r="C11125" s="1" t="n">
        <v>45657</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55673-2023</t>
        </is>
      </c>
      <c r="B11126" s="1" t="n">
        <v>45238</v>
      </c>
      <c r="C11126" s="1" t="n">
        <v>45657</v>
      </c>
      <c r="D11126" t="inlineStr">
        <is>
          <t>VÄSTERNORRLANDS LÄN</t>
        </is>
      </c>
      <c r="E11126" t="inlineStr">
        <is>
          <t>TIMRÅ</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56558-2023</t>
        </is>
      </c>
      <c r="B11127" s="1" t="n">
        <v>45238</v>
      </c>
      <c r="C11127" s="1" t="n">
        <v>45657</v>
      </c>
      <c r="D11127" t="inlineStr">
        <is>
          <t>VÄSTERNORRLANDS LÄN</t>
        </is>
      </c>
      <c r="E11127" t="inlineStr">
        <is>
          <t>ÖRNSKÖLDSVIK</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56584-2023</t>
        </is>
      </c>
      <c r="B11128" s="1" t="n">
        <v>45238</v>
      </c>
      <c r="C11128" s="1" t="n">
        <v>45657</v>
      </c>
      <c r="D11128" t="inlineStr">
        <is>
          <t>VÄSTERNORRLANDS LÄN</t>
        </is>
      </c>
      <c r="E11128" t="inlineStr">
        <is>
          <t>ÖRNSKÖLDSVIK</t>
        </is>
      </c>
      <c r="F11128" t="inlineStr">
        <is>
          <t>Kyrkan</t>
        </is>
      </c>
      <c r="G11128" t="n">
        <v>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55670-2023</t>
        </is>
      </c>
      <c r="B11129" s="1" t="n">
        <v>45239</v>
      </c>
      <c r="C11129" s="1" t="n">
        <v>45657</v>
      </c>
      <c r="D11129" t="inlineStr">
        <is>
          <t>VÄSTERNORRLANDS LÄN</t>
        </is>
      </c>
      <c r="E11129" t="inlineStr">
        <is>
          <t>ÅNGE</t>
        </is>
      </c>
      <c r="F11129" t="inlineStr">
        <is>
          <t>SCA</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56519-2023</t>
        </is>
      </c>
      <c r="B11130" s="1" t="n">
        <v>45238</v>
      </c>
      <c r="C11130" s="1" t="n">
        <v>45657</v>
      </c>
      <c r="D11130" t="inlineStr">
        <is>
          <t>VÄSTERNORRLANDS LÄN</t>
        </is>
      </c>
      <c r="E11130" t="inlineStr">
        <is>
          <t>ÅNGE</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56549-2023</t>
        </is>
      </c>
      <c r="B11131" s="1" t="n">
        <v>45238</v>
      </c>
      <c r="C11131" s="1" t="n">
        <v>45657</v>
      </c>
      <c r="D11131" t="inlineStr">
        <is>
          <t>VÄSTERNORRLANDS LÄN</t>
        </is>
      </c>
      <c r="E11131" t="inlineStr">
        <is>
          <t>ÖRNSKÖLDSVIK</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55349-2023</t>
        </is>
      </c>
      <c r="B11132" s="1" t="n">
        <v>45238</v>
      </c>
      <c r="C11132" s="1" t="n">
        <v>45657</v>
      </c>
      <c r="D11132" t="inlineStr">
        <is>
          <t>VÄSTERNORRLANDS LÄN</t>
        </is>
      </c>
      <c r="E11132" t="inlineStr">
        <is>
          <t>SUNDSVALL</t>
        </is>
      </c>
      <c r="F11132" t="inlineStr">
        <is>
          <t>Holmen skog AB</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55639-2023</t>
        </is>
      </c>
      <c r="B11133" s="1" t="n">
        <v>45238</v>
      </c>
      <c r="C11133" s="1" t="n">
        <v>45657</v>
      </c>
      <c r="D11133" t="inlineStr">
        <is>
          <t>VÄSTERNORRLANDS LÄN</t>
        </is>
      </c>
      <c r="E11133" t="inlineStr">
        <is>
          <t>ÖRNSKÖLDSVIK</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55651-2023</t>
        </is>
      </c>
      <c r="B11134" s="1" t="n">
        <v>45238</v>
      </c>
      <c r="C11134" s="1" t="n">
        <v>45657</v>
      </c>
      <c r="D11134" t="inlineStr">
        <is>
          <t>VÄSTERNORRLANDS LÄN</t>
        </is>
      </c>
      <c r="E11134" t="inlineStr">
        <is>
          <t>SOLLEFTEÅ</t>
        </is>
      </c>
      <c r="F11134" t="inlineStr">
        <is>
          <t>SCA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56567-2023</t>
        </is>
      </c>
      <c r="B11135" s="1" t="n">
        <v>45238</v>
      </c>
      <c r="C11135" s="1" t="n">
        <v>45657</v>
      </c>
      <c r="D11135" t="inlineStr">
        <is>
          <t>VÄSTERNORRLANDS LÄN</t>
        </is>
      </c>
      <c r="E11135" t="inlineStr">
        <is>
          <t>ÖRNSKÖLDSVIK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55768-2023</t>
        </is>
      </c>
      <c r="B11136" s="1" t="n">
        <v>45239</v>
      </c>
      <c r="C11136" s="1" t="n">
        <v>45657</v>
      </c>
      <c r="D11136" t="inlineStr">
        <is>
          <t>VÄSTERNORRLANDS LÄN</t>
        </is>
      </c>
      <c r="E11136" t="inlineStr">
        <is>
          <t>SUNDSVALL</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55792-2023</t>
        </is>
      </c>
      <c r="B11137" s="1" t="n">
        <v>45239</v>
      </c>
      <c r="C11137" s="1" t="n">
        <v>45657</v>
      </c>
      <c r="D11137" t="inlineStr">
        <is>
          <t>VÄSTERNORRLANDS LÄN</t>
        </is>
      </c>
      <c r="E11137" t="inlineStr">
        <is>
          <t>ÖRNSKÖLDSVIK</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55687-2023</t>
        </is>
      </c>
      <c r="B11138" s="1" t="n">
        <v>45239</v>
      </c>
      <c r="C11138" s="1" t="n">
        <v>45657</v>
      </c>
      <c r="D11138" t="inlineStr">
        <is>
          <t>VÄSTERNORRLANDS LÄN</t>
        </is>
      </c>
      <c r="E11138" t="inlineStr">
        <is>
          <t>SOLLEFTEÅ</t>
        </is>
      </c>
      <c r="F11138" t="inlineStr">
        <is>
          <t>Holmen skog AB</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55774-2023</t>
        </is>
      </c>
      <c r="B11139" s="1" t="n">
        <v>45239</v>
      </c>
      <c r="C11139" s="1" t="n">
        <v>45657</v>
      </c>
      <c r="D11139" t="inlineStr">
        <is>
          <t>VÄSTERNORRLANDS LÄN</t>
        </is>
      </c>
      <c r="E11139" t="inlineStr">
        <is>
          <t>ÖRNSKÖLDSVIK</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55805-2023</t>
        </is>
      </c>
      <c r="B11140" s="1" t="n">
        <v>45239</v>
      </c>
      <c r="C11140" s="1" t="n">
        <v>45657</v>
      </c>
      <c r="D11140" t="inlineStr">
        <is>
          <t>VÄSTERNORRLANDS LÄN</t>
        </is>
      </c>
      <c r="E11140" t="inlineStr">
        <is>
          <t>KRAMFORS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55849-2023</t>
        </is>
      </c>
      <c r="B11141" s="1" t="n">
        <v>45239</v>
      </c>
      <c r="C11141" s="1" t="n">
        <v>45657</v>
      </c>
      <c r="D11141" t="inlineStr">
        <is>
          <t>VÄSTERNORRLANDS LÄN</t>
        </is>
      </c>
      <c r="E11141" t="inlineStr">
        <is>
          <t>KRAMFORS</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55859-2023</t>
        </is>
      </c>
      <c r="B11142" s="1" t="n">
        <v>45239</v>
      </c>
      <c r="C11142" s="1" t="n">
        <v>45657</v>
      </c>
      <c r="D11142" t="inlineStr">
        <is>
          <t>VÄSTERNORRLANDS LÄN</t>
        </is>
      </c>
      <c r="E11142" t="inlineStr">
        <is>
          <t>SOLLEFTEÅ</t>
        </is>
      </c>
      <c r="F11142" t="inlineStr">
        <is>
          <t>Kommuner</t>
        </is>
      </c>
      <c r="G11142" t="n">
        <v>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55910-2023</t>
        </is>
      </c>
      <c r="B11143" s="1" t="n">
        <v>45239</v>
      </c>
      <c r="C11143" s="1" t="n">
        <v>45657</v>
      </c>
      <c r="D11143" t="inlineStr">
        <is>
          <t>VÄSTERNORRLANDS LÄN</t>
        </is>
      </c>
      <c r="E11143" t="inlineStr">
        <is>
          <t>SOLLEFTEÅ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55926-2023</t>
        </is>
      </c>
      <c r="B11144" s="1" t="n">
        <v>45239</v>
      </c>
      <c r="C11144" s="1" t="n">
        <v>45657</v>
      </c>
      <c r="D11144" t="inlineStr">
        <is>
          <t>VÄSTERNORRLANDS LÄN</t>
        </is>
      </c>
      <c r="E11144" t="inlineStr">
        <is>
          <t>HÄRNÖSAND</t>
        </is>
      </c>
      <c r="F11144" t="inlineStr">
        <is>
          <t>SCA</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55904-2023</t>
        </is>
      </c>
      <c r="B11145" s="1" t="n">
        <v>45239</v>
      </c>
      <c r="C11145" s="1" t="n">
        <v>45657</v>
      </c>
      <c r="D11145" t="inlineStr">
        <is>
          <t>VÄSTERNORRLANDS LÄN</t>
        </is>
      </c>
      <c r="E11145" t="inlineStr">
        <is>
          <t>HÄRNÖSAND</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55912-2023</t>
        </is>
      </c>
      <c r="B11146" s="1" t="n">
        <v>45239</v>
      </c>
      <c r="C11146" s="1" t="n">
        <v>45657</v>
      </c>
      <c r="D11146" t="inlineStr">
        <is>
          <t>VÄSTERNORRLANDS LÄN</t>
        </is>
      </c>
      <c r="E11146" t="inlineStr">
        <is>
          <t>SOLLEFTEÅ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55916-2023</t>
        </is>
      </c>
      <c r="B11147" s="1" t="n">
        <v>45240</v>
      </c>
      <c r="C11147" s="1" t="n">
        <v>45657</v>
      </c>
      <c r="D11147" t="inlineStr">
        <is>
          <t>VÄSTERNORRLANDS LÄN</t>
        </is>
      </c>
      <c r="E11147" t="inlineStr">
        <is>
          <t>SUNDSVALL</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55924-2023</t>
        </is>
      </c>
      <c r="B11148" s="1" t="n">
        <v>45239</v>
      </c>
      <c r="C11148" s="1" t="n">
        <v>45657</v>
      </c>
      <c r="D11148" t="inlineStr">
        <is>
          <t>VÄSTERNORRLANDS LÄN</t>
        </is>
      </c>
      <c r="E11148" t="inlineStr">
        <is>
          <t>ÅNGE</t>
        </is>
      </c>
      <c r="F11148" t="inlineStr">
        <is>
          <t>SCA</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55932-2023</t>
        </is>
      </c>
      <c r="B11149" s="1" t="n">
        <v>45239</v>
      </c>
      <c r="C11149" s="1" t="n">
        <v>45657</v>
      </c>
      <c r="D11149" t="inlineStr">
        <is>
          <t>VÄSTERNORRLANDS LÄN</t>
        </is>
      </c>
      <c r="E11149" t="inlineStr">
        <is>
          <t>ÅNGE</t>
        </is>
      </c>
      <c r="F11149" t="inlineStr">
        <is>
          <t>SCA</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55905-2023</t>
        </is>
      </c>
      <c r="B11150" s="1" t="n">
        <v>45239</v>
      </c>
      <c r="C11150" s="1" t="n">
        <v>45657</v>
      </c>
      <c r="D11150" t="inlineStr">
        <is>
          <t>VÄSTERNORRLANDS LÄN</t>
        </is>
      </c>
      <c r="E11150" t="inlineStr">
        <is>
          <t>HÄRNÖSAND</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55925-2023</t>
        </is>
      </c>
      <c r="B11151" s="1" t="n">
        <v>45240</v>
      </c>
      <c r="C11151" s="1" t="n">
        <v>45657</v>
      </c>
      <c r="D11151" t="inlineStr">
        <is>
          <t>VÄSTERNORRLANDS LÄN</t>
        </is>
      </c>
      <c r="E11151" t="inlineStr">
        <is>
          <t>ÅNGE</t>
        </is>
      </c>
      <c r="F11151" t="inlineStr">
        <is>
          <t>SCA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55929-2023</t>
        </is>
      </c>
      <c r="B11152" s="1" t="n">
        <v>45239</v>
      </c>
      <c r="C11152" s="1" t="n">
        <v>45657</v>
      </c>
      <c r="D11152" t="inlineStr">
        <is>
          <t>VÄSTERNORRLANDS LÄN</t>
        </is>
      </c>
      <c r="E11152" t="inlineStr">
        <is>
          <t>SOLLEFTEÅ</t>
        </is>
      </c>
      <c r="F11152" t="inlineStr">
        <is>
          <t>SCA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56863-2023</t>
        </is>
      </c>
      <c r="B11153" s="1" t="n">
        <v>45239</v>
      </c>
      <c r="C11153" s="1" t="n">
        <v>45657</v>
      </c>
      <c r="D11153" t="inlineStr">
        <is>
          <t>VÄSTERNORRLANDS LÄN</t>
        </is>
      </c>
      <c r="E11153" t="inlineStr">
        <is>
          <t>KRAMFORS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57109-2023</t>
        </is>
      </c>
      <c r="B11154" s="1" t="n">
        <v>45239</v>
      </c>
      <c r="C11154" s="1" t="n">
        <v>45657</v>
      </c>
      <c r="D11154" t="inlineStr">
        <is>
          <t>VÄSTERNORRLANDS LÄN</t>
        </is>
      </c>
      <c r="E11154" t="inlineStr">
        <is>
          <t>ÅNGE</t>
        </is>
      </c>
      <c r="G11154" t="n">
        <v>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56859-2023</t>
        </is>
      </c>
      <c r="B11155" s="1" t="n">
        <v>45239</v>
      </c>
      <c r="C11155" s="1" t="n">
        <v>45657</v>
      </c>
      <c r="D11155" t="inlineStr">
        <is>
          <t>VÄSTERNORRLANDS LÄN</t>
        </is>
      </c>
      <c r="E11155" t="inlineStr">
        <is>
          <t>KRAMFORS</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56883-2023</t>
        </is>
      </c>
      <c r="B11156" s="1" t="n">
        <v>45239</v>
      </c>
      <c r="C11156" s="1" t="n">
        <v>45657</v>
      </c>
      <c r="D11156" t="inlineStr">
        <is>
          <t>VÄSTERNORRLANDS LÄN</t>
        </is>
      </c>
      <c r="E11156" t="inlineStr">
        <is>
          <t>SUNDSVALL</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57158-2023</t>
        </is>
      </c>
      <c r="B11157" s="1" t="n">
        <v>45239</v>
      </c>
      <c r="C11157" s="1" t="n">
        <v>45657</v>
      </c>
      <c r="D11157" t="inlineStr">
        <is>
          <t>VÄSTERNORRLANDS LÄN</t>
        </is>
      </c>
      <c r="E11157" t="inlineStr">
        <is>
          <t>ÖRNSKÖLDSVIK</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55930-2023</t>
        </is>
      </c>
      <c r="B11158" s="1" t="n">
        <v>45240</v>
      </c>
      <c r="C11158" s="1" t="n">
        <v>45657</v>
      </c>
      <c r="D11158" t="inlineStr">
        <is>
          <t>VÄSTERNORRLANDS LÄN</t>
        </is>
      </c>
      <c r="E11158" t="inlineStr">
        <is>
          <t>TIMRÅ</t>
        </is>
      </c>
      <c r="F11158" t="inlineStr">
        <is>
          <t>SCA</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56866-2023</t>
        </is>
      </c>
      <c r="B11159" s="1" t="n">
        <v>45239</v>
      </c>
      <c r="C11159" s="1" t="n">
        <v>45657</v>
      </c>
      <c r="D11159" t="inlineStr">
        <is>
          <t>VÄSTERNORRLANDS LÄN</t>
        </is>
      </c>
      <c r="E11159" t="inlineStr">
        <is>
          <t>KRAMFORS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57097-2023</t>
        </is>
      </c>
      <c r="B11160" s="1" t="n">
        <v>45239</v>
      </c>
      <c r="C11160" s="1" t="n">
        <v>45657</v>
      </c>
      <c r="D11160" t="inlineStr">
        <is>
          <t>VÄSTERNORRLANDS LÄN</t>
        </is>
      </c>
      <c r="E11160" t="inlineStr">
        <is>
          <t>ÖRNSKÖLDSVIK</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55721-2023</t>
        </is>
      </c>
      <c r="B11161" s="1" t="n">
        <v>45239</v>
      </c>
      <c r="C11161" s="1" t="n">
        <v>45657</v>
      </c>
      <c r="D11161" t="inlineStr">
        <is>
          <t>VÄSTERNORRLANDS LÄN</t>
        </is>
      </c>
      <c r="E11161" t="inlineStr">
        <is>
          <t>SUNDSVALL</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56836-2023</t>
        </is>
      </c>
      <c r="B11162" s="1" t="n">
        <v>45239</v>
      </c>
      <c r="C11162" s="1" t="n">
        <v>45657</v>
      </c>
      <c r="D11162" t="inlineStr">
        <is>
          <t>VÄSTERNORRLANDS LÄN</t>
        </is>
      </c>
      <c r="E11162" t="inlineStr">
        <is>
          <t>SUNDSVALL</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57010-2023</t>
        </is>
      </c>
      <c r="B11163" s="1" t="n">
        <v>45239</v>
      </c>
      <c r="C11163" s="1" t="n">
        <v>45657</v>
      </c>
      <c r="D11163" t="inlineStr">
        <is>
          <t>VÄSTERNORRLANDS LÄN</t>
        </is>
      </c>
      <c r="E11163" t="inlineStr">
        <is>
          <t>SOLLEFTEÅ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57102-2023</t>
        </is>
      </c>
      <c r="B11164" s="1" t="n">
        <v>45239</v>
      </c>
      <c r="C11164" s="1" t="n">
        <v>45657</v>
      </c>
      <c r="D11164" t="inlineStr">
        <is>
          <t>VÄSTERNORRLANDS LÄN</t>
        </is>
      </c>
      <c r="E11164" t="inlineStr">
        <is>
          <t>SUNDSVALL</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57268-2023</t>
        </is>
      </c>
      <c r="B11165" s="1" t="n">
        <v>45239</v>
      </c>
      <c r="C11165" s="1" t="n">
        <v>45657</v>
      </c>
      <c r="D11165" t="inlineStr">
        <is>
          <t>VÄSTERNORRLANDS LÄN</t>
        </is>
      </c>
      <c r="E11165" t="inlineStr">
        <is>
          <t>ÖRNSKÖLDSVIK</t>
        </is>
      </c>
      <c r="G11165" t="n">
        <v>10.6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57282-2023</t>
        </is>
      </c>
      <c r="B11166" s="1" t="n">
        <v>45239</v>
      </c>
      <c r="C11166" s="1" t="n">
        <v>45657</v>
      </c>
      <c r="D11166" t="inlineStr">
        <is>
          <t>VÄSTERNORRLANDS LÄN</t>
        </is>
      </c>
      <c r="E11166" t="inlineStr">
        <is>
          <t>ÖRNSKÖLDSVIK</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57309-2023</t>
        </is>
      </c>
      <c r="B11167" s="1" t="n">
        <v>45240</v>
      </c>
      <c r="C11167" s="1" t="n">
        <v>45657</v>
      </c>
      <c r="D11167" t="inlineStr">
        <is>
          <t>VÄSTERNORRLANDS LÄN</t>
        </is>
      </c>
      <c r="E11167" t="inlineStr">
        <is>
          <t>ÖRNSKÖLDSVIK</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57458-2023</t>
        </is>
      </c>
      <c r="B11168" s="1" t="n">
        <v>45240</v>
      </c>
      <c r="C11168" s="1" t="n">
        <v>45657</v>
      </c>
      <c r="D11168" t="inlineStr">
        <is>
          <t>VÄSTERNORRLANDS LÄN</t>
        </is>
      </c>
      <c r="E11168" t="inlineStr">
        <is>
          <t>ÖRNSKÖLDSVIK</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56261-2023</t>
        </is>
      </c>
      <c r="B11169" s="1" t="n">
        <v>45240</v>
      </c>
      <c r="C11169" s="1" t="n">
        <v>45657</v>
      </c>
      <c r="D11169" t="inlineStr">
        <is>
          <t>VÄSTERNORRLANDS LÄN</t>
        </is>
      </c>
      <c r="E11169" t="inlineStr">
        <is>
          <t>SOLLEFTEÅ</t>
        </is>
      </c>
      <c r="F11169" t="inlineStr">
        <is>
          <t>SCA</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56249-2023</t>
        </is>
      </c>
      <c r="B11170" s="1" t="n">
        <v>45240</v>
      </c>
      <c r="C11170" s="1" t="n">
        <v>45657</v>
      </c>
      <c r="D11170" t="inlineStr">
        <is>
          <t>VÄSTERNORRLANDS LÄN</t>
        </is>
      </c>
      <c r="E11170" t="inlineStr">
        <is>
          <t>SOLLEFTEÅ</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56237-2023</t>
        </is>
      </c>
      <c r="B11171" s="1" t="n">
        <v>45240</v>
      </c>
      <c r="C11171" s="1" t="n">
        <v>45657</v>
      </c>
      <c r="D11171" t="inlineStr">
        <is>
          <t>VÄSTERNORRLANDS LÄN</t>
        </is>
      </c>
      <c r="E11171" t="inlineStr">
        <is>
          <t>TIMRÅ</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56233-2023</t>
        </is>
      </c>
      <c r="B11172" s="1" t="n">
        <v>45240</v>
      </c>
      <c r="C11172" s="1" t="n">
        <v>45657</v>
      </c>
      <c r="D11172" t="inlineStr">
        <is>
          <t>VÄSTERNORRLANDS LÄN</t>
        </is>
      </c>
      <c r="E11172" t="inlineStr">
        <is>
          <t>SUNDSVALL</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56201-2023</t>
        </is>
      </c>
      <c r="B11173" s="1" t="n">
        <v>45240</v>
      </c>
      <c r="C11173" s="1" t="n">
        <v>45657</v>
      </c>
      <c r="D11173" t="inlineStr">
        <is>
          <t>VÄSTERNORRLANDS LÄN</t>
        </is>
      </c>
      <c r="E11173" t="inlineStr">
        <is>
          <t>SOLLEFTEÅ</t>
        </is>
      </c>
      <c r="G11173" t="n">
        <v>43.3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56262-2023</t>
        </is>
      </c>
      <c r="B11174" s="1" t="n">
        <v>45240</v>
      </c>
      <c r="C11174" s="1" t="n">
        <v>45657</v>
      </c>
      <c r="D11174" t="inlineStr">
        <is>
          <t>VÄSTERNORRLANDS LÄN</t>
        </is>
      </c>
      <c r="E11174" t="inlineStr">
        <is>
          <t>SOLLEFTEÅ</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56254-2023</t>
        </is>
      </c>
      <c r="B11175" s="1" t="n">
        <v>45240</v>
      </c>
      <c r="C11175" s="1" t="n">
        <v>45657</v>
      </c>
      <c r="D11175" t="inlineStr">
        <is>
          <t>VÄSTERNORRLANDS LÄN</t>
        </is>
      </c>
      <c r="E11175" t="inlineStr">
        <is>
          <t>SUNDSVALL</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56179-2023</t>
        </is>
      </c>
      <c r="B11176" s="1" t="n">
        <v>45240</v>
      </c>
      <c r="C11176" s="1" t="n">
        <v>45657</v>
      </c>
      <c r="D11176" t="inlineStr">
        <is>
          <t>VÄSTERNORRLANDS LÄN</t>
        </is>
      </c>
      <c r="E11176" t="inlineStr">
        <is>
          <t>ÖRNSKÖLDSVIK</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56250-2023</t>
        </is>
      </c>
      <c r="B11177" s="1" t="n">
        <v>45240</v>
      </c>
      <c r="C11177" s="1" t="n">
        <v>45657</v>
      </c>
      <c r="D11177" t="inlineStr">
        <is>
          <t>VÄSTERNORRLANDS LÄN</t>
        </is>
      </c>
      <c r="E11177" t="inlineStr">
        <is>
          <t>SUNDSVALL</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56234-2023</t>
        </is>
      </c>
      <c r="B11178" s="1" t="n">
        <v>45240</v>
      </c>
      <c r="C11178" s="1" t="n">
        <v>45657</v>
      </c>
      <c r="D11178" t="inlineStr">
        <is>
          <t>VÄSTERNORRLANDS LÄN</t>
        </is>
      </c>
      <c r="E11178" t="inlineStr">
        <is>
          <t>SOLLEFTEÅ</t>
        </is>
      </c>
      <c r="G11178" t="n">
        <v>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57484-2023</t>
        </is>
      </c>
      <c r="B11179" s="1" t="n">
        <v>45240</v>
      </c>
      <c r="C11179" s="1" t="n">
        <v>45657</v>
      </c>
      <c r="D11179" t="inlineStr">
        <is>
          <t>VÄSTERNORRLANDS LÄN</t>
        </is>
      </c>
      <c r="E11179" t="inlineStr">
        <is>
          <t>HÄRNÖSAND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57477-2023</t>
        </is>
      </c>
      <c r="B11180" s="1" t="n">
        <v>45240</v>
      </c>
      <c r="C11180" s="1" t="n">
        <v>45657</v>
      </c>
      <c r="D11180" t="inlineStr">
        <is>
          <t>VÄSTERNORRLANDS LÄN</t>
        </is>
      </c>
      <c r="E11180" t="inlineStr">
        <is>
          <t>ÖRNSKÖLDSVIK</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57465-2023</t>
        </is>
      </c>
      <c r="B11181" s="1" t="n">
        <v>45240</v>
      </c>
      <c r="C11181" s="1" t="n">
        <v>45657</v>
      </c>
      <c r="D11181" t="inlineStr">
        <is>
          <t>VÄSTERNORRLANDS LÄN</t>
        </is>
      </c>
      <c r="E11181" t="inlineStr">
        <is>
          <t>ÖRNSKÖLDSVIK</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56128-2023</t>
        </is>
      </c>
      <c r="B11182" s="1" t="n">
        <v>45240</v>
      </c>
      <c r="C11182" s="1" t="n">
        <v>45657</v>
      </c>
      <c r="D11182" t="inlineStr">
        <is>
          <t>VÄSTERNORRLANDS LÄN</t>
        </is>
      </c>
      <c r="E11182" t="inlineStr">
        <is>
          <t>ÖRNSKÖLDSVIK</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56110-2023</t>
        </is>
      </c>
      <c r="B11183" s="1" t="n">
        <v>45240</v>
      </c>
      <c r="C11183" s="1" t="n">
        <v>45657</v>
      </c>
      <c r="D11183" t="inlineStr">
        <is>
          <t>VÄSTERNORRLANDS LÄN</t>
        </is>
      </c>
      <c r="E11183" t="inlineStr">
        <is>
          <t>KRAMFORS</t>
        </is>
      </c>
      <c r="G11183" t="n">
        <v>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57472-2023</t>
        </is>
      </c>
      <c r="B11184" s="1" t="n">
        <v>45240</v>
      </c>
      <c r="C11184" s="1" t="n">
        <v>45657</v>
      </c>
      <c r="D11184" t="inlineStr">
        <is>
          <t>VÄSTERNORRLANDS LÄN</t>
        </is>
      </c>
      <c r="E11184" t="inlineStr">
        <is>
          <t>ÖRNSKÖLDSVIK</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57482-2023</t>
        </is>
      </c>
      <c r="B11185" s="1" t="n">
        <v>45240</v>
      </c>
      <c r="C11185" s="1" t="n">
        <v>45657</v>
      </c>
      <c r="D11185" t="inlineStr">
        <is>
          <t>VÄSTERNORRLANDS LÄN</t>
        </is>
      </c>
      <c r="E11185" t="inlineStr">
        <is>
          <t>ÖRNSKÖLDSVIK</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57452-2023</t>
        </is>
      </c>
      <c r="B11186" s="1" t="n">
        <v>45240</v>
      </c>
      <c r="C11186" s="1" t="n">
        <v>45657</v>
      </c>
      <c r="D11186" t="inlineStr">
        <is>
          <t>VÄSTERNORRLANDS LÄN</t>
        </is>
      </c>
      <c r="E11186" t="inlineStr">
        <is>
          <t>ÖRNSKÖLDSVIK</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56260-2023</t>
        </is>
      </c>
      <c r="B11187" s="1" t="n">
        <v>45240</v>
      </c>
      <c r="C11187" s="1" t="n">
        <v>45657</v>
      </c>
      <c r="D11187" t="inlineStr">
        <is>
          <t>VÄSTERNORRLANDS LÄN</t>
        </is>
      </c>
      <c r="E11187" t="inlineStr">
        <is>
          <t>SOLLEFTEÅ</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56256-2023</t>
        </is>
      </c>
      <c r="B11188" s="1" t="n">
        <v>45240</v>
      </c>
      <c r="C11188" s="1" t="n">
        <v>45657</v>
      </c>
      <c r="D11188" t="inlineStr">
        <is>
          <t>VÄSTERNORRLANDS LÄN</t>
        </is>
      </c>
      <c r="E11188" t="inlineStr">
        <is>
          <t>SOLLEFTEÅ</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56252-2023</t>
        </is>
      </c>
      <c r="B11189" s="1" t="n">
        <v>45240</v>
      </c>
      <c r="C11189" s="1" t="n">
        <v>45657</v>
      </c>
      <c r="D11189" t="inlineStr">
        <is>
          <t>VÄSTERNORRLANDS LÄN</t>
        </is>
      </c>
      <c r="E11189" t="inlineStr">
        <is>
          <t>SUNDSVALL</t>
        </is>
      </c>
      <c r="F11189" t="inlineStr">
        <is>
          <t>SCA</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56244-2023</t>
        </is>
      </c>
      <c r="B11190" s="1" t="n">
        <v>45240</v>
      </c>
      <c r="C11190" s="1" t="n">
        <v>45657</v>
      </c>
      <c r="D11190" t="inlineStr">
        <is>
          <t>VÄSTERNORRLANDS LÄN</t>
        </is>
      </c>
      <c r="E11190" t="inlineStr">
        <is>
          <t>SOLLEFTEÅ</t>
        </is>
      </c>
      <c r="F11190" t="inlineStr">
        <is>
          <t>SCA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56232-2023</t>
        </is>
      </c>
      <c r="B11191" s="1" t="n">
        <v>45240</v>
      </c>
      <c r="C11191" s="1" t="n">
        <v>45657</v>
      </c>
      <c r="D11191" t="inlineStr">
        <is>
          <t>VÄSTERNORRLANDS LÄN</t>
        </is>
      </c>
      <c r="E11191" t="inlineStr">
        <is>
          <t>SUNDSVALL</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56192-2023</t>
        </is>
      </c>
      <c r="B11192" s="1" t="n">
        <v>45240</v>
      </c>
      <c r="C11192" s="1" t="n">
        <v>45657</v>
      </c>
      <c r="D11192" t="inlineStr">
        <is>
          <t>VÄSTERNORRLANDS LÄN</t>
        </is>
      </c>
      <c r="E11192" t="inlineStr">
        <is>
          <t>SUNDSVALL</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56134-2023</t>
        </is>
      </c>
      <c r="B11193" s="1" t="n">
        <v>45240</v>
      </c>
      <c r="C11193" s="1" t="n">
        <v>45657</v>
      </c>
      <c r="D11193" t="inlineStr">
        <is>
          <t>VÄSTERNORRLANDS LÄN</t>
        </is>
      </c>
      <c r="E11193" t="inlineStr">
        <is>
          <t>SOLLEFTEÅ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57469-2023</t>
        </is>
      </c>
      <c r="B11194" s="1" t="n">
        <v>45240</v>
      </c>
      <c r="C11194" s="1" t="n">
        <v>45657</v>
      </c>
      <c r="D11194" t="inlineStr">
        <is>
          <t>VÄSTERNORRLANDS LÄN</t>
        </is>
      </c>
      <c r="E11194" t="inlineStr">
        <is>
          <t>ÖRNSKÖLDSVIK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57480-2023</t>
        </is>
      </c>
      <c r="B11195" s="1" t="n">
        <v>45240</v>
      </c>
      <c r="C11195" s="1" t="n">
        <v>45657</v>
      </c>
      <c r="D11195" t="inlineStr">
        <is>
          <t>VÄSTERNORRLANDS LÄN</t>
        </is>
      </c>
      <c r="E11195" t="inlineStr">
        <is>
          <t>ÖRNSKÖLDSVIK</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57449-2023</t>
        </is>
      </c>
      <c r="B11196" s="1" t="n">
        <v>45240</v>
      </c>
      <c r="C11196" s="1" t="n">
        <v>45657</v>
      </c>
      <c r="D11196" t="inlineStr">
        <is>
          <t>VÄSTERNORRLANDS LÄN</t>
        </is>
      </c>
      <c r="E11196" t="inlineStr">
        <is>
          <t>ÖRNSKÖLDSVIK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56251-2023</t>
        </is>
      </c>
      <c r="B11197" s="1" t="n">
        <v>45240</v>
      </c>
      <c r="C11197" s="1" t="n">
        <v>45657</v>
      </c>
      <c r="D11197" t="inlineStr">
        <is>
          <t>VÄSTERNORRLANDS LÄN</t>
        </is>
      </c>
      <c r="E11197" t="inlineStr">
        <is>
          <t>SUNDSVALL</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56243-2023</t>
        </is>
      </c>
      <c r="B11198" s="1" t="n">
        <v>45240</v>
      </c>
      <c r="C11198" s="1" t="n">
        <v>45657</v>
      </c>
      <c r="D11198" t="inlineStr">
        <is>
          <t>VÄSTERNORRLANDS LÄN</t>
        </is>
      </c>
      <c r="E11198" t="inlineStr">
        <is>
          <t>SUNDSVALL</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56231-2023</t>
        </is>
      </c>
      <c r="B11199" s="1" t="n">
        <v>45240</v>
      </c>
      <c r="C11199" s="1" t="n">
        <v>45657</v>
      </c>
      <c r="D11199" t="inlineStr">
        <is>
          <t>VÄSTERNORRLANDS LÄN</t>
        </is>
      </c>
      <c r="E11199" t="inlineStr">
        <is>
          <t>SUNDSVALL</t>
        </is>
      </c>
      <c r="G11199" t="n">
        <v>18.4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56195-2023</t>
        </is>
      </c>
      <c r="B11200" s="1" t="n">
        <v>45240</v>
      </c>
      <c r="C11200" s="1" t="n">
        <v>45657</v>
      </c>
      <c r="D11200" t="inlineStr">
        <is>
          <t>VÄSTERNORRLANDS LÄN</t>
        </is>
      </c>
      <c r="E11200" t="inlineStr">
        <is>
          <t>SUNDSVALL</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56158-2023</t>
        </is>
      </c>
      <c r="B11201" s="1" t="n">
        <v>45240</v>
      </c>
      <c r="C11201" s="1" t="n">
        <v>45657</v>
      </c>
      <c r="D11201" t="inlineStr">
        <is>
          <t>VÄSTERNORRLANDS LÄN</t>
        </is>
      </c>
      <c r="E11201" t="inlineStr">
        <is>
          <t>SUNDSVALL</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56154-2023</t>
        </is>
      </c>
      <c r="B11202" s="1" t="n">
        <v>45240</v>
      </c>
      <c r="C11202" s="1" t="n">
        <v>45657</v>
      </c>
      <c r="D11202" t="inlineStr">
        <is>
          <t>VÄSTERNORRLANDS LÄN</t>
        </is>
      </c>
      <c r="E11202" t="inlineStr">
        <is>
          <t>ÖRNSKÖLDSVIK</t>
        </is>
      </c>
      <c r="F11202" t="inlineStr">
        <is>
          <t>Holmen skog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56137-2023</t>
        </is>
      </c>
      <c r="B11203" s="1" t="n">
        <v>45240</v>
      </c>
      <c r="C11203" s="1" t="n">
        <v>45657</v>
      </c>
      <c r="D11203" t="inlineStr">
        <is>
          <t>VÄSTERNORRLANDS LÄN</t>
        </is>
      </c>
      <c r="E11203" t="inlineStr">
        <is>
          <t>SOLLEFTEÅ</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55949-2023</t>
        </is>
      </c>
      <c r="B11204" s="1" t="n">
        <v>45240</v>
      </c>
      <c r="C11204" s="1" t="n">
        <v>45657</v>
      </c>
      <c r="D11204" t="inlineStr">
        <is>
          <t>VÄSTERNORRLANDS LÄN</t>
        </is>
      </c>
      <c r="E11204" t="inlineStr">
        <is>
          <t>ÖRNSKÖLDSVIK</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56139-2023</t>
        </is>
      </c>
      <c r="B11205" s="1" t="n">
        <v>45240</v>
      </c>
      <c r="C11205" s="1" t="n">
        <v>45657</v>
      </c>
      <c r="D11205" t="inlineStr">
        <is>
          <t>VÄSTERNORRLANDS LÄN</t>
        </is>
      </c>
      <c r="E11205" t="inlineStr">
        <is>
          <t>SOLLEFTEÅ</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56308-2023</t>
        </is>
      </c>
      <c r="B11206" s="1" t="n">
        <v>45242</v>
      </c>
      <c r="C11206" s="1" t="n">
        <v>45657</v>
      </c>
      <c r="D11206" t="inlineStr">
        <is>
          <t>VÄSTERNORRLANDS LÄN</t>
        </is>
      </c>
      <c r="E11206" t="inlineStr">
        <is>
          <t>SUNDSVALL</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56310-2023</t>
        </is>
      </c>
      <c r="B11207" s="1" t="n">
        <v>45242</v>
      </c>
      <c r="C11207" s="1" t="n">
        <v>45657</v>
      </c>
      <c r="D11207" t="inlineStr">
        <is>
          <t>VÄSTERNORRLANDS LÄN</t>
        </is>
      </c>
      <c r="E11207" t="inlineStr">
        <is>
          <t>SOLLEFTEÅ</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57518-2023</t>
        </is>
      </c>
      <c r="B11208" s="1" t="n">
        <v>45242</v>
      </c>
      <c r="C11208" s="1" t="n">
        <v>45657</v>
      </c>
      <c r="D11208" t="inlineStr">
        <is>
          <t>VÄSTERNORRLANDS LÄN</t>
        </is>
      </c>
      <c r="E11208" t="inlineStr">
        <is>
          <t>SOLLEFTEÅ</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56311-2023</t>
        </is>
      </c>
      <c r="B11209" s="1" t="n">
        <v>45242</v>
      </c>
      <c r="C11209" s="1" t="n">
        <v>45657</v>
      </c>
      <c r="D11209" t="inlineStr">
        <is>
          <t>VÄSTERNORRLANDS LÄN</t>
        </is>
      </c>
      <c r="E11209" t="inlineStr">
        <is>
          <t>SOLLEFTEÅ</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56401-2023</t>
        </is>
      </c>
      <c r="B11210" s="1" t="n">
        <v>45243</v>
      </c>
      <c r="C11210" s="1" t="n">
        <v>45657</v>
      </c>
      <c r="D11210" t="inlineStr">
        <is>
          <t>VÄSTERNORRLANDS LÄN</t>
        </is>
      </c>
      <c r="E11210" t="inlineStr">
        <is>
          <t>KRAMFORS</t>
        </is>
      </c>
      <c r="G11210" t="n">
        <v>16.4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56585-2023</t>
        </is>
      </c>
      <c r="B11211" s="1" t="n">
        <v>45243</v>
      </c>
      <c r="C11211" s="1" t="n">
        <v>45657</v>
      </c>
      <c r="D11211" t="inlineStr">
        <is>
          <t>VÄSTERNORRLANDS LÄN</t>
        </is>
      </c>
      <c r="E11211" t="inlineStr">
        <is>
          <t>ÅNGE</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56590-2023</t>
        </is>
      </c>
      <c r="B11212" s="1" t="n">
        <v>45243</v>
      </c>
      <c r="C11212" s="1" t="n">
        <v>45657</v>
      </c>
      <c r="D11212" t="inlineStr">
        <is>
          <t>VÄSTERNORRLANDS LÄN</t>
        </is>
      </c>
      <c r="E11212" t="inlineStr">
        <is>
          <t>ÖRNSKÖLDSVIK</t>
        </is>
      </c>
      <c r="F11212" t="inlineStr">
        <is>
          <t>Holmen skog AB</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56680-2023</t>
        </is>
      </c>
      <c r="B11213" s="1" t="n">
        <v>45243</v>
      </c>
      <c r="C11213" s="1" t="n">
        <v>45657</v>
      </c>
      <c r="D11213" t="inlineStr">
        <is>
          <t>VÄSTERNORRLANDS LÄN</t>
        </is>
      </c>
      <c r="E11213" t="inlineStr">
        <is>
          <t>HÄRNÖSAND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56684-2023</t>
        </is>
      </c>
      <c r="B11214" s="1" t="n">
        <v>45244</v>
      </c>
      <c r="C11214" s="1" t="n">
        <v>45657</v>
      </c>
      <c r="D11214" t="inlineStr">
        <is>
          <t>VÄSTERNORRLANDS LÄN</t>
        </is>
      </c>
      <c r="E11214" t="inlineStr">
        <is>
          <t>SOLLEFTEÅ</t>
        </is>
      </c>
      <c r="F11214" t="inlineStr">
        <is>
          <t>SCA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56615-2023</t>
        </is>
      </c>
      <c r="B11215" s="1" t="n">
        <v>45243</v>
      </c>
      <c r="C11215" s="1" t="n">
        <v>45657</v>
      </c>
      <c r="D11215" t="inlineStr">
        <is>
          <t>VÄSTERNORRLANDS LÄN</t>
        </is>
      </c>
      <c r="E11215" t="inlineStr">
        <is>
          <t>ÅNGE</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56678-2023</t>
        </is>
      </c>
      <c r="B11216" s="1" t="n">
        <v>45243</v>
      </c>
      <c r="C11216" s="1" t="n">
        <v>45657</v>
      </c>
      <c r="D11216" t="inlineStr">
        <is>
          <t>VÄSTERNORRLANDS LÄN</t>
        </is>
      </c>
      <c r="E11216" t="inlineStr">
        <is>
          <t>ÖRNSKÖLDSVIK</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56682-2023</t>
        </is>
      </c>
      <c r="B11217" s="1" t="n">
        <v>45243</v>
      </c>
      <c r="C11217" s="1" t="n">
        <v>45657</v>
      </c>
      <c r="D11217" t="inlineStr">
        <is>
          <t>VÄSTERNORRLANDS LÄN</t>
        </is>
      </c>
      <c r="E11217" t="inlineStr">
        <is>
          <t>SUNDSVALL</t>
        </is>
      </c>
      <c r="G11217" t="n">
        <v>7.5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56411-2023</t>
        </is>
      </c>
      <c r="B11218" s="1" t="n">
        <v>45243</v>
      </c>
      <c r="C11218" s="1" t="n">
        <v>45657</v>
      </c>
      <c r="D11218" t="inlineStr">
        <is>
          <t>VÄSTERNORRLANDS LÄN</t>
        </is>
      </c>
      <c r="E11218" t="inlineStr">
        <is>
          <t>ÖRNSKÖLDSVIK</t>
        </is>
      </c>
      <c r="F11218" t="inlineStr">
        <is>
          <t>Holmen skog AB</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56555-2023</t>
        </is>
      </c>
      <c r="B11219" s="1" t="n">
        <v>45243</v>
      </c>
      <c r="C11219" s="1" t="n">
        <v>45657</v>
      </c>
      <c r="D11219" t="inlineStr">
        <is>
          <t>VÄSTERNORRLANDS LÄN</t>
        </is>
      </c>
      <c r="E11219" t="inlineStr">
        <is>
          <t>ÖRNSKÖLDSVIK</t>
        </is>
      </c>
      <c r="F11219" t="inlineStr">
        <is>
          <t>Holmen skog AB</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56681-2023</t>
        </is>
      </c>
      <c r="B11220" s="1" t="n">
        <v>45243</v>
      </c>
      <c r="C11220" s="1" t="n">
        <v>45657</v>
      </c>
      <c r="D11220" t="inlineStr">
        <is>
          <t>VÄSTERNORRLANDS LÄN</t>
        </is>
      </c>
      <c r="E11220" t="inlineStr">
        <is>
          <t>SUNDSVALL</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56685-2023</t>
        </is>
      </c>
      <c r="B11221" s="1" t="n">
        <v>45244</v>
      </c>
      <c r="C11221" s="1" t="n">
        <v>45657</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56693-2023</t>
        </is>
      </c>
      <c r="B11222" s="1" t="n">
        <v>45244</v>
      </c>
      <c r="C11222" s="1" t="n">
        <v>45657</v>
      </c>
      <c r="D11222" t="inlineStr">
        <is>
          <t>VÄSTERNORRLANDS LÄN</t>
        </is>
      </c>
      <c r="E11222" t="inlineStr">
        <is>
          <t>SUNDSVALL</t>
        </is>
      </c>
      <c r="F11222" t="inlineStr">
        <is>
          <t>SCA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56701-2023</t>
        </is>
      </c>
      <c r="B11223" s="1" t="n">
        <v>45243</v>
      </c>
      <c r="C11223" s="1" t="n">
        <v>45657</v>
      </c>
      <c r="D11223" t="inlineStr">
        <is>
          <t>VÄSTERNORRLANDS LÄN</t>
        </is>
      </c>
      <c r="E11223" t="inlineStr">
        <is>
          <t>TIMRÅ</t>
        </is>
      </c>
      <c r="F11223" t="inlineStr">
        <is>
          <t>SCA</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56454-2023</t>
        </is>
      </c>
      <c r="B11224" s="1" t="n">
        <v>45243</v>
      </c>
      <c r="C11224" s="1" t="n">
        <v>45657</v>
      </c>
      <c r="D11224" t="inlineStr">
        <is>
          <t>VÄSTERNORRLANDS LÄN</t>
        </is>
      </c>
      <c r="E11224" t="inlineStr">
        <is>
          <t>SUNDSVALL</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56683-2023</t>
        </is>
      </c>
      <c r="B11225" s="1" t="n">
        <v>45243</v>
      </c>
      <c r="C11225" s="1" t="n">
        <v>45657</v>
      </c>
      <c r="D11225" t="inlineStr">
        <is>
          <t>VÄSTERNORRLANDS LÄN</t>
        </is>
      </c>
      <c r="E11225" t="inlineStr">
        <is>
          <t>ÅNGE</t>
        </is>
      </c>
      <c r="F11225" t="inlineStr">
        <is>
          <t>SCA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56695-2023</t>
        </is>
      </c>
      <c r="B11226" s="1" t="n">
        <v>45244</v>
      </c>
      <c r="C11226" s="1" t="n">
        <v>45657</v>
      </c>
      <c r="D11226" t="inlineStr">
        <is>
          <t>VÄSTERNORRLANDS LÄN</t>
        </is>
      </c>
      <c r="E11226" t="inlineStr">
        <is>
          <t>SUNDSVALL</t>
        </is>
      </c>
      <c r="F11226" t="inlineStr">
        <is>
          <t>SCA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57583-2023</t>
        </is>
      </c>
      <c r="B11227" s="1" t="n">
        <v>45243</v>
      </c>
      <c r="C11227" s="1" t="n">
        <v>45657</v>
      </c>
      <c r="D11227" t="inlineStr">
        <is>
          <t>VÄSTERNORRLANDS LÄN</t>
        </is>
      </c>
      <c r="E11227" t="inlineStr">
        <is>
          <t>KRAMFORS</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57688-2023</t>
        </is>
      </c>
      <c r="B11228" s="1" t="n">
        <v>45243</v>
      </c>
      <c r="C11228" s="1" t="n">
        <v>45657</v>
      </c>
      <c r="D11228" t="inlineStr">
        <is>
          <t>VÄSTERNORRLANDS LÄN</t>
        </is>
      </c>
      <c r="E11228" t="inlineStr">
        <is>
          <t>ÖRNSKÖLDSVIK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57564-2023</t>
        </is>
      </c>
      <c r="B11229" s="1" t="n">
        <v>45243</v>
      </c>
      <c r="C11229" s="1" t="n">
        <v>45657</v>
      </c>
      <c r="D11229" t="inlineStr">
        <is>
          <t>VÄSTERNORRLANDS LÄN</t>
        </is>
      </c>
      <c r="E11229" t="inlineStr">
        <is>
          <t>KRAMFORS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57605-2023</t>
        </is>
      </c>
      <c r="B11230" s="1" t="n">
        <v>45243</v>
      </c>
      <c r="C11230" s="1" t="n">
        <v>45657</v>
      </c>
      <c r="D11230" t="inlineStr">
        <is>
          <t>VÄSTERNORRLANDS LÄN</t>
        </is>
      </c>
      <c r="E11230" t="inlineStr">
        <is>
          <t>ÖRNSKÖLDSVIK</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57694-2023</t>
        </is>
      </c>
      <c r="B11231" s="1" t="n">
        <v>45243</v>
      </c>
      <c r="C11231" s="1" t="n">
        <v>45657</v>
      </c>
      <c r="D11231" t="inlineStr">
        <is>
          <t>VÄSTERNORRLANDS LÄN</t>
        </is>
      </c>
      <c r="E11231" t="inlineStr">
        <is>
          <t>SUNDSVALL</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57672-2023</t>
        </is>
      </c>
      <c r="B11232" s="1" t="n">
        <v>45243</v>
      </c>
      <c r="C11232" s="1" t="n">
        <v>45657</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57593-2023</t>
        </is>
      </c>
      <c r="B11233" s="1" t="n">
        <v>45243</v>
      </c>
      <c r="C11233" s="1" t="n">
        <v>45657</v>
      </c>
      <c r="D11233" t="inlineStr">
        <is>
          <t>VÄSTERNORRLANDS LÄN</t>
        </is>
      </c>
      <c r="E11233" t="inlineStr">
        <is>
          <t>KRAMFORS</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57686-2023</t>
        </is>
      </c>
      <c r="B11234" s="1" t="n">
        <v>45243</v>
      </c>
      <c r="C11234" s="1" t="n">
        <v>45657</v>
      </c>
      <c r="D11234" t="inlineStr">
        <is>
          <t>VÄSTERNORRLANDS LÄN</t>
        </is>
      </c>
      <c r="E11234" t="inlineStr">
        <is>
          <t>ÖRNSKÖLDSVIK</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56699-2023</t>
        </is>
      </c>
      <c r="B11235" s="1" t="n">
        <v>45243</v>
      </c>
      <c r="C11235" s="1" t="n">
        <v>45657</v>
      </c>
      <c r="D11235" t="inlineStr">
        <is>
          <t>VÄSTERNORRLANDS LÄN</t>
        </is>
      </c>
      <c r="E11235" t="inlineStr">
        <is>
          <t>ÅNGE</t>
        </is>
      </c>
      <c r="F11235" t="inlineStr">
        <is>
          <t>SCA</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57560-2023</t>
        </is>
      </c>
      <c r="B11236" s="1" t="n">
        <v>45243</v>
      </c>
      <c r="C11236" s="1" t="n">
        <v>45657</v>
      </c>
      <c r="D11236" t="inlineStr">
        <is>
          <t>VÄSTERNORRLANDS LÄN</t>
        </is>
      </c>
      <c r="E11236" t="inlineStr">
        <is>
          <t>ÅNGE</t>
        </is>
      </c>
      <c r="G11236" t="n">
        <v>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57600-2023</t>
        </is>
      </c>
      <c r="B11237" s="1" t="n">
        <v>45243</v>
      </c>
      <c r="C11237" s="1" t="n">
        <v>45657</v>
      </c>
      <c r="D11237" t="inlineStr">
        <is>
          <t>VÄSTERNORRLANDS LÄN</t>
        </is>
      </c>
      <c r="E11237" t="inlineStr">
        <is>
          <t>KRAMFORS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56692-2023</t>
        </is>
      </c>
      <c r="B11238" s="1" t="n">
        <v>45243</v>
      </c>
      <c r="C11238" s="1" t="n">
        <v>45657</v>
      </c>
      <c r="D11238" t="inlineStr">
        <is>
          <t>VÄSTERNORRLANDS LÄN</t>
        </is>
      </c>
      <c r="E11238" t="inlineStr">
        <is>
          <t>TIMRÅ</t>
        </is>
      </c>
      <c r="F11238" t="inlineStr">
        <is>
          <t>SCA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56696-2023</t>
        </is>
      </c>
      <c r="B11239" s="1" t="n">
        <v>45244</v>
      </c>
      <c r="C11239" s="1" t="n">
        <v>45657</v>
      </c>
      <c r="D11239" t="inlineStr">
        <is>
          <t>VÄSTERNORRLANDS LÄN</t>
        </is>
      </c>
      <c r="E11239" t="inlineStr">
        <is>
          <t>ÅNGE</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56700-2023</t>
        </is>
      </c>
      <c r="B11240" s="1" t="n">
        <v>45244</v>
      </c>
      <c r="C11240" s="1" t="n">
        <v>45657</v>
      </c>
      <c r="D11240" t="inlineStr">
        <is>
          <t>VÄSTERNORRLANDS LÄN</t>
        </is>
      </c>
      <c r="E11240" t="inlineStr">
        <is>
          <t>ÅNGE</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57589-2023</t>
        </is>
      </c>
      <c r="B11241" s="1" t="n">
        <v>45243</v>
      </c>
      <c r="C11241" s="1" t="n">
        <v>45657</v>
      </c>
      <c r="D11241" t="inlineStr">
        <is>
          <t>VÄSTERNORRLANDS LÄN</t>
        </is>
      </c>
      <c r="E11241" t="inlineStr">
        <is>
          <t>KRAMFORS</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57603-2023</t>
        </is>
      </c>
      <c r="B11242" s="1" t="n">
        <v>45243</v>
      </c>
      <c r="C11242" s="1" t="n">
        <v>45657</v>
      </c>
      <c r="D11242" t="inlineStr">
        <is>
          <t>VÄSTERNORRLANDS LÄN</t>
        </is>
      </c>
      <c r="E11242" t="inlineStr">
        <is>
          <t>KRAMFORS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56751-2023</t>
        </is>
      </c>
      <c r="B11243" s="1" t="n">
        <v>45244</v>
      </c>
      <c r="C11243" s="1" t="n">
        <v>45657</v>
      </c>
      <c r="D11243" t="inlineStr">
        <is>
          <t>VÄSTERNORRLANDS LÄN</t>
        </is>
      </c>
      <c r="E11243" t="inlineStr">
        <is>
          <t>ÖRNSKÖLDSVIK</t>
        </is>
      </c>
      <c r="G11243" t="n">
        <v>14.5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56729-2023</t>
        </is>
      </c>
      <c r="B11244" s="1" t="n">
        <v>45244</v>
      </c>
      <c r="C11244" s="1" t="n">
        <v>45657</v>
      </c>
      <c r="D11244" t="inlineStr">
        <is>
          <t>VÄSTERNORRLANDS LÄN</t>
        </is>
      </c>
      <c r="E11244" t="inlineStr">
        <is>
          <t>SUNDSVALL</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56765-2023</t>
        </is>
      </c>
      <c r="B11245" s="1" t="n">
        <v>45244</v>
      </c>
      <c r="C11245" s="1" t="n">
        <v>45657</v>
      </c>
      <c r="D11245" t="inlineStr">
        <is>
          <t>VÄSTERNORRLANDS LÄN</t>
        </is>
      </c>
      <c r="E11245" t="inlineStr">
        <is>
          <t>TIMRÅ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56868-2023</t>
        </is>
      </c>
      <c r="B11246" s="1" t="n">
        <v>45244</v>
      </c>
      <c r="C11246" s="1" t="n">
        <v>45657</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56867-2023</t>
        </is>
      </c>
      <c r="B11247" s="1" t="n">
        <v>45244</v>
      </c>
      <c r="C11247" s="1" t="n">
        <v>45657</v>
      </c>
      <c r="D11247" t="inlineStr">
        <is>
          <t>VÄSTERNORRLANDS LÄN</t>
        </is>
      </c>
      <c r="E11247" t="inlineStr">
        <is>
          <t>ÖRNSKÖLDSVIK</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56901-2023</t>
        </is>
      </c>
      <c r="B11248" s="1" t="n">
        <v>45244</v>
      </c>
      <c r="C11248" s="1" t="n">
        <v>45657</v>
      </c>
      <c r="D11248" t="inlineStr">
        <is>
          <t>VÄSTERNORRLANDS LÄN</t>
        </is>
      </c>
      <c r="E11248" t="inlineStr">
        <is>
          <t>ÖRNSKÖLDSVIK</t>
        </is>
      </c>
      <c r="G11248" t="n">
        <v>13.8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56870-2023</t>
        </is>
      </c>
      <c r="B11249" s="1" t="n">
        <v>45244</v>
      </c>
      <c r="C11249" s="1" t="n">
        <v>45657</v>
      </c>
      <c r="D11249" t="inlineStr">
        <is>
          <t>VÄSTERNORRLANDS LÄN</t>
        </is>
      </c>
      <c r="E11249" t="inlineStr">
        <is>
          <t>ÖRNSKÖLDSVIK</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57080-2023</t>
        </is>
      </c>
      <c r="B11250" s="1" t="n">
        <v>45244</v>
      </c>
      <c r="C11250" s="1" t="n">
        <v>45657</v>
      </c>
      <c r="D11250" t="inlineStr">
        <is>
          <t>VÄSTERNORRLANDS LÄN</t>
        </is>
      </c>
      <c r="E11250" t="inlineStr">
        <is>
          <t>SOLLEFTEÅ</t>
        </is>
      </c>
      <c r="F11250" t="inlineStr">
        <is>
          <t>SCA</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57072-2023</t>
        </is>
      </c>
      <c r="B11251" s="1" t="n">
        <v>45245</v>
      </c>
      <c r="C11251" s="1" t="n">
        <v>45657</v>
      </c>
      <c r="D11251" t="inlineStr">
        <is>
          <t>VÄSTERNORRLANDS LÄN</t>
        </is>
      </c>
      <c r="E11251" t="inlineStr">
        <is>
          <t>TIMRÅ</t>
        </is>
      </c>
      <c r="F11251" t="inlineStr">
        <is>
          <t>SCA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57067-2023</t>
        </is>
      </c>
      <c r="B11252" s="1" t="n">
        <v>45244</v>
      </c>
      <c r="C11252" s="1" t="n">
        <v>45657</v>
      </c>
      <c r="D11252" t="inlineStr">
        <is>
          <t>VÄSTERNORRLANDS LÄN</t>
        </is>
      </c>
      <c r="E11252" t="inlineStr">
        <is>
          <t>SUNDSVALL</t>
        </is>
      </c>
      <c r="F11252" t="inlineStr">
        <is>
          <t>SCA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57066-2023</t>
        </is>
      </c>
      <c r="B11253" s="1" t="n">
        <v>45245</v>
      </c>
      <c r="C11253" s="1" t="n">
        <v>45657</v>
      </c>
      <c r="D11253" t="inlineStr">
        <is>
          <t>VÄSTERNORRLANDS LÄN</t>
        </is>
      </c>
      <c r="E11253" t="inlineStr">
        <is>
          <t>SOLLEFTEÅ</t>
        </is>
      </c>
      <c r="F11253" t="inlineStr">
        <is>
          <t>SCA</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57837-2023</t>
        </is>
      </c>
      <c r="B11254" s="1" t="n">
        <v>45244</v>
      </c>
      <c r="C11254" s="1" t="n">
        <v>45657</v>
      </c>
      <c r="D11254" t="inlineStr">
        <is>
          <t>VÄSTERNORRLANDS LÄN</t>
        </is>
      </c>
      <c r="E11254" t="inlineStr">
        <is>
          <t>SOLLEFTEÅ</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57126-2023</t>
        </is>
      </c>
      <c r="B11255" s="1" t="n">
        <v>45245</v>
      </c>
      <c r="C11255" s="1" t="n">
        <v>45657</v>
      </c>
      <c r="D11255" t="inlineStr">
        <is>
          <t>VÄSTERNORRLANDS LÄN</t>
        </is>
      </c>
      <c r="E11255" t="inlineStr">
        <is>
          <t>ÖRNSKÖLDSVIK</t>
        </is>
      </c>
      <c r="F11255" t="inlineStr">
        <is>
          <t>Holmen skog AB</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57273-2023</t>
        </is>
      </c>
      <c r="B11256" s="1" t="n">
        <v>45245</v>
      </c>
      <c r="C11256" s="1" t="n">
        <v>45657</v>
      </c>
      <c r="D11256" t="inlineStr">
        <is>
          <t>VÄSTERNORRLANDS LÄN</t>
        </is>
      </c>
      <c r="E11256" t="inlineStr">
        <is>
          <t>ÖRNSKÖLDSVIK</t>
        </is>
      </c>
      <c r="F11256" t="inlineStr">
        <is>
          <t>Holmen skog AB</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57280-2023</t>
        </is>
      </c>
      <c r="B11257" s="1" t="n">
        <v>45245</v>
      </c>
      <c r="C11257" s="1" t="n">
        <v>45657</v>
      </c>
      <c r="D11257" t="inlineStr">
        <is>
          <t>VÄSTERNORRLANDS LÄN</t>
        </is>
      </c>
      <c r="E11257" t="inlineStr">
        <is>
          <t>ÖRNSKÖLDSVIK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57384-2023</t>
        </is>
      </c>
      <c r="B11258" s="1" t="n">
        <v>45245</v>
      </c>
      <c r="C11258" s="1" t="n">
        <v>45657</v>
      </c>
      <c r="D11258" t="inlineStr">
        <is>
          <t>VÄSTERNORRLANDS LÄN</t>
        </is>
      </c>
      <c r="E11258" t="inlineStr">
        <is>
          <t>SOLLEFTEÅ</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57396-2023</t>
        </is>
      </c>
      <c r="B11259" s="1" t="n">
        <v>45245</v>
      </c>
      <c r="C11259" s="1" t="n">
        <v>45657</v>
      </c>
      <c r="D11259" t="inlineStr">
        <is>
          <t>VÄSTERNORRLANDS LÄN</t>
        </is>
      </c>
      <c r="E11259" t="inlineStr">
        <is>
          <t>ÅNGE</t>
        </is>
      </c>
      <c r="F11259" t="inlineStr">
        <is>
          <t>SCA</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57400-2023</t>
        </is>
      </c>
      <c r="B11260" s="1" t="n">
        <v>45246</v>
      </c>
      <c r="C11260" s="1" t="n">
        <v>45657</v>
      </c>
      <c r="D11260" t="inlineStr">
        <is>
          <t>VÄSTERNORRLANDS LÄN</t>
        </is>
      </c>
      <c r="E11260" t="inlineStr">
        <is>
          <t>SUNDSVALL</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57404-2023</t>
        </is>
      </c>
      <c r="B11261" s="1" t="n">
        <v>45246</v>
      </c>
      <c r="C11261" s="1" t="n">
        <v>45657</v>
      </c>
      <c r="D11261" t="inlineStr">
        <is>
          <t>VÄSTERNORRLANDS LÄN</t>
        </is>
      </c>
      <c r="E11261" t="inlineStr">
        <is>
          <t>SUNDSVALL</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57408-2023</t>
        </is>
      </c>
      <c r="B11262" s="1" t="n">
        <v>45245</v>
      </c>
      <c r="C11262" s="1" t="n">
        <v>45657</v>
      </c>
      <c r="D11262" t="inlineStr">
        <is>
          <t>VÄSTERNORRLANDS LÄN</t>
        </is>
      </c>
      <c r="E11262" t="inlineStr">
        <is>
          <t>ÅNGE</t>
        </is>
      </c>
      <c r="F11262" t="inlineStr">
        <is>
          <t>SCA</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58019-2023</t>
        </is>
      </c>
      <c r="B11263" s="1" t="n">
        <v>45245</v>
      </c>
      <c r="C11263" s="1" t="n">
        <v>45657</v>
      </c>
      <c r="D11263" t="inlineStr">
        <is>
          <t>VÄSTERNORRLANDS LÄN</t>
        </is>
      </c>
      <c r="E11263" t="inlineStr">
        <is>
          <t>ÖRNSKÖLDSVIK</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57146-2023</t>
        </is>
      </c>
      <c r="B11264" s="1" t="n">
        <v>45245</v>
      </c>
      <c r="C11264" s="1" t="n">
        <v>45657</v>
      </c>
      <c r="D11264" t="inlineStr">
        <is>
          <t>VÄSTERNORRLANDS LÄN</t>
        </is>
      </c>
      <c r="E11264" t="inlineStr">
        <is>
          <t>KRAMFORS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57305-2023</t>
        </is>
      </c>
      <c r="B11265" s="1" t="n">
        <v>45245</v>
      </c>
      <c r="C11265" s="1" t="n">
        <v>45657</v>
      </c>
      <c r="D11265" t="inlineStr">
        <is>
          <t>VÄSTERNORRLANDS LÄN</t>
        </is>
      </c>
      <c r="E11265" t="inlineStr">
        <is>
          <t>ÖRNSKÖLDSVIK</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57258-2023</t>
        </is>
      </c>
      <c r="B11266" s="1" t="n">
        <v>45245</v>
      </c>
      <c r="C11266" s="1" t="n">
        <v>45657</v>
      </c>
      <c r="D11266" t="inlineStr">
        <is>
          <t>VÄSTERNORRLANDS LÄN</t>
        </is>
      </c>
      <c r="E11266" t="inlineStr">
        <is>
          <t>ÖRNSKÖLDSVIK</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57294-2023</t>
        </is>
      </c>
      <c r="B11267" s="1" t="n">
        <v>45245</v>
      </c>
      <c r="C11267" s="1" t="n">
        <v>45657</v>
      </c>
      <c r="D11267" t="inlineStr">
        <is>
          <t>VÄSTERNORRLANDS LÄN</t>
        </is>
      </c>
      <c r="E11267" t="inlineStr">
        <is>
          <t>ÖRNSKÖLDSVIK</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57386-2023</t>
        </is>
      </c>
      <c r="B11268" s="1" t="n">
        <v>45245</v>
      </c>
      <c r="C11268" s="1" t="n">
        <v>45657</v>
      </c>
      <c r="D11268" t="inlineStr">
        <is>
          <t>VÄSTERNORRLANDS LÄN</t>
        </is>
      </c>
      <c r="E11268" t="inlineStr">
        <is>
          <t>KRAMFORS</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57394-2023</t>
        </is>
      </c>
      <c r="B11269" s="1" t="n">
        <v>45246</v>
      </c>
      <c r="C11269" s="1" t="n">
        <v>45657</v>
      </c>
      <c r="D11269" t="inlineStr">
        <is>
          <t>VÄSTERNORRLANDS LÄN</t>
        </is>
      </c>
      <c r="E11269" t="inlineStr">
        <is>
          <t>SOLLEFTEÅ</t>
        </is>
      </c>
      <c r="F11269" t="inlineStr">
        <is>
          <t>SCA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57389-2023</t>
        </is>
      </c>
      <c r="B11270" s="1" t="n">
        <v>45245</v>
      </c>
      <c r="C11270" s="1" t="n">
        <v>45657</v>
      </c>
      <c r="D11270" t="inlineStr">
        <is>
          <t>VÄSTERNORRLANDS LÄN</t>
        </is>
      </c>
      <c r="E11270" t="inlineStr">
        <is>
          <t>HÄRNÖSAND</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57406-2023</t>
        </is>
      </c>
      <c r="B11271" s="1" t="n">
        <v>45245</v>
      </c>
      <c r="C11271" s="1" t="n">
        <v>45657</v>
      </c>
      <c r="D11271" t="inlineStr">
        <is>
          <t>VÄSTERNORRLANDS LÄN</t>
        </is>
      </c>
      <c r="E11271" t="inlineStr">
        <is>
          <t>ÅNGE</t>
        </is>
      </c>
      <c r="F11271" t="inlineStr">
        <is>
          <t>SCA</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57410-2023</t>
        </is>
      </c>
      <c r="B11272" s="1" t="n">
        <v>45245</v>
      </c>
      <c r="C11272" s="1" t="n">
        <v>45657</v>
      </c>
      <c r="D11272" t="inlineStr">
        <is>
          <t>VÄSTERNORRLANDS LÄN</t>
        </is>
      </c>
      <c r="E11272" t="inlineStr">
        <is>
          <t>ÅNGE</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57972-2023</t>
        </is>
      </c>
      <c r="B11273" s="1" t="n">
        <v>45245</v>
      </c>
      <c r="C11273" s="1" t="n">
        <v>45657</v>
      </c>
      <c r="D11273" t="inlineStr">
        <is>
          <t>VÄSTERNORRLANDS LÄN</t>
        </is>
      </c>
      <c r="E11273" t="inlineStr">
        <is>
          <t>KRAMFORS</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57413-2023</t>
        </is>
      </c>
      <c r="B11274" s="1" t="n">
        <v>45245</v>
      </c>
      <c r="C11274" s="1" t="n">
        <v>45657</v>
      </c>
      <c r="D11274" t="inlineStr">
        <is>
          <t>VÄSTERNORRLANDS LÄN</t>
        </is>
      </c>
      <c r="E11274" t="inlineStr">
        <is>
          <t>HÄRNÖSAND</t>
        </is>
      </c>
      <c r="F11274" t="inlineStr">
        <is>
          <t>SCA</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58036-2023</t>
        </is>
      </c>
      <c r="B11275" s="1" t="n">
        <v>45245</v>
      </c>
      <c r="C11275" s="1" t="n">
        <v>45657</v>
      </c>
      <c r="D11275" t="inlineStr">
        <is>
          <t>VÄSTERNORRLANDS LÄN</t>
        </is>
      </c>
      <c r="E11275" t="inlineStr">
        <is>
          <t>SUNDSVALL</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58131-2023</t>
        </is>
      </c>
      <c r="B11276" s="1" t="n">
        <v>45245</v>
      </c>
      <c r="C11276" s="1" t="n">
        <v>45657</v>
      </c>
      <c r="D11276" t="inlineStr">
        <is>
          <t>VÄSTERNORRLANDS LÄN</t>
        </is>
      </c>
      <c r="E11276" t="inlineStr">
        <is>
          <t>KRAMFORS</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58200-2023</t>
        </is>
      </c>
      <c r="B11277" s="1" t="n">
        <v>45245</v>
      </c>
      <c r="C11277" s="1" t="n">
        <v>45657</v>
      </c>
      <c r="D11277" t="inlineStr">
        <is>
          <t>VÄSTERNORRLANDS LÄN</t>
        </is>
      </c>
      <c r="E11277" t="inlineStr">
        <is>
          <t>ÖRNSKÖLDSVIK</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57318-2023</t>
        </is>
      </c>
      <c r="B11278" s="1" t="n">
        <v>45245</v>
      </c>
      <c r="C11278" s="1" t="n">
        <v>45657</v>
      </c>
      <c r="D11278" t="inlineStr">
        <is>
          <t>VÄSTERNORRLANDS LÄN</t>
        </is>
      </c>
      <c r="E11278" t="inlineStr">
        <is>
          <t>ÖRNSKÖLDSVIK</t>
        </is>
      </c>
      <c r="F11278" t="inlineStr">
        <is>
          <t>Holmen skog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57340-2023</t>
        </is>
      </c>
      <c r="B11279" s="1" t="n">
        <v>45245</v>
      </c>
      <c r="C11279" s="1" t="n">
        <v>45657</v>
      </c>
      <c r="D11279" t="inlineStr">
        <is>
          <t>VÄSTERNORRLANDS LÄN</t>
        </is>
      </c>
      <c r="E11279" t="inlineStr">
        <is>
          <t>ÖRNSKÖLDSVIK</t>
        </is>
      </c>
      <c r="F11279" t="inlineStr">
        <is>
          <t>Holmen skog AB</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57395-2023</t>
        </is>
      </c>
      <c r="B11280" s="1" t="n">
        <v>45246</v>
      </c>
      <c r="C11280" s="1" t="n">
        <v>45657</v>
      </c>
      <c r="D11280" t="inlineStr">
        <is>
          <t>VÄSTERNORRLANDS LÄN</t>
        </is>
      </c>
      <c r="E11280" t="inlineStr">
        <is>
          <t>SOLLEFTEÅ</t>
        </is>
      </c>
      <c r="F11280" t="inlineStr">
        <is>
          <t>SCA</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57399-2023</t>
        </is>
      </c>
      <c r="B11281" s="1" t="n">
        <v>45245</v>
      </c>
      <c r="C11281" s="1" t="n">
        <v>45657</v>
      </c>
      <c r="D11281" t="inlineStr">
        <is>
          <t>VÄSTERNORRLANDS LÄN</t>
        </is>
      </c>
      <c r="E11281" t="inlineStr">
        <is>
          <t>SUNDSVALL</t>
        </is>
      </c>
      <c r="F11281" t="inlineStr">
        <is>
          <t>SCA</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57403-2023</t>
        </is>
      </c>
      <c r="B11282" s="1" t="n">
        <v>45245</v>
      </c>
      <c r="C11282" s="1" t="n">
        <v>45657</v>
      </c>
      <c r="D11282" t="inlineStr">
        <is>
          <t>VÄSTERNORRLANDS LÄN</t>
        </is>
      </c>
      <c r="E11282" t="inlineStr">
        <is>
          <t>SUNDSVALL</t>
        </is>
      </c>
      <c r="F11282" t="inlineStr">
        <is>
          <t>SCA</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57411-2023</t>
        </is>
      </c>
      <c r="B11283" s="1" t="n">
        <v>45245</v>
      </c>
      <c r="C11283" s="1" t="n">
        <v>45657</v>
      </c>
      <c r="D11283" t="inlineStr">
        <is>
          <t>VÄSTERNORRLANDS LÄN</t>
        </is>
      </c>
      <c r="E11283" t="inlineStr">
        <is>
          <t>SOLLEFTEÅ</t>
        </is>
      </c>
      <c r="F11283" t="inlineStr">
        <is>
          <t>SCA</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58048-2023</t>
        </is>
      </c>
      <c r="B11284" s="1" t="n">
        <v>45245</v>
      </c>
      <c r="C11284" s="1" t="n">
        <v>45657</v>
      </c>
      <c r="D11284" t="inlineStr">
        <is>
          <t>VÄSTERNORRLANDS LÄN</t>
        </is>
      </c>
      <c r="E11284" t="inlineStr">
        <is>
          <t>SUNDSVALL</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58298-2023</t>
        </is>
      </c>
      <c r="B11285" s="1" t="n">
        <v>45245</v>
      </c>
      <c r="C11285" s="1" t="n">
        <v>45657</v>
      </c>
      <c r="D11285" t="inlineStr">
        <is>
          <t>VÄSTERNORRLANDS LÄN</t>
        </is>
      </c>
      <c r="E11285" t="inlineStr">
        <is>
          <t>SOLLEFTEÅ</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57455-2023</t>
        </is>
      </c>
      <c r="B11286" s="1" t="n">
        <v>45246</v>
      </c>
      <c r="C11286" s="1" t="n">
        <v>45657</v>
      </c>
      <c r="D11286" t="inlineStr">
        <is>
          <t>VÄSTERNORRLANDS LÄN</t>
        </is>
      </c>
      <c r="E11286" t="inlineStr">
        <is>
          <t>SUNDSVALL</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57623-2023</t>
        </is>
      </c>
      <c r="B11287" s="1" t="n">
        <v>45246</v>
      </c>
      <c r="C11287" s="1" t="n">
        <v>45657</v>
      </c>
      <c r="D11287" t="inlineStr">
        <is>
          <t>VÄSTERNORRLANDS LÄN</t>
        </is>
      </c>
      <c r="E11287" t="inlineStr">
        <is>
          <t>ÖRNSKÖLDSVIK</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57655-2023</t>
        </is>
      </c>
      <c r="B11288" s="1" t="n">
        <v>45246</v>
      </c>
      <c r="C11288" s="1" t="n">
        <v>45657</v>
      </c>
      <c r="D11288" t="inlineStr">
        <is>
          <t>VÄSTERNORRLANDS LÄN</t>
        </is>
      </c>
      <c r="E11288" t="inlineStr">
        <is>
          <t>SOLLEFTEÅ</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57545-2023</t>
        </is>
      </c>
      <c r="B11289" s="1" t="n">
        <v>45246</v>
      </c>
      <c r="C11289" s="1" t="n">
        <v>45657</v>
      </c>
      <c r="D11289" t="inlineStr">
        <is>
          <t>VÄSTERNORRLANDS LÄN</t>
        </is>
      </c>
      <c r="E11289" t="inlineStr">
        <is>
          <t>ÖRNSKÖLDSVIK</t>
        </is>
      </c>
      <c r="F11289" t="inlineStr">
        <is>
          <t>Holmen skog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57516-2023</t>
        </is>
      </c>
      <c r="B11290" s="1" t="n">
        <v>45246</v>
      </c>
      <c r="C11290" s="1" t="n">
        <v>45657</v>
      </c>
      <c r="D11290" t="inlineStr">
        <is>
          <t>VÄSTERNORRLANDS LÄN</t>
        </is>
      </c>
      <c r="E11290" t="inlineStr">
        <is>
          <t>ÅNGE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57762-2023</t>
        </is>
      </c>
      <c r="B11291" s="1" t="n">
        <v>45246</v>
      </c>
      <c r="C11291" s="1" t="n">
        <v>45657</v>
      </c>
      <c r="D11291" t="inlineStr">
        <is>
          <t>VÄSTERNORRLANDS LÄN</t>
        </is>
      </c>
      <c r="E11291" t="inlineStr">
        <is>
          <t>TIMRÅ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57568-2023</t>
        </is>
      </c>
      <c r="B11292" s="1" t="n">
        <v>45246</v>
      </c>
      <c r="C11292" s="1" t="n">
        <v>45657</v>
      </c>
      <c r="D11292" t="inlineStr">
        <is>
          <t>VÄSTERNORRLANDS LÄN</t>
        </is>
      </c>
      <c r="E11292" t="inlineStr">
        <is>
          <t>ÅNGE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57775-2023</t>
        </is>
      </c>
      <c r="B11293" s="1" t="n">
        <v>45246</v>
      </c>
      <c r="C11293" s="1" t="n">
        <v>45657</v>
      </c>
      <c r="D11293" t="inlineStr">
        <is>
          <t>VÄSTERNORRLANDS LÄN</t>
        </is>
      </c>
      <c r="E11293" t="inlineStr">
        <is>
          <t>SUNDSVALL</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57787-2023</t>
        </is>
      </c>
      <c r="B11294" s="1" t="n">
        <v>45246</v>
      </c>
      <c r="C11294" s="1" t="n">
        <v>45657</v>
      </c>
      <c r="D11294" t="inlineStr">
        <is>
          <t>VÄSTERNORRLANDS LÄN</t>
        </is>
      </c>
      <c r="E11294" t="inlineStr">
        <is>
          <t>SUNDSVALL</t>
        </is>
      </c>
      <c r="F11294" t="inlineStr">
        <is>
          <t>SCA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57791-2023</t>
        </is>
      </c>
      <c r="B11295" s="1" t="n">
        <v>45247</v>
      </c>
      <c r="C11295" s="1" t="n">
        <v>45657</v>
      </c>
      <c r="D11295" t="inlineStr">
        <is>
          <t>VÄSTERNORRLANDS LÄN</t>
        </is>
      </c>
      <c r="E11295" t="inlineStr">
        <is>
          <t>ÅNGE</t>
        </is>
      </c>
      <c r="F11295" t="inlineStr">
        <is>
          <t>SCA</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57785-2023</t>
        </is>
      </c>
      <c r="B11296" s="1" t="n">
        <v>45246</v>
      </c>
      <c r="C11296" s="1" t="n">
        <v>45657</v>
      </c>
      <c r="D11296" t="inlineStr">
        <is>
          <t>VÄSTERNORRLANDS LÄN</t>
        </is>
      </c>
      <c r="E11296" t="inlineStr">
        <is>
          <t>SUNDSVALL</t>
        </is>
      </c>
      <c r="F11296" t="inlineStr">
        <is>
          <t>SCA</t>
        </is>
      </c>
      <c r="G11296" t="n">
        <v>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57679-2023</t>
        </is>
      </c>
      <c r="B11297" s="1" t="n">
        <v>45246</v>
      </c>
      <c r="C11297" s="1" t="n">
        <v>45657</v>
      </c>
      <c r="D11297" t="inlineStr">
        <is>
          <t>VÄSTERNORRLANDS LÄN</t>
        </is>
      </c>
      <c r="E11297" t="inlineStr">
        <is>
          <t>ÖRNSKÖLDSVIK</t>
        </is>
      </c>
      <c r="F11297" t="inlineStr">
        <is>
          <t>Holmen skog AB</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58535-2023</t>
        </is>
      </c>
      <c r="B11298" s="1" t="n">
        <v>45246</v>
      </c>
      <c r="C11298" s="1" t="n">
        <v>45657</v>
      </c>
      <c r="D11298" t="inlineStr">
        <is>
          <t>VÄSTERNORRLANDS LÄN</t>
        </is>
      </c>
      <c r="E11298" t="inlineStr">
        <is>
          <t>SUNDSVALL</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58595-2023</t>
        </is>
      </c>
      <c r="B11299" s="1" t="n">
        <v>45246</v>
      </c>
      <c r="C11299" s="1" t="n">
        <v>45657</v>
      </c>
      <c r="D11299" t="inlineStr">
        <is>
          <t>VÄSTERNORRLANDS LÄN</t>
        </is>
      </c>
      <c r="E11299" t="inlineStr">
        <is>
          <t>SUNDSVALL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58571-2023</t>
        </is>
      </c>
      <c r="B11300" s="1" t="n">
        <v>45246</v>
      </c>
      <c r="C11300" s="1" t="n">
        <v>45657</v>
      </c>
      <c r="D11300" t="inlineStr">
        <is>
          <t>VÄSTERNORRLANDS LÄN</t>
        </is>
      </c>
      <c r="E11300" t="inlineStr">
        <is>
          <t>SUNDSVALL</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57773-2023</t>
        </is>
      </c>
      <c r="B11301" s="1" t="n">
        <v>45246</v>
      </c>
      <c r="C11301" s="1" t="n">
        <v>45657</v>
      </c>
      <c r="D11301" t="inlineStr">
        <is>
          <t>VÄSTERNORRLANDS LÄN</t>
        </is>
      </c>
      <c r="E11301" t="inlineStr">
        <is>
          <t>SUNDSVALL</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57786-2023</t>
        </is>
      </c>
      <c r="B11302" s="1" t="n">
        <v>45247</v>
      </c>
      <c r="C11302" s="1" t="n">
        <v>45657</v>
      </c>
      <c r="D11302" t="inlineStr">
        <is>
          <t>VÄSTERNORRLANDS LÄN</t>
        </is>
      </c>
      <c r="E11302" t="inlineStr">
        <is>
          <t>HÄRNÖSAND</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57671-2023</t>
        </is>
      </c>
      <c r="B11303" s="1" t="n">
        <v>45246</v>
      </c>
      <c r="C11303" s="1" t="n">
        <v>45657</v>
      </c>
      <c r="D11303" t="inlineStr">
        <is>
          <t>VÄSTERNORRLANDS LÄN</t>
        </is>
      </c>
      <c r="E11303" t="inlineStr">
        <is>
          <t>ÖRNSKÖLDSVIK</t>
        </is>
      </c>
      <c r="F11303" t="inlineStr">
        <is>
          <t>Holmen skog AB</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57776-2023</t>
        </is>
      </c>
      <c r="B11304" s="1" t="n">
        <v>45246</v>
      </c>
      <c r="C11304" s="1" t="n">
        <v>45657</v>
      </c>
      <c r="D11304" t="inlineStr">
        <is>
          <t>VÄSTERNORRLANDS LÄN</t>
        </is>
      </c>
      <c r="E11304" t="inlineStr">
        <is>
          <t>SUNDSVALL</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57780-2023</t>
        </is>
      </c>
      <c r="B11305" s="1" t="n">
        <v>45247</v>
      </c>
      <c r="C11305" s="1" t="n">
        <v>45657</v>
      </c>
      <c r="D11305" t="inlineStr">
        <is>
          <t>VÄSTERNORRLANDS LÄN</t>
        </is>
      </c>
      <c r="E11305" t="inlineStr">
        <is>
          <t>ÅNGE</t>
        </is>
      </c>
      <c r="F11305" t="inlineStr">
        <is>
          <t>SCA</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57784-2023</t>
        </is>
      </c>
      <c r="B11306" s="1" t="n">
        <v>45246</v>
      </c>
      <c r="C11306" s="1" t="n">
        <v>45657</v>
      </c>
      <c r="D11306" t="inlineStr">
        <is>
          <t>VÄSTERNORRLANDS LÄN</t>
        </is>
      </c>
      <c r="E11306" t="inlineStr">
        <is>
          <t>SUNDSVALL</t>
        </is>
      </c>
      <c r="F11306" t="inlineStr">
        <is>
          <t>SCA</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57927-2023</t>
        </is>
      </c>
      <c r="B11307" s="1" t="n">
        <v>45247</v>
      </c>
      <c r="C11307" s="1" t="n">
        <v>45657</v>
      </c>
      <c r="D11307" t="inlineStr">
        <is>
          <t>VÄSTERNORRLANDS LÄN</t>
        </is>
      </c>
      <c r="E11307" t="inlineStr">
        <is>
          <t>ÅNGE</t>
        </is>
      </c>
      <c r="F11307" t="inlineStr">
        <is>
          <t>Holmen skog AB</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57859-2023</t>
        </is>
      </c>
      <c r="B11308" s="1" t="n">
        <v>45247</v>
      </c>
      <c r="C11308" s="1" t="n">
        <v>45657</v>
      </c>
      <c r="D11308" t="inlineStr">
        <is>
          <t>VÄSTERNORRLANDS LÄN</t>
        </is>
      </c>
      <c r="E11308" t="inlineStr">
        <is>
          <t>ÖRNSKÖLDSVIK</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57974-2023</t>
        </is>
      </c>
      <c r="B11309" s="1" t="n">
        <v>45247</v>
      </c>
      <c r="C11309" s="1" t="n">
        <v>45657</v>
      </c>
      <c r="D11309" t="inlineStr">
        <is>
          <t>VÄSTERNORRLANDS LÄN</t>
        </is>
      </c>
      <c r="E11309" t="inlineStr">
        <is>
          <t>ÖRNSKÖLDSVIK</t>
        </is>
      </c>
      <c r="F11309" t="inlineStr">
        <is>
          <t>Holmen skog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57994-2023</t>
        </is>
      </c>
      <c r="B11310" s="1" t="n">
        <v>45247</v>
      </c>
      <c r="C11310" s="1" t="n">
        <v>45657</v>
      </c>
      <c r="D11310" t="inlineStr">
        <is>
          <t>VÄSTERNORRLANDS LÄN</t>
        </is>
      </c>
      <c r="E11310" t="inlineStr">
        <is>
          <t>ÖRNSKÖLDSVIK</t>
        </is>
      </c>
      <c r="F11310" t="inlineStr">
        <is>
          <t>Holmen skog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57888-2023</t>
        </is>
      </c>
      <c r="B11311" s="1" t="n">
        <v>45247</v>
      </c>
      <c r="C11311" s="1" t="n">
        <v>45657</v>
      </c>
      <c r="D11311" t="inlineStr">
        <is>
          <t>VÄSTERNORRLANDS LÄN</t>
        </is>
      </c>
      <c r="E11311" t="inlineStr">
        <is>
          <t>ÖRNSKÖLDSVIK</t>
        </is>
      </c>
      <c r="F11311" t="inlineStr">
        <is>
          <t>Holmen skog AB</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57918-2023</t>
        </is>
      </c>
      <c r="B11312" s="1" t="n">
        <v>45247</v>
      </c>
      <c r="C11312" s="1" t="n">
        <v>45657</v>
      </c>
      <c r="D11312" t="inlineStr">
        <is>
          <t>VÄSTERNORRLANDS LÄN</t>
        </is>
      </c>
      <c r="E11312" t="inlineStr">
        <is>
          <t>ÖRNSKÖLDSVIK</t>
        </is>
      </c>
      <c r="F11312" t="inlineStr">
        <is>
          <t>Holmen skog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57924-2023</t>
        </is>
      </c>
      <c r="B11313" s="1" t="n">
        <v>45247</v>
      </c>
      <c r="C11313" s="1" t="n">
        <v>45657</v>
      </c>
      <c r="D11313" t="inlineStr">
        <is>
          <t>VÄSTERNORRLANDS LÄN</t>
        </is>
      </c>
      <c r="E11313" t="inlineStr">
        <is>
          <t>ÖRNSKÖLDSVIK</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57977-2023</t>
        </is>
      </c>
      <c r="B11314" s="1" t="n">
        <v>45247</v>
      </c>
      <c r="C11314" s="1" t="n">
        <v>45657</v>
      </c>
      <c r="D11314" t="inlineStr">
        <is>
          <t>VÄSTERNORRLANDS LÄN</t>
        </is>
      </c>
      <c r="E11314" t="inlineStr">
        <is>
          <t>ÖRNSKÖLDSVIK</t>
        </is>
      </c>
      <c r="F11314" t="inlineStr">
        <is>
          <t>Holmen skog AB</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57956-2023</t>
        </is>
      </c>
      <c r="B11315" s="1" t="n">
        <v>45247</v>
      </c>
      <c r="C11315" s="1" t="n">
        <v>45657</v>
      </c>
      <c r="D11315" t="inlineStr">
        <is>
          <t>VÄSTERNORRLANDS LÄN</t>
        </is>
      </c>
      <c r="E11315" t="inlineStr">
        <is>
          <t>ÅNGE</t>
        </is>
      </c>
      <c r="F11315" t="inlineStr">
        <is>
          <t>Holmen skog AB</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58062-2023</t>
        </is>
      </c>
      <c r="B11316" s="1" t="n">
        <v>45247</v>
      </c>
      <c r="C11316" s="1" t="n">
        <v>45657</v>
      </c>
      <c r="D11316" t="inlineStr">
        <is>
          <t>VÄSTERNORRLANDS LÄN</t>
        </is>
      </c>
      <c r="E11316" t="inlineStr">
        <is>
          <t>TIMRÅ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58081-2023</t>
        </is>
      </c>
      <c r="B11317" s="1" t="n">
        <v>45247</v>
      </c>
      <c r="C11317" s="1" t="n">
        <v>45657</v>
      </c>
      <c r="D11317" t="inlineStr">
        <is>
          <t>VÄSTERNORRLANDS LÄN</t>
        </is>
      </c>
      <c r="E11317" t="inlineStr">
        <is>
          <t>TIMRÅ</t>
        </is>
      </c>
      <c r="F11317" t="inlineStr">
        <is>
          <t>SCA</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58085-2023</t>
        </is>
      </c>
      <c r="B11318" s="1" t="n">
        <v>45247</v>
      </c>
      <c r="C11318" s="1" t="n">
        <v>45657</v>
      </c>
      <c r="D11318" t="inlineStr">
        <is>
          <t>VÄSTERNORRLANDS LÄN</t>
        </is>
      </c>
      <c r="E11318" t="inlineStr">
        <is>
          <t>SOLLEFTEÅ</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58061-2023</t>
        </is>
      </c>
      <c r="B11319" s="1" t="n">
        <v>45247</v>
      </c>
      <c r="C11319" s="1" t="n">
        <v>45657</v>
      </c>
      <c r="D11319" t="inlineStr">
        <is>
          <t>VÄSTERNORRLANDS LÄN</t>
        </is>
      </c>
      <c r="E11319" t="inlineStr">
        <is>
          <t>SUNDSVALL</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58086-2023</t>
        </is>
      </c>
      <c r="B11320" s="1" t="n">
        <v>45248</v>
      </c>
      <c r="C11320" s="1" t="n">
        <v>45657</v>
      </c>
      <c r="D11320" t="inlineStr">
        <is>
          <t>VÄSTERNORRLANDS LÄN</t>
        </is>
      </c>
      <c r="E11320" t="inlineStr">
        <is>
          <t>ÅNGE</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58686-2023</t>
        </is>
      </c>
      <c r="B11321" s="1" t="n">
        <v>45247</v>
      </c>
      <c r="C11321" s="1" t="n">
        <v>45657</v>
      </c>
      <c r="D11321" t="inlineStr">
        <is>
          <t>VÄSTERNORRLANDS LÄN</t>
        </is>
      </c>
      <c r="E11321" t="inlineStr">
        <is>
          <t>ÖRNSKÖLDSVIK</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58681-2023</t>
        </is>
      </c>
      <c r="B11322" s="1" t="n">
        <v>45247</v>
      </c>
      <c r="C11322" s="1" t="n">
        <v>45657</v>
      </c>
      <c r="D11322" t="inlineStr">
        <is>
          <t>VÄSTERNORRLANDS LÄN</t>
        </is>
      </c>
      <c r="E11322" t="inlineStr">
        <is>
          <t>ÖRNSKÖLDSVIK</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58786-2023</t>
        </is>
      </c>
      <c r="B11323" s="1" t="n">
        <v>45247</v>
      </c>
      <c r="C11323" s="1" t="n">
        <v>45657</v>
      </c>
      <c r="D11323" t="inlineStr">
        <is>
          <t>VÄSTERNORRLANDS LÄN</t>
        </is>
      </c>
      <c r="E11323" t="inlineStr">
        <is>
          <t>KRAMFORS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58696-2023</t>
        </is>
      </c>
      <c r="B11324" s="1" t="n">
        <v>45247</v>
      </c>
      <c r="C11324" s="1" t="n">
        <v>45657</v>
      </c>
      <c r="D11324" t="inlineStr">
        <is>
          <t>VÄSTERNORRLANDS LÄN</t>
        </is>
      </c>
      <c r="E11324" t="inlineStr">
        <is>
          <t>ÖRNSKÖLDSVIK</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58087-2023</t>
        </is>
      </c>
      <c r="B11325" s="1" t="n">
        <v>45248</v>
      </c>
      <c r="C11325" s="1" t="n">
        <v>45657</v>
      </c>
      <c r="D11325" t="inlineStr">
        <is>
          <t>VÄSTERNORRLANDS LÄN</t>
        </is>
      </c>
      <c r="E11325" t="inlineStr">
        <is>
          <t>TIMRÅ</t>
        </is>
      </c>
      <c r="F11325" t="inlineStr">
        <is>
          <t>SCA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58055-2023</t>
        </is>
      </c>
      <c r="B11326" s="1" t="n">
        <v>45247</v>
      </c>
      <c r="C11326" s="1" t="n">
        <v>45657</v>
      </c>
      <c r="D11326" t="inlineStr">
        <is>
          <t>VÄSTERNORRLANDS LÄN</t>
        </is>
      </c>
      <c r="E11326" t="inlineStr">
        <is>
          <t>ÖRNSKÖLDSVIK</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57919-2023</t>
        </is>
      </c>
      <c r="B11327" s="1" t="n">
        <v>45247</v>
      </c>
      <c r="C11327" s="1" t="n">
        <v>45657</v>
      </c>
      <c r="D11327" t="inlineStr">
        <is>
          <t>VÄSTERNORRLANDS LÄN</t>
        </is>
      </c>
      <c r="E11327" t="inlineStr">
        <is>
          <t>ÖRNSKÖLDSVIK</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58098-2023</t>
        </is>
      </c>
      <c r="B11328" s="1" t="n">
        <v>45248</v>
      </c>
      <c r="C11328" s="1" t="n">
        <v>45657</v>
      </c>
      <c r="D11328" t="inlineStr">
        <is>
          <t>VÄSTERNORRLANDS LÄN</t>
        </is>
      </c>
      <c r="E11328" t="inlineStr">
        <is>
          <t>ÅNGE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58123-2023</t>
        </is>
      </c>
      <c r="B11329" s="1" t="n">
        <v>45249</v>
      </c>
      <c r="C11329" s="1" t="n">
        <v>45657</v>
      </c>
      <c r="D11329" t="inlineStr">
        <is>
          <t>VÄSTERNORRLANDS LÄN</t>
        </is>
      </c>
      <c r="E11329" t="inlineStr">
        <is>
          <t>SUNDSVALL</t>
        </is>
      </c>
      <c r="F11329" t="inlineStr">
        <is>
          <t>SCA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58127-2023</t>
        </is>
      </c>
      <c r="B11330" s="1" t="n">
        <v>45249</v>
      </c>
      <c r="C11330" s="1" t="n">
        <v>45657</v>
      </c>
      <c r="D11330" t="inlineStr">
        <is>
          <t>VÄSTERNORRLANDS LÄN</t>
        </is>
      </c>
      <c r="E11330" t="inlineStr">
        <is>
          <t>SUNDSVALL</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58120-2023</t>
        </is>
      </c>
      <c r="B11331" s="1" t="n">
        <v>45249</v>
      </c>
      <c r="C11331" s="1" t="n">
        <v>45657</v>
      </c>
      <c r="D11331" t="inlineStr">
        <is>
          <t>VÄSTERNORRLANDS LÄN</t>
        </is>
      </c>
      <c r="E11331" t="inlineStr">
        <is>
          <t>ÖRNSKÖLDSVIK</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58124-2023</t>
        </is>
      </c>
      <c r="B11332" s="1" t="n">
        <v>45249</v>
      </c>
      <c r="C11332" s="1" t="n">
        <v>45657</v>
      </c>
      <c r="D11332" t="inlineStr">
        <is>
          <t>VÄSTERNORRLANDS LÄN</t>
        </is>
      </c>
      <c r="E11332" t="inlineStr">
        <is>
          <t>SUNDSVALL</t>
        </is>
      </c>
      <c r="F11332" t="inlineStr">
        <is>
          <t>SCA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58128-2023</t>
        </is>
      </c>
      <c r="B11333" s="1" t="n">
        <v>45249</v>
      </c>
      <c r="C11333" s="1" t="n">
        <v>45657</v>
      </c>
      <c r="D11333" t="inlineStr">
        <is>
          <t>VÄSTERNORRLANDS LÄN</t>
        </is>
      </c>
      <c r="E11333" t="inlineStr">
        <is>
          <t>SUNDSVALL</t>
        </is>
      </c>
      <c r="F11333" t="inlineStr">
        <is>
          <t>SCA</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58122-2023</t>
        </is>
      </c>
      <c r="B11334" s="1" t="n">
        <v>45249</v>
      </c>
      <c r="C11334" s="1" t="n">
        <v>45657</v>
      </c>
      <c r="D11334" t="inlineStr">
        <is>
          <t>VÄSTERNORRLANDS LÄN</t>
        </is>
      </c>
      <c r="E11334" t="inlineStr">
        <is>
          <t>SUNDSVALL</t>
        </is>
      </c>
      <c r="F11334" t="inlineStr">
        <is>
          <t>SCA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58126-2023</t>
        </is>
      </c>
      <c r="B11335" s="1" t="n">
        <v>45249</v>
      </c>
      <c r="C11335" s="1" t="n">
        <v>45657</v>
      </c>
      <c r="D11335" t="inlineStr">
        <is>
          <t>VÄSTERNORRLANDS LÄN</t>
        </is>
      </c>
      <c r="E11335" t="inlineStr">
        <is>
          <t>SUNDSVALL</t>
        </is>
      </c>
      <c r="F11335" t="inlineStr">
        <is>
          <t>SCA</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58121-2023</t>
        </is>
      </c>
      <c r="B11336" s="1" t="n">
        <v>45249</v>
      </c>
      <c r="C11336" s="1" t="n">
        <v>45657</v>
      </c>
      <c r="D11336" t="inlineStr">
        <is>
          <t>VÄSTERNORRLANDS LÄN</t>
        </is>
      </c>
      <c r="E11336" t="inlineStr">
        <is>
          <t>SUNDSVALL</t>
        </is>
      </c>
      <c r="F11336" t="inlineStr">
        <is>
          <t>SCA</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58125-2023</t>
        </is>
      </c>
      <c r="B11337" s="1" t="n">
        <v>45249</v>
      </c>
      <c r="C11337" s="1" t="n">
        <v>45657</v>
      </c>
      <c r="D11337" t="inlineStr">
        <is>
          <t>VÄSTERNORRLANDS LÄN</t>
        </is>
      </c>
      <c r="E11337" t="inlineStr">
        <is>
          <t>SUNDSVALL</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58129-2023</t>
        </is>
      </c>
      <c r="B11338" s="1" t="n">
        <v>45249</v>
      </c>
      <c r="C11338" s="1" t="n">
        <v>45657</v>
      </c>
      <c r="D11338" t="inlineStr">
        <is>
          <t>VÄSTERNORRLANDS LÄN</t>
        </is>
      </c>
      <c r="E11338" t="inlineStr">
        <is>
          <t>SUNDSVALL</t>
        </is>
      </c>
      <c r="F11338" t="inlineStr">
        <is>
          <t>SCA</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58155-2023</t>
        </is>
      </c>
      <c r="B11339" s="1" t="n">
        <v>45250</v>
      </c>
      <c r="C11339" s="1" t="n">
        <v>45657</v>
      </c>
      <c r="D11339" t="inlineStr">
        <is>
          <t>VÄSTERNORRLANDS LÄN</t>
        </is>
      </c>
      <c r="E11339" t="inlineStr">
        <is>
          <t>SOLLEFTEÅ</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58167-2023</t>
        </is>
      </c>
      <c r="B11340" s="1" t="n">
        <v>45250</v>
      </c>
      <c r="C11340" s="1" t="n">
        <v>45657</v>
      </c>
      <c r="D11340" t="inlineStr">
        <is>
          <t>VÄSTERNORRLANDS LÄN</t>
        </is>
      </c>
      <c r="E11340" t="inlineStr">
        <is>
          <t>ÖRNSKÖLDSVIK</t>
        </is>
      </c>
      <c r="F11340" t="inlineStr">
        <is>
          <t>Holmen skog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58243-2023</t>
        </is>
      </c>
      <c r="B11341" s="1" t="n">
        <v>45250</v>
      </c>
      <c r="C11341" s="1" t="n">
        <v>45657</v>
      </c>
      <c r="D11341" t="inlineStr">
        <is>
          <t>VÄSTERNORRLANDS LÄN</t>
        </is>
      </c>
      <c r="E11341" t="inlineStr">
        <is>
          <t>SUNDSVALL</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58251-2023</t>
        </is>
      </c>
      <c r="B11342" s="1" t="n">
        <v>45250</v>
      </c>
      <c r="C11342" s="1" t="n">
        <v>45657</v>
      </c>
      <c r="D11342" t="inlineStr">
        <is>
          <t>VÄSTERNORRLANDS LÄN</t>
        </is>
      </c>
      <c r="E11342" t="inlineStr">
        <is>
          <t>ÖRNSKÖLDSVIK</t>
        </is>
      </c>
      <c r="F11342" t="inlineStr">
        <is>
          <t>Holmen skog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58282-2023</t>
        </is>
      </c>
      <c r="B11343" s="1" t="n">
        <v>45250</v>
      </c>
      <c r="C11343" s="1" t="n">
        <v>45657</v>
      </c>
      <c r="D11343" t="inlineStr">
        <is>
          <t>VÄSTERNORRLANDS LÄN</t>
        </is>
      </c>
      <c r="E11343" t="inlineStr">
        <is>
          <t>KRAMFORS</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58287-2023</t>
        </is>
      </c>
      <c r="B11344" s="1" t="n">
        <v>45250</v>
      </c>
      <c r="C11344" s="1" t="n">
        <v>45657</v>
      </c>
      <c r="D11344" t="inlineStr">
        <is>
          <t>VÄSTERNORRLANDS LÄN</t>
        </is>
      </c>
      <c r="E11344" t="inlineStr">
        <is>
          <t>ÅNGE</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58380-2023</t>
        </is>
      </c>
      <c r="B11345" s="1" t="n">
        <v>45250</v>
      </c>
      <c r="C11345" s="1" t="n">
        <v>45657</v>
      </c>
      <c r="D11345" t="inlineStr">
        <is>
          <t>VÄSTERNORRLANDS LÄN</t>
        </is>
      </c>
      <c r="E11345" t="inlineStr">
        <is>
          <t>ÖRNSKÖLDSVIK</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58421-2023</t>
        </is>
      </c>
      <c r="B11346" s="1" t="n">
        <v>45250</v>
      </c>
      <c r="C11346" s="1" t="n">
        <v>45657</v>
      </c>
      <c r="D11346" t="inlineStr">
        <is>
          <t>VÄSTERNORRLANDS LÄN</t>
        </is>
      </c>
      <c r="E11346" t="inlineStr">
        <is>
          <t>SUNDSVALL</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58998-2023</t>
        </is>
      </c>
      <c r="B11347" s="1" t="n">
        <v>45250</v>
      </c>
      <c r="C11347" s="1" t="n">
        <v>45657</v>
      </c>
      <c r="D11347" t="inlineStr">
        <is>
          <t>VÄSTERNORRLANDS LÄN</t>
        </is>
      </c>
      <c r="E11347" t="inlineStr">
        <is>
          <t>TIMRÅ</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58329-2023</t>
        </is>
      </c>
      <c r="B11348" s="1" t="n">
        <v>45250</v>
      </c>
      <c r="C11348" s="1" t="n">
        <v>45657</v>
      </c>
      <c r="D11348" t="inlineStr">
        <is>
          <t>VÄSTERNORRLANDS LÄN</t>
        </is>
      </c>
      <c r="E11348" t="inlineStr">
        <is>
          <t>ÖRNSKÖLDSVIK</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58449-2023</t>
        </is>
      </c>
      <c r="B11349" s="1" t="n">
        <v>45250</v>
      </c>
      <c r="C11349" s="1" t="n">
        <v>45657</v>
      </c>
      <c r="D11349" t="inlineStr">
        <is>
          <t>VÄSTERNORRLANDS LÄN</t>
        </is>
      </c>
      <c r="E11349" t="inlineStr">
        <is>
          <t>ÖRNSKÖLDSVIK</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58250-2023</t>
        </is>
      </c>
      <c r="B11350" s="1" t="n">
        <v>45250</v>
      </c>
      <c r="C11350" s="1" t="n">
        <v>45657</v>
      </c>
      <c r="D11350" t="inlineStr">
        <is>
          <t>VÄSTERNORRLANDS LÄN</t>
        </is>
      </c>
      <c r="E11350" t="inlineStr">
        <is>
          <t>ÖRNSKÖLDSVIK</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58328-2023</t>
        </is>
      </c>
      <c r="B11351" s="1" t="n">
        <v>45250</v>
      </c>
      <c r="C11351" s="1" t="n">
        <v>45657</v>
      </c>
      <c r="D11351" t="inlineStr">
        <is>
          <t>VÄSTERNORRLANDS LÄN</t>
        </is>
      </c>
      <c r="E11351" t="inlineStr">
        <is>
          <t>ÖRNSKÖLDSVIK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58463-2023</t>
        </is>
      </c>
      <c r="B11352" s="1" t="n">
        <v>45250</v>
      </c>
      <c r="C11352" s="1" t="n">
        <v>45657</v>
      </c>
      <c r="D11352" t="inlineStr">
        <is>
          <t>VÄSTERNORRLANDS LÄN</t>
        </is>
      </c>
      <c r="E11352" t="inlineStr">
        <is>
          <t>HÄRNÖSAND</t>
        </is>
      </c>
      <c r="F11352" t="inlineStr">
        <is>
          <t>SCA</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58869-2023</t>
        </is>
      </c>
      <c r="B11353" s="1" t="n">
        <v>45250</v>
      </c>
      <c r="C11353" s="1" t="n">
        <v>45657</v>
      </c>
      <c r="D11353" t="inlineStr">
        <is>
          <t>VÄSTERNORRLANDS LÄN</t>
        </is>
      </c>
      <c r="E11353" t="inlineStr">
        <is>
          <t>HÄRNÖSAND</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58923-2023</t>
        </is>
      </c>
      <c r="B11354" s="1" t="n">
        <v>45250</v>
      </c>
      <c r="C11354" s="1" t="n">
        <v>45657</v>
      </c>
      <c r="D11354" t="inlineStr">
        <is>
          <t>VÄSTERNORRLANDS LÄN</t>
        </is>
      </c>
      <c r="E11354" t="inlineStr">
        <is>
          <t>SOLLEFTEÅ</t>
        </is>
      </c>
      <c r="G11354" t="n">
        <v>6.1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58938-2023</t>
        </is>
      </c>
      <c r="B11355" s="1" t="n">
        <v>45250</v>
      </c>
      <c r="C11355" s="1" t="n">
        <v>45657</v>
      </c>
      <c r="D11355" t="inlineStr">
        <is>
          <t>VÄSTERNORRLANDS LÄN</t>
        </is>
      </c>
      <c r="E11355" t="inlineStr">
        <is>
          <t>SOLLEFTEÅ</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58967-2023</t>
        </is>
      </c>
      <c r="B11356" s="1" t="n">
        <v>45250</v>
      </c>
      <c r="C11356" s="1" t="n">
        <v>45657</v>
      </c>
      <c r="D11356" t="inlineStr">
        <is>
          <t>VÄSTERNORRLANDS LÄN</t>
        </is>
      </c>
      <c r="E11356" t="inlineStr">
        <is>
          <t>SUNDSVALL</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59019-2023</t>
        </is>
      </c>
      <c r="B11357" s="1" t="n">
        <v>45250</v>
      </c>
      <c r="C11357" s="1" t="n">
        <v>45657</v>
      </c>
      <c r="D11357" t="inlineStr">
        <is>
          <t>VÄSTERNORRLANDS LÄN</t>
        </is>
      </c>
      <c r="E11357" t="inlineStr">
        <is>
          <t>ÖRNSKÖLDSVIK</t>
        </is>
      </c>
      <c r="G11357" t="n">
        <v>17.8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58470-2023</t>
        </is>
      </c>
      <c r="B11358" s="1" t="n">
        <v>45250</v>
      </c>
      <c r="C11358" s="1" t="n">
        <v>45657</v>
      </c>
      <c r="D11358" t="inlineStr">
        <is>
          <t>VÄSTERNORRLANDS LÄN</t>
        </is>
      </c>
      <c r="E11358" t="inlineStr">
        <is>
          <t>SUNDSVALL</t>
        </is>
      </c>
      <c r="F11358" t="inlineStr">
        <is>
          <t>SCA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58462-2023</t>
        </is>
      </c>
      <c r="B11359" s="1" t="n">
        <v>45250</v>
      </c>
      <c r="C11359" s="1" t="n">
        <v>45657</v>
      </c>
      <c r="D11359" t="inlineStr">
        <is>
          <t>VÄSTERNORRLANDS LÄN</t>
        </is>
      </c>
      <c r="E11359" t="inlineStr">
        <is>
          <t>HÄRNÖSAND</t>
        </is>
      </c>
      <c r="F11359" t="inlineStr">
        <is>
          <t>SCA</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58466-2023</t>
        </is>
      </c>
      <c r="B11360" s="1" t="n">
        <v>45250</v>
      </c>
      <c r="C11360" s="1" t="n">
        <v>45657</v>
      </c>
      <c r="D11360" t="inlineStr">
        <is>
          <t>VÄSTERNORRLANDS LÄN</t>
        </is>
      </c>
      <c r="E11360" t="inlineStr">
        <is>
          <t>SUNDSVALL</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58408-2023</t>
        </is>
      </c>
      <c r="B11361" s="1" t="n">
        <v>45250</v>
      </c>
      <c r="C11361" s="1" t="n">
        <v>45657</v>
      </c>
      <c r="D11361" t="inlineStr">
        <is>
          <t>VÄSTERNORRLANDS LÄN</t>
        </is>
      </c>
      <c r="E11361" t="inlineStr">
        <is>
          <t>SUNDSVALL</t>
        </is>
      </c>
      <c r="F11361" t="inlineStr">
        <is>
          <t>Holmen skog AB</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58427-2023</t>
        </is>
      </c>
      <c r="B11362" s="1" t="n">
        <v>45250</v>
      </c>
      <c r="C11362" s="1" t="n">
        <v>45657</v>
      </c>
      <c r="D11362" t="inlineStr">
        <is>
          <t>VÄSTERNORRLANDS LÄN</t>
        </is>
      </c>
      <c r="E11362" t="inlineStr">
        <is>
          <t>SOLLEFTEÅ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58453-2023</t>
        </is>
      </c>
      <c r="B11363" s="1" t="n">
        <v>45250</v>
      </c>
      <c r="C11363" s="1" t="n">
        <v>45657</v>
      </c>
      <c r="D11363" t="inlineStr">
        <is>
          <t>VÄSTERNORRLANDS LÄN</t>
        </is>
      </c>
      <c r="E11363" t="inlineStr">
        <is>
          <t>SUNDSVALL</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58469-2023</t>
        </is>
      </c>
      <c r="B11364" s="1" t="n">
        <v>45250</v>
      </c>
      <c r="C11364" s="1" t="n">
        <v>45657</v>
      </c>
      <c r="D11364" t="inlineStr">
        <is>
          <t>VÄSTERNORRLANDS LÄN</t>
        </is>
      </c>
      <c r="E11364" t="inlineStr">
        <is>
          <t>ÅNGE</t>
        </is>
      </c>
      <c r="F11364" t="inlineStr">
        <is>
          <t>SCA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58891-2023</t>
        </is>
      </c>
      <c r="B11365" s="1" t="n">
        <v>45250</v>
      </c>
      <c r="C11365" s="1" t="n">
        <v>45657</v>
      </c>
      <c r="D11365" t="inlineStr">
        <is>
          <t>VÄSTERNORRLANDS LÄN</t>
        </is>
      </c>
      <c r="E11365" t="inlineStr">
        <is>
          <t>SOLLEFTEÅ</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58933-2023</t>
        </is>
      </c>
      <c r="B11366" s="1" t="n">
        <v>45250</v>
      </c>
      <c r="C11366" s="1" t="n">
        <v>45657</v>
      </c>
      <c r="D11366" t="inlineStr">
        <is>
          <t>VÄSTERNORRLANDS LÄN</t>
        </is>
      </c>
      <c r="E11366" t="inlineStr">
        <is>
          <t>SOLLEFTEÅ</t>
        </is>
      </c>
      <c r="G11366" t="n">
        <v>9.5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58974-2023</t>
        </is>
      </c>
      <c r="B11367" s="1" t="n">
        <v>45250</v>
      </c>
      <c r="C11367" s="1" t="n">
        <v>45657</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59003-2023</t>
        </is>
      </c>
      <c r="B11368" s="1" t="n">
        <v>45250</v>
      </c>
      <c r="C11368" s="1" t="n">
        <v>45657</v>
      </c>
      <c r="D11368" t="inlineStr">
        <is>
          <t>VÄSTERNORRLANDS LÄN</t>
        </is>
      </c>
      <c r="E11368" t="inlineStr">
        <is>
          <t>HÄRNÖSAND</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59024-2023</t>
        </is>
      </c>
      <c r="B11369" s="1" t="n">
        <v>45250</v>
      </c>
      <c r="C11369" s="1" t="n">
        <v>45657</v>
      </c>
      <c r="D11369" t="inlineStr">
        <is>
          <t>VÄSTERNORRLANDS LÄN</t>
        </is>
      </c>
      <c r="E11369" t="inlineStr">
        <is>
          <t>ÖRNSKÖLDSVIK</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58522-2023</t>
        </is>
      </c>
      <c r="B11370" s="1" t="n">
        <v>45251</v>
      </c>
      <c r="C11370" s="1" t="n">
        <v>45657</v>
      </c>
      <c r="D11370" t="inlineStr">
        <is>
          <t>VÄSTERNORRLANDS LÄN</t>
        </is>
      </c>
      <c r="E11370" t="inlineStr">
        <is>
          <t>ÅNGE</t>
        </is>
      </c>
      <c r="F11370" t="inlineStr">
        <is>
          <t>Övriga Aktiebolag</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58532-2023</t>
        </is>
      </c>
      <c r="B11371" s="1" t="n">
        <v>45251</v>
      </c>
      <c r="C11371" s="1" t="n">
        <v>45657</v>
      </c>
      <c r="D11371" t="inlineStr">
        <is>
          <t>VÄSTERNORRLANDS LÄN</t>
        </is>
      </c>
      <c r="E11371" t="inlineStr">
        <is>
          <t>ÖRNSKÖLDSVIK</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58530-2023</t>
        </is>
      </c>
      <c r="B11372" s="1" t="n">
        <v>45251</v>
      </c>
      <c r="C11372" s="1" t="n">
        <v>45657</v>
      </c>
      <c r="D11372" t="inlineStr">
        <is>
          <t>VÄSTERNORRLANDS LÄN</t>
        </is>
      </c>
      <c r="E11372" t="inlineStr">
        <is>
          <t>ÖRNSKÖLDSVIK</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58550-2023</t>
        </is>
      </c>
      <c r="B11373" s="1" t="n">
        <v>45251</v>
      </c>
      <c r="C11373" s="1" t="n">
        <v>45657</v>
      </c>
      <c r="D11373" t="inlineStr">
        <is>
          <t>VÄSTERNORRLANDS LÄN</t>
        </is>
      </c>
      <c r="E11373" t="inlineStr">
        <is>
          <t>ÅNGE</t>
        </is>
      </c>
      <c r="F11373" t="inlineStr">
        <is>
          <t>Övriga Aktiebolag</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58576-2023</t>
        </is>
      </c>
      <c r="B11374" s="1" t="n">
        <v>45251</v>
      </c>
      <c r="C11374" s="1" t="n">
        <v>45657</v>
      </c>
      <c r="D11374" t="inlineStr">
        <is>
          <t>VÄSTERNORRLANDS LÄN</t>
        </is>
      </c>
      <c r="E11374" t="inlineStr">
        <is>
          <t>ÖRNSKÖLDSVIK</t>
        </is>
      </c>
      <c r="F11374" t="inlineStr">
        <is>
          <t>Holmen skog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58613-2023</t>
        </is>
      </c>
      <c r="B11375" s="1" t="n">
        <v>45251</v>
      </c>
      <c r="C11375" s="1" t="n">
        <v>45657</v>
      </c>
      <c r="D11375" t="inlineStr">
        <is>
          <t>VÄSTERNORRLANDS LÄN</t>
        </is>
      </c>
      <c r="E11375" t="inlineStr">
        <is>
          <t>ÅNGE</t>
        </is>
      </c>
      <c r="F11375" t="inlineStr">
        <is>
          <t>Övriga Aktiebolag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58606-2023</t>
        </is>
      </c>
      <c r="B11376" s="1" t="n">
        <v>45251</v>
      </c>
      <c r="C11376" s="1" t="n">
        <v>45657</v>
      </c>
      <c r="D11376" t="inlineStr">
        <is>
          <t>VÄSTERNORRLANDS LÄN</t>
        </is>
      </c>
      <c r="E11376" t="inlineStr">
        <is>
          <t>SUNDSVALL</t>
        </is>
      </c>
      <c r="G11376" t="n">
        <v>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58634-2023</t>
        </is>
      </c>
      <c r="B11377" s="1" t="n">
        <v>45251</v>
      </c>
      <c r="C11377" s="1" t="n">
        <v>45657</v>
      </c>
      <c r="D11377" t="inlineStr">
        <is>
          <t>VÄSTERNORRLANDS LÄN</t>
        </is>
      </c>
      <c r="E11377" t="inlineStr">
        <is>
          <t>ÅNGE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58637-2023</t>
        </is>
      </c>
      <c r="B11378" s="1" t="n">
        <v>45251</v>
      </c>
      <c r="C11378" s="1" t="n">
        <v>45657</v>
      </c>
      <c r="D11378" t="inlineStr">
        <is>
          <t>VÄSTERNORRLANDS LÄN</t>
        </is>
      </c>
      <c r="E11378" t="inlineStr">
        <is>
          <t>ÅNGE</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58702-2023</t>
        </is>
      </c>
      <c r="B11379" s="1" t="n">
        <v>45251</v>
      </c>
      <c r="C11379" s="1" t="n">
        <v>45657</v>
      </c>
      <c r="D11379" t="inlineStr">
        <is>
          <t>VÄSTERNORRLANDS LÄN</t>
        </is>
      </c>
      <c r="E11379" t="inlineStr">
        <is>
          <t>ÖRNSKÖLDSVIK</t>
        </is>
      </c>
      <c r="F11379" t="inlineStr">
        <is>
          <t>Holmen skog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58734-2023</t>
        </is>
      </c>
      <c r="B11380" s="1" t="n">
        <v>45251</v>
      </c>
      <c r="C11380" s="1" t="n">
        <v>45657</v>
      </c>
      <c r="D11380" t="inlineStr">
        <is>
          <t>VÄSTERNORRLANDS LÄN</t>
        </is>
      </c>
      <c r="E11380" t="inlineStr">
        <is>
          <t>ÖRNSKÖLDSVIK</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58746-2023</t>
        </is>
      </c>
      <c r="B11381" s="1" t="n">
        <v>45251</v>
      </c>
      <c r="C11381" s="1" t="n">
        <v>45657</v>
      </c>
      <c r="D11381" t="inlineStr">
        <is>
          <t>VÄSTERNORRLANDS LÄN</t>
        </is>
      </c>
      <c r="E11381" t="inlineStr">
        <is>
          <t>SUNDSVALL</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58766-2023</t>
        </is>
      </c>
      <c r="B11382" s="1" t="n">
        <v>45252</v>
      </c>
      <c r="C11382" s="1" t="n">
        <v>45657</v>
      </c>
      <c r="D11382" t="inlineStr">
        <is>
          <t>VÄSTERNORRLANDS LÄN</t>
        </is>
      </c>
      <c r="E11382" t="inlineStr">
        <is>
          <t>TIMRÅ</t>
        </is>
      </c>
      <c r="F11382" t="inlineStr">
        <is>
          <t>SCA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58774-2023</t>
        </is>
      </c>
      <c r="B11383" s="1" t="n">
        <v>45251</v>
      </c>
      <c r="C11383" s="1" t="n">
        <v>45657</v>
      </c>
      <c r="D11383" t="inlineStr">
        <is>
          <t>VÄSTERNORRLANDS LÄN</t>
        </is>
      </c>
      <c r="E11383" t="inlineStr">
        <is>
          <t>ÅNGE</t>
        </is>
      </c>
      <c r="F11383" t="inlineStr">
        <is>
          <t>SCA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58748-2023</t>
        </is>
      </c>
      <c r="B11384" s="1" t="n">
        <v>45251</v>
      </c>
      <c r="C11384" s="1" t="n">
        <v>45657</v>
      </c>
      <c r="D11384" t="inlineStr">
        <is>
          <t>VÄSTERNORRLANDS LÄN</t>
        </is>
      </c>
      <c r="E11384" t="inlineStr">
        <is>
          <t>ÅNGE</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58772-2023</t>
        </is>
      </c>
      <c r="B11385" s="1" t="n">
        <v>45252</v>
      </c>
      <c r="C11385" s="1" t="n">
        <v>45657</v>
      </c>
      <c r="D11385" t="inlineStr">
        <is>
          <t>VÄSTERNORRLANDS LÄN</t>
        </is>
      </c>
      <c r="E11385" t="inlineStr">
        <is>
          <t>HÄRNÖSAND</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58709-2023</t>
        </is>
      </c>
      <c r="B11386" s="1" t="n">
        <v>45251</v>
      </c>
      <c r="C11386" s="1" t="n">
        <v>45657</v>
      </c>
      <c r="D11386" t="inlineStr">
        <is>
          <t>VÄSTERNORRLANDS LÄN</t>
        </is>
      </c>
      <c r="E11386" t="inlineStr">
        <is>
          <t>ÖRNSKÖLDSVIK</t>
        </is>
      </c>
      <c r="F11386" t="inlineStr">
        <is>
          <t>Holmen skog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58745-2023</t>
        </is>
      </c>
      <c r="B11387" s="1" t="n">
        <v>45251</v>
      </c>
      <c r="C11387" s="1" t="n">
        <v>45657</v>
      </c>
      <c r="D11387" t="inlineStr">
        <is>
          <t>VÄSTERNORRLANDS LÄN</t>
        </is>
      </c>
      <c r="E11387" t="inlineStr">
        <is>
          <t>SUNDSVALL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58769-2023</t>
        </is>
      </c>
      <c r="B11388" s="1" t="n">
        <v>45251</v>
      </c>
      <c r="C11388" s="1" t="n">
        <v>45657</v>
      </c>
      <c r="D11388" t="inlineStr">
        <is>
          <t>VÄSTERNORRLANDS LÄN</t>
        </is>
      </c>
      <c r="E11388" t="inlineStr">
        <is>
          <t>SUNDSVALL</t>
        </is>
      </c>
      <c r="F11388" t="inlineStr">
        <is>
          <t>SCA</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58773-2023</t>
        </is>
      </c>
      <c r="B11389" s="1" t="n">
        <v>45252</v>
      </c>
      <c r="C11389" s="1" t="n">
        <v>45657</v>
      </c>
      <c r="D11389" t="inlineStr">
        <is>
          <t>VÄSTERNORRLANDS LÄN</t>
        </is>
      </c>
      <c r="E11389" t="inlineStr">
        <is>
          <t>SUNDSVALL</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59121-2023</t>
        </is>
      </c>
      <c r="B11390" s="1" t="n">
        <v>45251</v>
      </c>
      <c r="C11390" s="1" t="n">
        <v>45657</v>
      </c>
      <c r="D11390" t="inlineStr">
        <is>
          <t>VÄSTERNORRLANDS LÄN</t>
        </is>
      </c>
      <c r="E11390" t="inlineStr">
        <is>
          <t>HÄRNÖSAND</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59155-2023</t>
        </is>
      </c>
      <c r="B11391" s="1" t="n">
        <v>45251</v>
      </c>
      <c r="C11391" s="1" t="n">
        <v>45657</v>
      </c>
      <c r="D11391" t="inlineStr">
        <is>
          <t>VÄSTERNORRLANDS LÄN</t>
        </is>
      </c>
      <c r="E11391" t="inlineStr">
        <is>
          <t>HÄRNÖSAND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58639-2023</t>
        </is>
      </c>
      <c r="B11392" s="1" t="n">
        <v>45251</v>
      </c>
      <c r="C11392" s="1" t="n">
        <v>45657</v>
      </c>
      <c r="D11392" t="inlineStr">
        <is>
          <t>VÄSTERNORRLANDS LÄN</t>
        </is>
      </c>
      <c r="E11392" t="inlineStr">
        <is>
          <t>ÅNGE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58643-2023</t>
        </is>
      </c>
      <c r="B11393" s="1" t="n">
        <v>45251</v>
      </c>
      <c r="C11393" s="1" t="n">
        <v>45657</v>
      </c>
      <c r="D11393" t="inlineStr">
        <is>
          <t>VÄSTERNORRLANDS LÄN</t>
        </is>
      </c>
      <c r="E11393" t="inlineStr">
        <is>
          <t>ÖRNSKÖLDSVIK</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58652-2023</t>
        </is>
      </c>
      <c r="B11394" s="1" t="n">
        <v>45251</v>
      </c>
      <c r="C11394" s="1" t="n">
        <v>45657</v>
      </c>
      <c r="D11394" t="inlineStr">
        <is>
          <t>VÄSTERNORRLANDS LÄN</t>
        </is>
      </c>
      <c r="E11394" t="inlineStr">
        <is>
          <t>SUNDSVALL</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58678-2023</t>
        </is>
      </c>
      <c r="B11395" s="1" t="n">
        <v>45251</v>
      </c>
      <c r="C11395" s="1" t="n">
        <v>45657</v>
      </c>
      <c r="D11395" t="inlineStr">
        <is>
          <t>VÄSTERNORRLANDS LÄN</t>
        </is>
      </c>
      <c r="E11395" t="inlineStr">
        <is>
          <t>ÖRNSKÖLDSVIK</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58743-2023</t>
        </is>
      </c>
      <c r="B11396" s="1" t="n">
        <v>45251</v>
      </c>
      <c r="C11396" s="1" t="n">
        <v>45657</v>
      </c>
      <c r="D11396" t="inlineStr">
        <is>
          <t>VÄSTERNORRLANDS LÄN</t>
        </is>
      </c>
      <c r="E11396" t="inlineStr">
        <is>
          <t>KRAMFORS</t>
        </is>
      </c>
      <c r="F11396" t="inlineStr">
        <is>
          <t>Kommuner</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58747-2023</t>
        </is>
      </c>
      <c r="B11397" s="1" t="n">
        <v>45251</v>
      </c>
      <c r="C11397" s="1" t="n">
        <v>45657</v>
      </c>
      <c r="D11397" t="inlineStr">
        <is>
          <t>VÄSTERNORRLANDS LÄN</t>
        </is>
      </c>
      <c r="E11397" t="inlineStr">
        <is>
          <t>HÄRNÖSAND</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59018-2023</t>
        </is>
      </c>
      <c r="B11398" s="1" t="n">
        <v>45252</v>
      </c>
      <c r="C11398" s="1" t="n">
        <v>45657</v>
      </c>
      <c r="D11398" t="inlineStr">
        <is>
          <t>VÄSTERNORRLANDS LÄN</t>
        </is>
      </c>
      <c r="E11398" t="inlineStr">
        <is>
          <t>ÖRNSKÖLDSVIK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58895-2023</t>
        </is>
      </c>
      <c r="B11399" s="1" t="n">
        <v>45252</v>
      </c>
      <c r="C11399" s="1" t="n">
        <v>45657</v>
      </c>
      <c r="D11399" t="inlineStr">
        <is>
          <t>VÄSTERNORRLANDS LÄN</t>
        </is>
      </c>
      <c r="E11399" t="inlineStr">
        <is>
          <t>TIMRÅ</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58997-2023</t>
        </is>
      </c>
      <c r="B11400" s="1" t="n">
        <v>45252</v>
      </c>
      <c r="C11400" s="1" t="n">
        <v>45657</v>
      </c>
      <c r="D11400" t="inlineStr">
        <is>
          <t>VÄSTERNORRLANDS LÄN</t>
        </is>
      </c>
      <c r="E11400" t="inlineStr">
        <is>
          <t>ÅNGE</t>
        </is>
      </c>
      <c r="F11400" t="inlineStr">
        <is>
          <t>Övriga Aktiebolag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59084-2023</t>
        </is>
      </c>
      <c r="B11401" s="1" t="n">
        <v>45252</v>
      </c>
      <c r="C11401" s="1" t="n">
        <v>45657</v>
      </c>
      <c r="D11401" t="inlineStr">
        <is>
          <t>VÄSTERNORRLANDS LÄN</t>
        </is>
      </c>
      <c r="E11401" t="inlineStr">
        <is>
          <t>SUNDSVALL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59090-2023</t>
        </is>
      </c>
      <c r="B11402" s="1" t="n">
        <v>45252</v>
      </c>
      <c r="C11402" s="1" t="n">
        <v>45657</v>
      </c>
      <c r="D11402" t="inlineStr">
        <is>
          <t>VÄSTERNORRLANDS LÄN</t>
        </is>
      </c>
      <c r="E11402" t="inlineStr">
        <is>
          <t>SUNDSVALL</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59098-2023</t>
        </is>
      </c>
      <c r="B11403" s="1" t="n">
        <v>45253</v>
      </c>
      <c r="C11403" s="1" t="n">
        <v>45657</v>
      </c>
      <c r="D11403" t="inlineStr">
        <is>
          <t>VÄSTERNORRLANDS LÄN</t>
        </is>
      </c>
      <c r="E11403" t="inlineStr">
        <is>
          <t>SOLLEFTEÅ</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59096-2023</t>
        </is>
      </c>
      <c r="B11404" s="1" t="n">
        <v>45252</v>
      </c>
      <c r="C11404" s="1" t="n">
        <v>45657</v>
      </c>
      <c r="D11404" t="inlineStr">
        <is>
          <t>VÄSTERNORRLANDS LÄN</t>
        </is>
      </c>
      <c r="E11404" t="inlineStr">
        <is>
          <t>SUNDSVALL</t>
        </is>
      </c>
      <c r="F11404" t="inlineStr">
        <is>
          <t>Naturvårdsverket</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59099-2023</t>
        </is>
      </c>
      <c r="B11405" s="1" t="n">
        <v>45253</v>
      </c>
      <c r="C11405" s="1" t="n">
        <v>45657</v>
      </c>
      <c r="D11405" t="inlineStr">
        <is>
          <t>VÄSTERNORRLANDS LÄN</t>
        </is>
      </c>
      <c r="E11405" t="inlineStr">
        <is>
          <t>ÅNGE</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59113-2023</t>
        </is>
      </c>
      <c r="B11406" s="1" t="n">
        <v>45253</v>
      </c>
      <c r="C11406" s="1" t="n">
        <v>45657</v>
      </c>
      <c r="D11406" t="inlineStr">
        <is>
          <t>VÄSTERNORRLANDS LÄN</t>
        </is>
      </c>
      <c r="E11406" t="inlineStr">
        <is>
          <t>KRAMFORS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59162-2023</t>
        </is>
      </c>
      <c r="B11407" s="1" t="n">
        <v>45253</v>
      </c>
      <c r="C11407" s="1" t="n">
        <v>45657</v>
      </c>
      <c r="D11407" t="inlineStr">
        <is>
          <t>VÄSTERNORRLANDS LÄN</t>
        </is>
      </c>
      <c r="E11407" t="inlineStr">
        <is>
          <t>ÖRNSKÖLDSVIK</t>
        </is>
      </c>
      <c r="G11407" t="n">
        <v>8.9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59213-2023</t>
        </is>
      </c>
      <c r="B11408" s="1" t="n">
        <v>45253</v>
      </c>
      <c r="C11408" s="1" t="n">
        <v>45657</v>
      </c>
      <c r="D11408" t="inlineStr">
        <is>
          <t>VÄSTERNORRLANDS LÄN</t>
        </is>
      </c>
      <c r="E11408" t="inlineStr">
        <is>
          <t>SUNDSVALL</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59316-2023</t>
        </is>
      </c>
      <c r="B11409" s="1" t="n">
        <v>45253</v>
      </c>
      <c r="C11409" s="1" t="n">
        <v>45657</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59230-2023</t>
        </is>
      </c>
      <c r="B11410" s="1" t="n">
        <v>45253</v>
      </c>
      <c r="C11410" s="1" t="n">
        <v>45657</v>
      </c>
      <c r="D11410" t="inlineStr">
        <is>
          <t>VÄSTERNORRLANDS LÄN</t>
        </is>
      </c>
      <c r="E11410" t="inlineStr">
        <is>
          <t>ÖRNSKÖLDSVIK</t>
        </is>
      </c>
      <c r="F11410" t="inlineStr">
        <is>
          <t>Holmen skog AB</t>
        </is>
      </c>
      <c r="G11410" t="n">
        <v>14.6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59341-2023</t>
        </is>
      </c>
      <c r="B11411" s="1" t="n">
        <v>45253</v>
      </c>
      <c r="C11411" s="1" t="n">
        <v>45657</v>
      </c>
      <c r="D11411" t="inlineStr">
        <is>
          <t>VÄSTERNORRLANDS LÄN</t>
        </is>
      </c>
      <c r="E11411" t="inlineStr">
        <is>
          <t>SUNDSVALL</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59339-2023</t>
        </is>
      </c>
      <c r="B11412" s="1" t="n">
        <v>45253</v>
      </c>
      <c r="C11412" s="1" t="n">
        <v>45657</v>
      </c>
      <c r="D11412" t="inlineStr">
        <is>
          <t>VÄSTERNORRLANDS LÄN</t>
        </is>
      </c>
      <c r="E11412" t="inlineStr">
        <is>
          <t>SOLLEFTEÅ</t>
        </is>
      </c>
      <c r="F11412" t="inlineStr">
        <is>
          <t>Holmen skog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59264-2023</t>
        </is>
      </c>
      <c r="B11413" s="1" t="n">
        <v>45253</v>
      </c>
      <c r="C11413" s="1" t="n">
        <v>45657</v>
      </c>
      <c r="D11413" t="inlineStr">
        <is>
          <t>VÄSTERNORRLANDS LÄN</t>
        </is>
      </c>
      <c r="E11413" t="inlineStr">
        <is>
          <t>ÅNGE</t>
        </is>
      </c>
      <c r="F11413" t="inlineStr">
        <is>
          <t>Holmen skog AB</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59346-2023</t>
        </is>
      </c>
      <c r="B11414" s="1" t="n">
        <v>45253</v>
      </c>
      <c r="C11414" s="1" t="n">
        <v>45657</v>
      </c>
      <c r="D11414" t="inlineStr">
        <is>
          <t>VÄSTERNORRLANDS LÄN</t>
        </is>
      </c>
      <c r="E11414" t="inlineStr">
        <is>
          <t>SOLLEFTEÅ</t>
        </is>
      </c>
      <c r="F11414" t="inlineStr">
        <is>
          <t>Holmen skog AB</t>
        </is>
      </c>
      <c r="G11414" t="n">
        <v>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59412-2023</t>
        </is>
      </c>
      <c r="B11415" s="1" t="n">
        <v>45253</v>
      </c>
      <c r="C11415" s="1" t="n">
        <v>45657</v>
      </c>
      <c r="D11415" t="inlineStr">
        <is>
          <t>VÄSTERNORRLANDS LÄN</t>
        </is>
      </c>
      <c r="E11415" t="inlineStr">
        <is>
          <t>SUNDSVALL</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59461-2023</t>
        </is>
      </c>
      <c r="B11416" s="1" t="n">
        <v>45253</v>
      </c>
      <c r="C11416" s="1" t="n">
        <v>45657</v>
      </c>
      <c r="D11416" t="inlineStr">
        <is>
          <t>VÄSTERNORRLANDS LÄN</t>
        </is>
      </c>
      <c r="E11416" t="inlineStr">
        <is>
          <t>SOLLEFTEÅ</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59411-2023</t>
        </is>
      </c>
      <c r="B11417" s="1" t="n">
        <v>45253</v>
      </c>
      <c r="C11417" s="1" t="n">
        <v>45657</v>
      </c>
      <c r="D11417" t="inlineStr">
        <is>
          <t>VÄSTERNORRLANDS LÄN</t>
        </is>
      </c>
      <c r="E11417" t="inlineStr">
        <is>
          <t>SUNDSVALL</t>
        </is>
      </c>
      <c r="F11417" t="inlineStr">
        <is>
          <t>SCA</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59531-2023</t>
        </is>
      </c>
      <c r="B11418" s="1" t="n">
        <v>45253</v>
      </c>
      <c r="C11418" s="1" t="n">
        <v>45657</v>
      </c>
      <c r="D11418" t="inlineStr">
        <is>
          <t>VÄSTERNORRLANDS LÄN</t>
        </is>
      </c>
      <c r="E11418" t="inlineStr">
        <is>
          <t>ÖRNSKÖLDSVIK</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59579-2023</t>
        </is>
      </c>
      <c r="B11419" s="1" t="n">
        <v>45253</v>
      </c>
      <c r="C11419" s="1" t="n">
        <v>45657</v>
      </c>
      <c r="D11419" t="inlineStr">
        <is>
          <t>VÄSTERNORRLANDS LÄN</t>
        </is>
      </c>
      <c r="E11419" t="inlineStr">
        <is>
          <t>SOLLEFTEÅ</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59846-2023</t>
        </is>
      </c>
      <c r="B11420" s="1" t="n">
        <v>45253</v>
      </c>
      <c r="C11420" s="1" t="n">
        <v>45657</v>
      </c>
      <c r="D11420" t="inlineStr">
        <is>
          <t>VÄSTERNORRLANDS LÄN</t>
        </is>
      </c>
      <c r="E11420" t="inlineStr">
        <is>
          <t>HÄRNÖSAND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59401-2023</t>
        </is>
      </c>
      <c r="B11421" s="1" t="n">
        <v>45253</v>
      </c>
      <c r="C11421" s="1" t="n">
        <v>45657</v>
      </c>
      <c r="D11421" t="inlineStr">
        <is>
          <t>VÄSTERNORRLANDS LÄN</t>
        </is>
      </c>
      <c r="E11421" t="inlineStr">
        <is>
          <t>TIMRÅ</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59495-2023</t>
        </is>
      </c>
      <c r="B11422" s="1" t="n">
        <v>45253</v>
      </c>
      <c r="C11422" s="1" t="n">
        <v>45657</v>
      </c>
      <c r="D11422" t="inlineStr">
        <is>
          <t>VÄSTERNORRLANDS LÄN</t>
        </is>
      </c>
      <c r="E11422" t="inlineStr">
        <is>
          <t>ÖRNSKÖLDSVIK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59576-2023</t>
        </is>
      </c>
      <c r="B11423" s="1" t="n">
        <v>45253</v>
      </c>
      <c r="C11423" s="1" t="n">
        <v>45657</v>
      </c>
      <c r="D11423" t="inlineStr">
        <is>
          <t>VÄSTERNORRLANDS LÄN</t>
        </is>
      </c>
      <c r="E11423" t="inlineStr">
        <is>
          <t>SUNDSVALL</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59649-2023</t>
        </is>
      </c>
      <c r="B11424" s="1" t="n">
        <v>45253</v>
      </c>
      <c r="C11424" s="1" t="n">
        <v>45657</v>
      </c>
      <c r="D11424" t="inlineStr">
        <is>
          <t>VÄSTERNORRLANDS LÄN</t>
        </is>
      </c>
      <c r="E11424" t="inlineStr">
        <is>
          <t>ÖRNSKÖLDSVIK</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59491-2023</t>
        </is>
      </c>
      <c r="B11425" s="1" t="n">
        <v>45254</v>
      </c>
      <c r="C11425" s="1" t="n">
        <v>45657</v>
      </c>
      <c r="D11425" t="inlineStr">
        <is>
          <t>VÄSTERNORRLANDS LÄN</t>
        </is>
      </c>
      <c r="E11425" t="inlineStr">
        <is>
          <t>ÅNGE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59501-2023</t>
        </is>
      </c>
      <c r="B11426" s="1" t="n">
        <v>45254</v>
      </c>
      <c r="C11426" s="1" t="n">
        <v>45657</v>
      </c>
      <c r="D11426" t="inlineStr">
        <is>
          <t>VÄSTERNORRLANDS LÄN</t>
        </is>
      </c>
      <c r="E11426" t="inlineStr">
        <is>
          <t>SOLLEFTEÅ</t>
        </is>
      </c>
      <c r="F11426" t="inlineStr">
        <is>
          <t>Holmen skog AB</t>
        </is>
      </c>
      <c r="G11426" t="n">
        <v>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59432-2023</t>
        </is>
      </c>
      <c r="B11427" s="1" t="n">
        <v>45254</v>
      </c>
      <c r="C11427" s="1" t="n">
        <v>45657</v>
      </c>
      <c r="D11427" t="inlineStr">
        <is>
          <t>VÄSTERNORRLANDS LÄN</t>
        </is>
      </c>
      <c r="E11427" t="inlineStr">
        <is>
          <t>ÖRNSKÖLDSVIK</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59592-2023</t>
        </is>
      </c>
      <c r="B11428" s="1" t="n">
        <v>45254</v>
      </c>
      <c r="C11428" s="1" t="n">
        <v>45657</v>
      </c>
      <c r="D11428" t="inlineStr">
        <is>
          <t>VÄSTERNORRLANDS LÄN</t>
        </is>
      </c>
      <c r="E11428" t="inlineStr">
        <is>
          <t>ÖRNSKÖLDSVIK</t>
        </is>
      </c>
      <c r="F11428" t="inlineStr">
        <is>
          <t>Holmen skog AB</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59494-2023</t>
        </is>
      </c>
      <c r="B11429" s="1" t="n">
        <v>45254</v>
      </c>
      <c r="C11429" s="1" t="n">
        <v>45657</v>
      </c>
      <c r="D11429" t="inlineStr">
        <is>
          <t>VÄSTERNORRLANDS LÄN</t>
        </is>
      </c>
      <c r="E11429" t="inlineStr">
        <is>
          <t>ÖRNSKÖLDSVIK</t>
        </is>
      </c>
      <c r="F11429" t="inlineStr">
        <is>
          <t>Holmen skog AB</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59583-2023</t>
        </is>
      </c>
      <c r="B11430" s="1" t="n">
        <v>45254</v>
      </c>
      <c r="C11430" s="1" t="n">
        <v>45657</v>
      </c>
      <c r="D11430" t="inlineStr">
        <is>
          <t>VÄSTERNORRLANDS LÄN</t>
        </is>
      </c>
      <c r="E11430" t="inlineStr">
        <is>
          <t>SOLLEFTEÅ</t>
        </is>
      </c>
      <c r="F11430" t="inlineStr">
        <is>
          <t>Holmen skog AB</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59660-2023</t>
        </is>
      </c>
      <c r="B11431" s="1" t="n">
        <v>45254</v>
      </c>
      <c r="C11431" s="1" t="n">
        <v>45657</v>
      </c>
      <c r="D11431" t="inlineStr">
        <is>
          <t>VÄSTERNORRLANDS LÄN</t>
        </is>
      </c>
      <c r="E11431" t="inlineStr">
        <is>
          <t>SUNDSVALL</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59657-2023</t>
        </is>
      </c>
      <c r="B11432" s="1" t="n">
        <v>45255</v>
      </c>
      <c r="C11432" s="1" t="n">
        <v>45657</v>
      </c>
      <c r="D11432" t="inlineStr">
        <is>
          <t>VÄSTERNORRLANDS LÄN</t>
        </is>
      </c>
      <c r="E11432" t="inlineStr">
        <is>
          <t>SOLLEFTEÅ</t>
        </is>
      </c>
      <c r="F11432" t="inlineStr">
        <is>
          <t>SCA</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59661-2023</t>
        </is>
      </c>
      <c r="B11433" s="1" t="n">
        <v>45254</v>
      </c>
      <c r="C11433" s="1" t="n">
        <v>45657</v>
      </c>
      <c r="D11433" t="inlineStr">
        <is>
          <t>VÄSTERNORRLANDS LÄN</t>
        </is>
      </c>
      <c r="E11433" t="inlineStr">
        <is>
          <t>SUNDSVALL</t>
        </is>
      </c>
      <c r="F11433" t="inlineStr">
        <is>
          <t>SCA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59560-2023</t>
        </is>
      </c>
      <c r="B11434" s="1" t="n">
        <v>45254</v>
      </c>
      <c r="C11434" s="1" t="n">
        <v>45657</v>
      </c>
      <c r="D11434" t="inlineStr">
        <is>
          <t>VÄSTERNORRLANDS LÄN</t>
        </is>
      </c>
      <c r="E11434" t="inlineStr">
        <is>
          <t>ÖRNSKÖLDSVIK</t>
        </is>
      </c>
      <c r="G11434" t="n">
        <v>12.1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59581-2023</t>
        </is>
      </c>
      <c r="B11435" s="1" t="n">
        <v>45254</v>
      </c>
      <c r="C11435" s="1" t="n">
        <v>45657</v>
      </c>
      <c r="D11435" t="inlineStr">
        <is>
          <t>VÄSTERNORRLANDS LÄN</t>
        </is>
      </c>
      <c r="E11435" t="inlineStr">
        <is>
          <t>ÖRNSKÖLDSVIK</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59593-2023</t>
        </is>
      </c>
      <c r="B11436" s="1" t="n">
        <v>45254</v>
      </c>
      <c r="C11436" s="1" t="n">
        <v>45657</v>
      </c>
      <c r="D11436" t="inlineStr">
        <is>
          <t>VÄSTERNORRLANDS LÄN</t>
        </is>
      </c>
      <c r="E11436" t="inlineStr">
        <is>
          <t>SOLLEFTEÅ</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59451-2023</t>
        </is>
      </c>
      <c r="B11437" s="1" t="n">
        <v>45254</v>
      </c>
      <c r="C11437" s="1" t="n">
        <v>45657</v>
      </c>
      <c r="D11437" t="inlineStr">
        <is>
          <t>VÄSTERNORRLANDS LÄN</t>
        </is>
      </c>
      <c r="E11437" t="inlineStr">
        <is>
          <t>ÖRNSKÖLDSVIK</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59665-2023</t>
        </is>
      </c>
      <c r="B11438" s="1" t="n">
        <v>45255</v>
      </c>
      <c r="C11438" s="1" t="n">
        <v>45657</v>
      </c>
      <c r="D11438" t="inlineStr">
        <is>
          <t>VÄSTERNORRLANDS LÄN</t>
        </is>
      </c>
      <c r="E11438" t="inlineStr">
        <is>
          <t>ÖRNSKÖLDSVIK</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59879-2023</t>
        </is>
      </c>
      <c r="B11439" s="1" t="n">
        <v>45254</v>
      </c>
      <c r="C11439" s="1" t="n">
        <v>45657</v>
      </c>
      <c r="D11439" t="inlineStr">
        <is>
          <t>VÄSTERNORRLANDS LÄN</t>
        </is>
      </c>
      <c r="E11439" t="inlineStr">
        <is>
          <t>SOLLEFTEÅ</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59928-2023</t>
        </is>
      </c>
      <c r="B11440" s="1" t="n">
        <v>45254</v>
      </c>
      <c r="C11440" s="1" t="n">
        <v>45657</v>
      </c>
      <c r="D11440" t="inlineStr">
        <is>
          <t>VÄSTERNORRLANDS LÄN</t>
        </is>
      </c>
      <c r="E11440" t="inlineStr">
        <is>
          <t>SUNDSVALL</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59970-2023</t>
        </is>
      </c>
      <c r="B11441" s="1" t="n">
        <v>45254</v>
      </c>
      <c r="C11441" s="1" t="n">
        <v>45657</v>
      </c>
      <c r="D11441" t="inlineStr">
        <is>
          <t>VÄSTERNORRLANDS LÄN</t>
        </is>
      </c>
      <c r="E11441" t="inlineStr">
        <is>
          <t>ÖRNSKÖLDSVIK</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60039-2023</t>
        </is>
      </c>
      <c r="B11442" s="1" t="n">
        <v>45254</v>
      </c>
      <c r="C11442" s="1" t="n">
        <v>45657</v>
      </c>
      <c r="D11442" t="inlineStr">
        <is>
          <t>VÄSTERNORRLANDS LÄN</t>
        </is>
      </c>
      <c r="E11442" t="inlineStr">
        <is>
          <t>SOLLEFTEÅ</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59716-2023</t>
        </is>
      </c>
      <c r="B11443" s="1" t="n">
        <v>45257</v>
      </c>
      <c r="C11443" s="1" t="n">
        <v>45657</v>
      </c>
      <c r="D11443" t="inlineStr">
        <is>
          <t>VÄSTERNORRLANDS LÄN</t>
        </is>
      </c>
      <c r="E11443" t="inlineStr">
        <is>
          <t>SUNDSVALL</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59910-2023</t>
        </is>
      </c>
      <c r="B11444" s="1" t="n">
        <v>45257</v>
      </c>
      <c r="C11444" s="1" t="n">
        <v>45657</v>
      </c>
      <c r="D11444" t="inlineStr">
        <is>
          <t>VÄSTERNORRLANDS LÄN</t>
        </is>
      </c>
      <c r="E11444" t="inlineStr">
        <is>
          <t>SUNDSVALL</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59924-2023</t>
        </is>
      </c>
      <c r="B11445" s="1" t="n">
        <v>45257</v>
      </c>
      <c r="C11445" s="1" t="n">
        <v>45657</v>
      </c>
      <c r="D11445" t="inlineStr">
        <is>
          <t>VÄSTERNORRLANDS LÄN</t>
        </is>
      </c>
      <c r="E11445" t="inlineStr">
        <is>
          <t>ÖRNSKÖLDSVIK</t>
        </is>
      </c>
      <c r="F11445" t="inlineStr">
        <is>
          <t>Holmen skog AB</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59840-2023</t>
        </is>
      </c>
      <c r="B11446" s="1" t="n">
        <v>45257</v>
      </c>
      <c r="C11446" s="1" t="n">
        <v>45657</v>
      </c>
      <c r="D11446" t="inlineStr">
        <is>
          <t>VÄSTERNORRLANDS LÄN</t>
        </is>
      </c>
      <c r="E11446" t="inlineStr">
        <is>
          <t>SUNDSVALL</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59911-2023</t>
        </is>
      </c>
      <c r="B11447" s="1" t="n">
        <v>45257</v>
      </c>
      <c r="C11447" s="1" t="n">
        <v>45657</v>
      </c>
      <c r="D11447" t="inlineStr">
        <is>
          <t>VÄSTERNORRLANDS LÄN</t>
        </is>
      </c>
      <c r="E11447" t="inlineStr">
        <is>
          <t>ÖRNSKÖLDSVIK</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60000-2023</t>
        </is>
      </c>
      <c r="B11448" s="1" t="n">
        <v>45258</v>
      </c>
      <c r="C11448" s="1" t="n">
        <v>45657</v>
      </c>
      <c r="D11448" t="inlineStr">
        <is>
          <t>VÄSTERNORRLANDS LÄN</t>
        </is>
      </c>
      <c r="E11448" t="inlineStr">
        <is>
          <t>ÖRNSKÖLDSVIK</t>
        </is>
      </c>
      <c r="F11448" t="inlineStr">
        <is>
          <t>SCA</t>
        </is>
      </c>
      <c r="G11448" t="n">
        <v>12.8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60013-2023</t>
        </is>
      </c>
      <c r="B11449" s="1" t="n">
        <v>45258</v>
      </c>
      <c r="C11449" s="1" t="n">
        <v>45657</v>
      </c>
      <c r="D11449" t="inlineStr">
        <is>
          <t>VÄSTERNORRLANDS LÄN</t>
        </is>
      </c>
      <c r="E11449" t="inlineStr">
        <is>
          <t>SUNDSVALL</t>
        </is>
      </c>
      <c r="F11449" t="inlineStr">
        <is>
          <t>SCA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59997-2023</t>
        </is>
      </c>
      <c r="B11450" s="1" t="n">
        <v>45258</v>
      </c>
      <c r="C11450" s="1" t="n">
        <v>45657</v>
      </c>
      <c r="D11450" t="inlineStr">
        <is>
          <t>VÄSTERNORRLANDS LÄN</t>
        </is>
      </c>
      <c r="E11450" t="inlineStr">
        <is>
          <t>SUNDSVALL</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60005-2023</t>
        </is>
      </c>
      <c r="B11451" s="1" t="n">
        <v>45258</v>
      </c>
      <c r="C11451" s="1" t="n">
        <v>45657</v>
      </c>
      <c r="D11451" t="inlineStr">
        <is>
          <t>VÄSTERNORRLANDS LÄN</t>
        </is>
      </c>
      <c r="E11451" t="inlineStr">
        <is>
          <t>ÅNGE</t>
        </is>
      </c>
      <c r="F11451" t="inlineStr">
        <is>
          <t>SCA</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60004-2023</t>
        </is>
      </c>
      <c r="B11452" s="1" t="n">
        <v>45257</v>
      </c>
      <c r="C11452" s="1" t="n">
        <v>45657</v>
      </c>
      <c r="D11452" t="inlineStr">
        <is>
          <t>VÄSTERNORRLANDS LÄN</t>
        </is>
      </c>
      <c r="E11452" t="inlineStr">
        <is>
          <t>ÅNGE</t>
        </is>
      </c>
      <c r="F11452" t="inlineStr">
        <is>
          <t>SCA</t>
        </is>
      </c>
      <c r="G11452" t="n">
        <v>9.199999999999999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60158-2023</t>
        </is>
      </c>
      <c r="B11453" s="1" t="n">
        <v>45257</v>
      </c>
      <c r="C11453" s="1" t="n">
        <v>45657</v>
      </c>
      <c r="D11453" t="inlineStr">
        <is>
          <t>VÄSTERNORRLANDS LÄN</t>
        </is>
      </c>
      <c r="E11453" t="inlineStr">
        <is>
          <t>HÄRNÖSAND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60239-2023</t>
        </is>
      </c>
      <c r="B11454" s="1" t="n">
        <v>45257</v>
      </c>
      <c r="C11454" s="1" t="n">
        <v>45657</v>
      </c>
      <c r="D11454" t="inlineStr">
        <is>
          <t>VÄSTERNORRLANDS LÄN</t>
        </is>
      </c>
      <c r="E11454" t="inlineStr">
        <is>
          <t>SUNDSVALL</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60205-2023</t>
        </is>
      </c>
      <c r="B11455" s="1" t="n">
        <v>45257</v>
      </c>
      <c r="C11455" s="1" t="n">
        <v>45657</v>
      </c>
      <c r="D11455" t="inlineStr">
        <is>
          <t>VÄSTERNORRLANDS LÄN</t>
        </is>
      </c>
      <c r="E11455" t="inlineStr">
        <is>
          <t>ÅNGE</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60216-2023</t>
        </is>
      </c>
      <c r="B11456" s="1" t="n">
        <v>45257</v>
      </c>
      <c r="C11456" s="1" t="n">
        <v>45657</v>
      </c>
      <c r="D11456" t="inlineStr">
        <is>
          <t>VÄSTERNORRLANDS LÄN</t>
        </is>
      </c>
      <c r="E11456" t="inlineStr">
        <is>
          <t>ÅNGE</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60001-2023</t>
        </is>
      </c>
      <c r="B11457" s="1" t="n">
        <v>45257</v>
      </c>
      <c r="C11457" s="1" t="n">
        <v>45657</v>
      </c>
      <c r="D11457" t="inlineStr">
        <is>
          <t>VÄSTERNORRLANDS LÄN</t>
        </is>
      </c>
      <c r="E11457" t="inlineStr">
        <is>
          <t>ÅNGE</t>
        </is>
      </c>
      <c r="F11457" t="inlineStr">
        <is>
          <t>SCA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59794-2023</t>
        </is>
      </c>
      <c r="B11458" s="1" t="n">
        <v>45257</v>
      </c>
      <c r="C11458" s="1" t="n">
        <v>45657</v>
      </c>
      <c r="D11458" t="inlineStr">
        <is>
          <t>VÄSTERNORRLANDS LÄN</t>
        </is>
      </c>
      <c r="E11458" t="inlineStr">
        <is>
          <t>SOLLEFTEÅ</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60099-2023</t>
        </is>
      </c>
      <c r="B11459" s="1" t="n">
        <v>45257</v>
      </c>
      <c r="C11459" s="1" t="n">
        <v>45657</v>
      </c>
      <c r="D11459" t="inlineStr">
        <is>
          <t>VÄSTERNORRLANDS LÄN</t>
        </is>
      </c>
      <c r="E11459" t="inlineStr">
        <is>
          <t>SOLLEFTEÅ</t>
        </is>
      </c>
      <c r="G11459" t="n">
        <v>8.5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60209-2023</t>
        </is>
      </c>
      <c r="B11460" s="1" t="n">
        <v>45257</v>
      </c>
      <c r="C11460" s="1" t="n">
        <v>45657</v>
      </c>
      <c r="D11460" t="inlineStr">
        <is>
          <t>VÄSTERNORRLANDS LÄN</t>
        </is>
      </c>
      <c r="E11460" t="inlineStr">
        <is>
          <t>ÅNGE</t>
        </is>
      </c>
      <c r="G11460" t="n">
        <v>9.199999999999999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59898-2023</t>
        </is>
      </c>
      <c r="B11461" s="1" t="n">
        <v>45257</v>
      </c>
      <c r="C11461" s="1" t="n">
        <v>45657</v>
      </c>
      <c r="D11461" t="inlineStr">
        <is>
          <t>VÄSTERNORRLANDS LÄN</t>
        </is>
      </c>
      <c r="E11461" t="inlineStr">
        <is>
          <t>ÖRNSKÖLDSVIK</t>
        </is>
      </c>
      <c r="F11461" t="inlineStr">
        <is>
          <t>Holmen skog AB</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60011-2023</t>
        </is>
      </c>
      <c r="B11462" s="1" t="n">
        <v>45257</v>
      </c>
      <c r="C11462" s="1" t="n">
        <v>45657</v>
      </c>
      <c r="D11462" t="inlineStr">
        <is>
          <t>VÄSTERNORRLANDS LÄN</t>
        </is>
      </c>
      <c r="E11462" t="inlineStr">
        <is>
          <t>TIMRÅ</t>
        </is>
      </c>
      <c r="F11462" t="inlineStr">
        <is>
          <t>SCA</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60003-2023</t>
        </is>
      </c>
      <c r="B11463" s="1" t="n">
        <v>45257</v>
      </c>
      <c r="C11463" s="1" t="n">
        <v>45657</v>
      </c>
      <c r="D11463" t="inlineStr">
        <is>
          <t>VÄSTERNORRLANDS LÄN</t>
        </is>
      </c>
      <c r="E11463" t="inlineStr">
        <is>
          <t>ÅNGE</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59999-2023</t>
        </is>
      </c>
      <c r="B11464" s="1" t="n">
        <v>45258</v>
      </c>
      <c r="C11464" s="1" t="n">
        <v>45657</v>
      </c>
      <c r="D11464" t="inlineStr">
        <is>
          <t>VÄSTERNORRLANDS LÄN</t>
        </is>
      </c>
      <c r="E11464" t="inlineStr">
        <is>
          <t>ÅNGE</t>
        </is>
      </c>
      <c r="F11464" t="inlineStr">
        <is>
          <t>SCA</t>
        </is>
      </c>
      <c r="G11464" t="n">
        <v>13.6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60070-2023</t>
        </is>
      </c>
      <c r="B11465" s="1" t="n">
        <v>45258</v>
      </c>
      <c r="C11465" s="1" t="n">
        <v>45657</v>
      </c>
      <c r="D11465" t="inlineStr">
        <is>
          <t>VÄSTERNORRLANDS LÄN</t>
        </is>
      </c>
      <c r="E11465" t="inlineStr">
        <is>
          <t>ÖRNSKÖLDSVIK</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60074-2023</t>
        </is>
      </c>
      <c r="B11466" s="1" t="n">
        <v>45258</v>
      </c>
      <c r="C11466" s="1" t="n">
        <v>45657</v>
      </c>
      <c r="D11466" t="inlineStr">
        <is>
          <t>VÄSTERNORRLANDS LÄN</t>
        </is>
      </c>
      <c r="E11466" t="inlineStr">
        <is>
          <t>TIMRÅ</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60095-2023</t>
        </is>
      </c>
      <c r="B11467" s="1" t="n">
        <v>45258</v>
      </c>
      <c r="C11467" s="1" t="n">
        <v>45657</v>
      </c>
      <c r="D11467" t="inlineStr">
        <is>
          <t>VÄSTERNORRLANDS LÄN</t>
        </is>
      </c>
      <c r="E11467" t="inlineStr">
        <is>
          <t>ÖRNSKÖLDSVIK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60119-2023</t>
        </is>
      </c>
      <c r="B11468" s="1" t="n">
        <v>45258</v>
      </c>
      <c r="C11468" s="1" t="n">
        <v>45657</v>
      </c>
      <c r="D11468" t="inlineStr">
        <is>
          <t>VÄSTERNORRLANDS LÄN</t>
        </is>
      </c>
      <c r="E11468" t="inlineStr">
        <is>
          <t>SUNDSVALL</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60110-2023</t>
        </is>
      </c>
      <c r="B11469" s="1" t="n">
        <v>45258</v>
      </c>
      <c r="C11469" s="1" t="n">
        <v>45657</v>
      </c>
      <c r="D11469" t="inlineStr">
        <is>
          <t>VÄSTERNORRLANDS LÄN</t>
        </is>
      </c>
      <c r="E11469" t="inlineStr">
        <is>
          <t>ÖRNSKÖLDSVIK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60156-2023</t>
        </is>
      </c>
      <c r="B11470" s="1" t="n">
        <v>45258</v>
      </c>
      <c r="C11470" s="1" t="n">
        <v>45657</v>
      </c>
      <c r="D11470" t="inlineStr">
        <is>
          <t>VÄSTERNORRLANDS LÄN</t>
        </is>
      </c>
      <c r="E11470" t="inlineStr">
        <is>
          <t>ÅNGE</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60219-2023</t>
        </is>
      </c>
      <c r="B11471" s="1" t="n">
        <v>45258</v>
      </c>
      <c r="C11471" s="1" t="n">
        <v>45657</v>
      </c>
      <c r="D11471" t="inlineStr">
        <is>
          <t>VÄSTERNORRLANDS LÄN</t>
        </is>
      </c>
      <c r="E11471" t="inlineStr">
        <is>
          <t>ÖRNSKÖLDSVIK</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60149-2023</t>
        </is>
      </c>
      <c r="B11472" s="1" t="n">
        <v>45258</v>
      </c>
      <c r="C11472" s="1" t="n">
        <v>45657</v>
      </c>
      <c r="D11472" t="inlineStr">
        <is>
          <t>VÄSTERNORRLANDS LÄN</t>
        </is>
      </c>
      <c r="E11472" t="inlineStr">
        <is>
          <t>SUNDSVALL</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60153-2023</t>
        </is>
      </c>
      <c r="B11473" s="1" t="n">
        <v>45258</v>
      </c>
      <c r="C11473" s="1" t="n">
        <v>45657</v>
      </c>
      <c r="D11473" t="inlineStr">
        <is>
          <t>VÄSTERNORRLANDS LÄN</t>
        </is>
      </c>
      <c r="E11473" t="inlineStr">
        <is>
          <t>ÅNGE</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60174-2023</t>
        </is>
      </c>
      <c r="B11474" s="1" t="n">
        <v>45258</v>
      </c>
      <c r="C11474" s="1" t="n">
        <v>45657</v>
      </c>
      <c r="D11474" t="inlineStr">
        <is>
          <t>VÄSTERNORRLANDS LÄN</t>
        </is>
      </c>
      <c r="E11474" t="inlineStr">
        <is>
          <t>SUNDSVALL</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60313-2023</t>
        </is>
      </c>
      <c r="B11475" s="1" t="n">
        <v>45258</v>
      </c>
      <c r="C11475" s="1" t="n">
        <v>45657</v>
      </c>
      <c r="D11475" t="inlineStr">
        <is>
          <t>VÄSTERNORRLANDS LÄN</t>
        </is>
      </c>
      <c r="E11475" t="inlineStr">
        <is>
          <t>ÖRNSKÖLDSVIK</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60338-2023</t>
        </is>
      </c>
      <c r="B11476" s="1" t="n">
        <v>45258</v>
      </c>
      <c r="C11476" s="1" t="n">
        <v>45657</v>
      </c>
      <c r="D11476" t="inlineStr">
        <is>
          <t>VÄSTERNORRLANDS LÄN</t>
        </is>
      </c>
      <c r="E11476" t="inlineStr">
        <is>
          <t>HÄRNÖSAND</t>
        </is>
      </c>
      <c r="F11476" t="inlineStr">
        <is>
          <t>SCA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60380-2023</t>
        </is>
      </c>
      <c r="B11477" s="1" t="n">
        <v>45258</v>
      </c>
      <c r="C11477" s="1" t="n">
        <v>45657</v>
      </c>
      <c r="D11477" t="inlineStr">
        <is>
          <t>VÄSTERNORRLANDS LÄN</t>
        </is>
      </c>
      <c r="E11477" t="inlineStr">
        <is>
          <t>ÖRNSKÖLDSVIK</t>
        </is>
      </c>
      <c r="F11477" t="inlineStr">
        <is>
          <t>Kommuner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60325-2023</t>
        </is>
      </c>
      <c r="B11478" s="1" t="n">
        <v>45258</v>
      </c>
      <c r="C11478" s="1" t="n">
        <v>45657</v>
      </c>
      <c r="D11478" t="inlineStr">
        <is>
          <t>VÄSTERNORRLANDS LÄN</t>
        </is>
      </c>
      <c r="E11478" t="inlineStr">
        <is>
          <t>ÖRNSKÖLDSVIK</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60329-2023</t>
        </is>
      </c>
      <c r="B11479" s="1" t="n">
        <v>45258</v>
      </c>
      <c r="C11479" s="1" t="n">
        <v>45657</v>
      </c>
      <c r="D11479" t="inlineStr">
        <is>
          <t>VÄSTERNORRLANDS LÄN</t>
        </is>
      </c>
      <c r="E11479" t="inlineStr">
        <is>
          <t>SOLLEFTEÅ</t>
        </is>
      </c>
      <c r="F11479" t="inlineStr">
        <is>
          <t>SCA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60324-2023</t>
        </is>
      </c>
      <c r="B11480" s="1" t="n">
        <v>45258</v>
      </c>
      <c r="C11480" s="1" t="n">
        <v>45657</v>
      </c>
      <c r="D11480" t="inlineStr">
        <is>
          <t>VÄSTERNORRLANDS LÄN</t>
        </is>
      </c>
      <c r="E11480" t="inlineStr">
        <is>
          <t>ÖRNSKÖLDSVIK</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60328-2023</t>
        </is>
      </c>
      <c r="B11481" s="1" t="n">
        <v>45258</v>
      </c>
      <c r="C11481" s="1" t="n">
        <v>45657</v>
      </c>
      <c r="D11481" t="inlineStr">
        <is>
          <t>VÄSTERNORRLANDS LÄN</t>
        </is>
      </c>
      <c r="E11481" t="inlineStr">
        <is>
          <t>SOLLEFTEÅ</t>
        </is>
      </c>
      <c r="F11481" t="inlineStr">
        <is>
          <t>SCA</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60319-2023</t>
        </is>
      </c>
      <c r="B11482" s="1" t="n">
        <v>45258</v>
      </c>
      <c r="C11482" s="1" t="n">
        <v>45657</v>
      </c>
      <c r="D11482" t="inlineStr">
        <is>
          <t>VÄSTERNORRLANDS LÄN</t>
        </is>
      </c>
      <c r="E11482" t="inlineStr">
        <is>
          <t>ÖRNSKÖLDSVIK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60419-2023</t>
        </is>
      </c>
      <c r="B11483" s="1" t="n">
        <v>45258</v>
      </c>
      <c r="C11483" s="1" t="n">
        <v>45657</v>
      </c>
      <c r="D11483" t="inlineStr">
        <is>
          <t>VÄSTERNORRLANDS LÄN</t>
        </is>
      </c>
      <c r="E11483" t="inlineStr">
        <is>
          <t>ÖRNSKÖLDSVIK</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60440-2023</t>
        </is>
      </c>
      <c r="B11484" s="1" t="n">
        <v>45258</v>
      </c>
      <c r="C11484" s="1" t="n">
        <v>45657</v>
      </c>
      <c r="D11484" t="inlineStr">
        <is>
          <t>VÄSTERNORRLANDS LÄN</t>
        </is>
      </c>
      <c r="E11484" t="inlineStr">
        <is>
          <t>ÖRNSKÖLDSVIK</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60462-2023</t>
        </is>
      </c>
      <c r="B11485" s="1" t="n">
        <v>45258</v>
      </c>
      <c r="C11485" s="1" t="n">
        <v>45657</v>
      </c>
      <c r="D11485" t="inlineStr">
        <is>
          <t>VÄSTERNORRLANDS LÄN</t>
        </is>
      </c>
      <c r="E11485" t="inlineStr">
        <is>
          <t>SOLLEFTEÅ</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60484-2023</t>
        </is>
      </c>
      <c r="B11486" s="1" t="n">
        <v>45258</v>
      </c>
      <c r="C11486" s="1" t="n">
        <v>45657</v>
      </c>
      <c r="D11486" t="inlineStr">
        <is>
          <t>VÄSTERNORRLANDS LÄN</t>
        </is>
      </c>
      <c r="E11486" t="inlineStr">
        <is>
          <t>HÄRNÖSAND</t>
        </is>
      </c>
      <c r="G11486" t="n">
        <v>8.9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60470-2023</t>
        </is>
      </c>
      <c r="B11487" s="1" t="n">
        <v>45258</v>
      </c>
      <c r="C11487" s="1" t="n">
        <v>45657</v>
      </c>
      <c r="D11487" t="inlineStr">
        <is>
          <t>VÄSTERNORRLANDS LÄN</t>
        </is>
      </c>
      <c r="E11487" t="inlineStr">
        <is>
          <t>ÖRNSKÖLDSVIK</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60480-2023</t>
        </is>
      </c>
      <c r="B11488" s="1" t="n">
        <v>45258</v>
      </c>
      <c r="C11488" s="1" t="n">
        <v>45657</v>
      </c>
      <c r="D11488" t="inlineStr">
        <is>
          <t>VÄSTERNORRLANDS LÄN</t>
        </is>
      </c>
      <c r="E11488" t="inlineStr">
        <is>
          <t>SOLLEFTEÅ</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60425-2023</t>
        </is>
      </c>
      <c r="B11489" s="1" t="n">
        <v>45258</v>
      </c>
      <c r="C11489" s="1" t="n">
        <v>45657</v>
      </c>
      <c r="D11489" t="inlineStr">
        <is>
          <t>VÄSTERNORRLANDS LÄN</t>
        </is>
      </c>
      <c r="E11489" t="inlineStr">
        <is>
          <t>ÖRNSKÖLDSVIK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60564-2023</t>
        </is>
      </c>
      <c r="B11490" s="1" t="n">
        <v>45259</v>
      </c>
      <c r="C11490" s="1" t="n">
        <v>45657</v>
      </c>
      <c r="D11490" t="inlineStr">
        <is>
          <t>VÄSTERNORRLANDS LÄN</t>
        </is>
      </c>
      <c r="E11490" t="inlineStr">
        <is>
          <t>HÄRNÖSAND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60568-2023</t>
        </is>
      </c>
      <c r="B11491" s="1" t="n">
        <v>45259</v>
      </c>
      <c r="C11491" s="1" t="n">
        <v>45657</v>
      </c>
      <c r="D11491" t="inlineStr">
        <is>
          <t>VÄSTERNORRLANDS LÄN</t>
        </is>
      </c>
      <c r="E11491" t="inlineStr">
        <is>
          <t>ÅNGE</t>
        </is>
      </c>
      <c r="F11491" t="inlineStr">
        <is>
          <t>Kyrkan</t>
        </is>
      </c>
      <c r="G11491" t="n">
        <v>23.2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60576-2023</t>
        </is>
      </c>
      <c r="B11492" s="1" t="n">
        <v>45259</v>
      </c>
      <c r="C11492" s="1" t="n">
        <v>45657</v>
      </c>
      <c r="D11492" t="inlineStr">
        <is>
          <t>VÄSTERNORRLANDS LÄN</t>
        </is>
      </c>
      <c r="E11492" t="inlineStr">
        <is>
          <t>SUNDSVALL</t>
        </is>
      </c>
      <c r="F11492" t="inlineStr">
        <is>
          <t>SCA</t>
        </is>
      </c>
      <c r="G11492" t="n">
        <v>5.5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60562-2023</t>
        </is>
      </c>
      <c r="B11493" s="1" t="n">
        <v>45259</v>
      </c>
      <c r="C11493" s="1" t="n">
        <v>45657</v>
      </c>
      <c r="D11493" t="inlineStr">
        <is>
          <t>VÄSTERNORRLANDS LÄN</t>
        </is>
      </c>
      <c r="E11493" t="inlineStr">
        <is>
          <t>HÄRNÖSAND</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60566-2023</t>
        </is>
      </c>
      <c r="B11494" s="1" t="n">
        <v>45259</v>
      </c>
      <c r="C11494" s="1" t="n">
        <v>45657</v>
      </c>
      <c r="D11494" t="inlineStr">
        <is>
          <t>VÄSTERNORRLANDS LÄN</t>
        </is>
      </c>
      <c r="E11494" t="inlineStr">
        <is>
          <t>KRAMFORS</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60574-2023</t>
        </is>
      </c>
      <c r="B11495" s="1" t="n">
        <v>45259</v>
      </c>
      <c r="C11495" s="1" t="n">
        <v>45657</v>
      </c>
      <c r="D11495" t="inlineStr">
        <is>
          <t>VÄSTERNORRLANDS LÄN</t>
        </is>
      </c>
      <c r="E11495" t="inlineStr">
        <is>
          <t>HÄRNÖSAND</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60583-2023</t>
        </is>
      </c>
      <c r="B11496" s="1" t="n">
        <v>45259</v>
      </c>
      <c r="C11496" s="1" t="n">
        <v>45657</v>
      </c>
      <c r="D11496" t="inlineStr">
        <is>
          <t>VÄSTERNORRLANDS LÄN</t>
        </is>
      </c>
      <c r="E11496" t="inlineStr">
        <is>
          <t>SUNDSVALL</t>
        </is>
      </c>
      <c r="F11496" t="inlineStr">
        <is>
          <t>SCA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60573-2023</t>
        </is>
      </c>
      <c r="B11497" s="1" t="n">
        <v>45259</v>
      </c>
      <c r="C11497" s="1" t="n">
        <v>45657</v>
      </c>
      <c r="D11497" t="inlineStr">
        <is>
          <t>VÄSTERNORRLANDS LÄN</t>
        </is>
      </c>
      <c r="E11497" t="inlineStr">
        <is>
          <t>ÖRNSKÖLDSVIK</t>
        </is>
      </c>
      <c r="G11497" t="n">
        <v>36.7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60598-2023</t>
        </is>
      </c>
      <c r="B11498" s="1" t="n">
        <v>45259</v>
      </c>
      <c r="C11498" s="1" t="n">
        <v>45657</v>
      </c>
      <c r="D11498" t="inlineStr">
        <is>
          <t>VÄSTERNORRLANDS LÄN</t>
        </is>
      </c>
      <c r="E11498" t="inlineStr">
        <is>
          <t>ÖRNSKÖLDSVIK</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60575-2023</t>
        </is>
      </c>
      <c r="B11499" s="1" t="n">
        <v>45259</v>
      </c>
      <c r="C11499" s="1" t="n">
        <v>45657</v>
      </c>
      <c r="D11499" t="inlineStr">
        <is>
          <t>VÄSTERNORRLANDS LÄN</t>
        </is>
      </c>
      <c r="E11499" t="inlineStr">
        <is>
          <t>SUNDSVALL</t>
        </is>
      </c>
      <c r="F11499" t="inlineStr">
        <is>
          <t>SCA</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60580-2023</t>
        </is>
      </c>
      <c r="B11500" s="1" t="n">
        <v>45260</v>
      </c>
      <c r="C11500" s="1" t="n">
        <v>45657</v>
      </c>
      <c r="D11500" t="inlineStr">
        <is>
          <t>VÄSTERNORRLANDS LÄN</t>
        </is>
      </c>
      <c r="E11500" t="inlineStr">
        <is>
          <t>HÄRNÖSAND</t>
        </is>
      </c>
      <c r="F11500" t="inlineStr">
        <is>
          <t>SCA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60595-2023</t>
        </is>
      </c>
      <c r="B11501" s="1" t="n">
        <v>45259</v>
      </c>
      <c r="C11501" s="1" t="n">
        <v>45657</v>
      </c>
      <c r="D11501" t="inlineStr">
        <is>
          <t>VÄSTERNORRLANDS LÄN</t>
        </is>
      </c>
      <c r="E11501" t="inlineStr">
        <is>
          <t>ÖRNSKÖLDSVIK</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60883-2023</t>
        </is>
      </c>
      <c r="B11502" s="1" t="n">
        <v>45259</v>
      </c>
      <c r="C11502" s="1" t="n">
        <v>45657</v>
      </c>
      <c r="D11502" t="inlineStr">
        <is>
          <t>VÄSTERNORRLANDS LÄN</t>
        </is>
      </c>
      <c r="E11502" t="inlineStr">
        <is>
          <t>SOLLEFTEÅ</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61028-2023</t>
        </is>
      </c>
      <c r="B11503" s="1" t="n">
        <v>45259</v>
      </c>
      <c r="C11503" s="1" t="n">
        <v>45657</v>
      </c>
      <c r="D11503" t="inlineStr">
        <is>
          <t>VÄSTERNORRLANDS LÄN</t>
        </is>
      </c>
      <c r="E11503" t="inlineStr">
        <is>
          <t>SOLLEFTEÅ</t>
        </is>
      </c>
      <c r="G11503" t="n">
        <v>10.6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60994-2023</t>
        </is>
      </c>
      <c r="B11504" s="1" t="n">
        <v>45259</v>
      </c>
      <c r="C11504" s="1" t="n">
        <v>45657</v>
      </c>
      <c r="D11504" t="inlineStr">
        <is>
          <t>VÄSTERNORRLANDS LÄN</t>
        </is>
      </c>
      <c r="E11504" t="inlineStr">
        <is>
          <t>ÖRNSKÖLDSVIK</t>
        </is>
      </c>
      <c r="F11504" t="inlineStr">
        <is>
          <t>Kommuner</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60942-2023</t>
        </is>
      </c>
      <c r="B11505" s="1" t="n">
        <v>45259</v>
      </c>
      <c r="C11505" s="1" t="n">
        <v>45657</v>
      </c>
      <c r="D11505" t="inlineStr">
        <is>
          <t>VÄSTERNORRLANDS LÄN</t>
        </is>
      </c>
      <c r="E11505" t="inlineStr">
        <is>
          <t>SUNDSVALL</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61034-2023</t>
        </is>
      </c>
      <c r="B11506" s="1" t="n">
        <v>45259</v>
      </c>
      <c r="C11506" s="1" t="n">
        <v>45657</v>
      </c>
      <c r="D11506" t="inlineStr">
        <is>
          <t>VÄSTERNORRLANDS LÄN</t>
        </is>
      </c>
      <c r="E11506" t="inlineStr">
        <is>
          <t>SOLLEFTEÅ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60757-2023</t>
        </is>
      </c>
      <c r="B11507" s="1" t="n">
        <v>45260</v>
      </c>
      <c r="C11507" s="1" t="n">
        <v>45657</v>
      </c>
      <c r="D11507" t="inlineStr">
        <is>
          <t>VÄSTERNORRLANDS LÄN</t>
        </is>
      </c>
      <c r="E11507" t="inlineStr">
        <is>
          <t>ÖRNSKÖLDSVIK</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60754-2023</t>
        </is>
      </c>
      <c r="B11508" s="1" t="n">
        <v>45260</v>
      </c>
      <c r="C11508" s="1" t="n">
        <v>45657</v>
      </c>
      <c r="D11508" t="inlineStr">
        <is>
          <t>VÄSTERNORRLANDS LÄN</t>
        </is>
      </c>
      <c r="E11508" t="inlineStr">
        <is>
          <t>ÖRNSKÖLDSVIK</t>
        </is>
      </c>
      <c r="G11508" t="n">
        <v>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60773-2023</t>
        </is>
      </c>
      <c r="B11509" s="1" t="n">
        <v>45260</v>
      </c>
      <c r="C11509" s="1" t="n">
        <v>45657</v>
      </c>
      <c r="D11509" t="inlineStr">
        <is>
          <t>VÄSTERNORRLANDS LÄN</t>
        </is>
      </c>
      <c r="E11509" t="inlineStr">
        <is>
          <t>ÖRNSKÖLDSVIK</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60851-2023</t>
        </is>
      </c>
      <c r="B11510" s="1" t="n">
        <v>45260</v>
      </c>
      <c r="C11510" s="1" t="n">
        <v>45657</v>
      </c>
      <c r="D11510" t="inlineStr">
        <is>
          <t>VÄSTERNORRLANDS LÄN</t>
        </is>
      </c>
      <c r="E11510" t="inlineStr">
        <is>
          <t>KRAMFORS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60863-2023</t>
        </is>
      </c>
      <c r="B11511" s="1" t="n">
        <v>45261</v>
      </c>
      <c r="C11511" s="1" t="n">
        <v>45657</v>
      </c>
      <c r="D11511" t="inlineStr">
        <is>
          <t>VÄSTERNORRLANDS LÄN</t>
        </is>
      </c>
      <c r="E11511" t="inlineStr">
        <is>
          <t>SUNDSVALL</t>
        </is>
      </c>
      <c r="F11511" t="inlineStr">
        <is>
          <t>SCA</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60861-2023</t>
        </is>
      </c>
      <c r="B11512" s="1" t="n">
        <v>45260</v>
      </c>
      <c r="C11512" s="1" t="n">
        <v>45657</v>
      </c>
      <c r="D11512" t="inlineStr">
        <is>
          <t>VÄSTERNORRLANDS LÄN</t>
        </is>
      </c>
      <c r="E11512" t="inlineStr">
        <is>
          <t>SOLLEFTEÅ</t>
        </is>
      </c>
      <c r="F11512" t="inlineStr">
        <is>
          <t>SCA</t>
        </is>
      </c>
      <c r="G11512" t="n">
        <v>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60869-2023</t>
        </is>
      </c>
      <c r="B11513" s="1" t="n">
        <v>45260</v>
      </c>
      <c r="C11513" s="1" t="n">
        <v>45657</v>
      </c>
      <c r="D11513" t="inlineStr">
        <is>
          <t>VÄSTERNORRLANDS LÄN</t>
        </is>
      </c>
      <c r="E11513" t="inlineStr">
        <is>
          <t>SUNDSVALL</t>
        </is>
      </c>
      <c r="F11513" t="inlineStr">
        <is>
          <t>Naturvårdsverket</t>
        </is>
      </c>
      <c r="G11513" t="n">
        <v>9.800000000000001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61126-2023</t>
        </is>
      </c>
      <c r="B11514" s="1" t="n">
        <v>45260</v>
      </c>
      <c r="C11514" s="1" t="n">
        <v>45657</v>
      </c>
      <c r="D11514" t="inlineStr">
        <is>
          <t>VÄSTERNORRLANDS LÄN</t>
        </is>
      </c>
      <c r="E11514" t="inlineStr">
        <is>
          <t>ÖRNSKÖLDSVIK</t>
        </is>
      </c>
      <c r="F11514" t="inlineStr">
        <is>
          <t>Kommuner</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61240-2023</t>
        </is>
      </c>
      <c r="B11515" s="1" t="n">
        <v>45260</v>
      </c>
      <c r="C11515" s="1" t="n">
        <v>45657</v>
      </c>
      <c r="D11515" t="inlineStr">
        <is>
          <t>VÄSTERNORRLANDS LÄN</t>
        </is>
      </c>
      <c r="E11515" t="inlineStr">
        <is>
          <t>ÖRNSKÖLDSVIK</t>
        </is>
      </c>
      <c r="G11515" t="n">
        <v>17.8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61213-2023</t>
        </is>
      </c>
      <c r="B11516" s="1" t="n">
        <v>45260</v>
      </c>
      <c r="C11516" s="1" t="n">
        <v>45657</v>
      </c>
      <c r="D11516" t="inlineStr">
        <is>
          <t>VÄSTERNORRLANDS LÄN</t>
        </is>
      </c>
      <c r="E11516" t="inlineStr">
        <is>
          <t>SOLLEFTEÅ</t>
        </is>
      </c>
      <c r="G11516" t="n">
        <v>12.5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60905-2023</t>
        </is>
      </c>
      <c r="B11517" s="1" t="n">
        <v>45261</v>
      </c>
      <c r="C11517" s="1" t="n">
        <v>45657</v>
      </c>
      <c r="D11517" t="inlineStr">
        <is>
          <t>VÄSTERNORRLANDS LÄN</t>
        </is>
      </c>
      <c r="E11517" t="inlineStr">
        <is>
          <t>ÖRNSKÖLDSVIK</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61021-2023</t>
        </is>
      </c>
      <c r="B11518" s="1" t="n">
        <v>45261</v>
      </c>
      <c r="C11518" s="1" t="n">
        <v>45657</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60890-2023</t>
        </is>
      </c>
      <c r="B11519" s="1" t="n">
        <v>45261</v>
      </c>
      <c r="C11519" s="1" t="n">
        <v>45657</v>
      </c>
      <c r="D11519" t="inlineStr">
        <is>
          <t>VÄSTERNORRLANDS LÄN</t>
        </is>
      </c>
      <c r="E11519" t="inlineStr">
        <is>
          <t>ÖRNSKÖLDSVIK</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60936-2023</t>
        </is>
      </c>
      <c r="B11520" s="1" t="n">
        <v>45261</v>
      </c>
      <c r="C11520" s="1" t="n">
        <v>45657</v>
      </c>
      <c r="D11520" t="inlineStr">
        <is>
          <t>VÄSTERNORRLANDS LÄN</t>
        </is>
      </c>
      <c r="E11520" t="inlineStr">
        <is>
          <t>ÖRNSKÖLDSVIK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60982-2023</t>
        </is>
      </c>
      <c r="B11521" s="1" t="n">
        <v>45261</v>
      </c>
      <c r="C11521" s="1" t="n">
        <v>45657</v>
      </c>
      <c r="D11521" t="inlineStr">
        <is>
          <t>VÄSTERNORRLANDS LÄN</t>
        </is>
      </c>
      <c r="E11521" t="inlineStr">
        <is>
          <t>ÖRNSKÖLDSVIK</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61081-2023</t>
        </is>
      </c>
      <c r="B11522" s="1" t="n">
        <v>45261</v>
      </c>
      <c r="C11522" s="1" t="n">
        <v>45657</v>
      </c>
      <c r="D11522" t="inlineStr">
        <is>
          <t>VÄSTERNORRLANDS LÄN</t>
        </is>
      </c>
      <c r="E11522" t="inlineStr">
        <is>
          <t>SOLLEFTEÅ</t>
        </is>
      </c>
      <c r="F11522" t="inlineStr">
        <is>
          <t>Holmen skog AB</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61137-2023</t>
        </is>
      </c>
      <c r="B11523" s="1" t="n">
        <v>45261</v>
      </c>
      <c r="C11523" s="1" t="n">
        <v>45657</v>
      </c>
      <c r="D11523" t="inlineStr">
        <is>
          <t>VÄSTERNORRLANDS LÄN</t>
        </is>
      </c>
      <c r="E11523" t="inlineStr">
        <is>
          <t>SOLLEFTEÅ</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61142-2023</t>
        </is>
      </c>
      <c r="B11524" s="1" t="n">
        <v>45261</v>
      </c>
      <c r="C11524" s="1" t="n">
        <v>45657</v>
      </c>
      <c r="D11524" t="inlineStr">
        <is>
          <t>VÄSTERNORRLANDS LÄN</t>
        </is>
      </c>
      <c r="E11524" t="inlineStr">
        <is>
          <t>HÄRNÖSAND</t>
        </is>
      </c>
      <c r="F11524" t="inlineStr">
        <is>
          <t>SCA</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61138-2023</t>
        </is>
      </c>
      <c r="B11525" s="1" t="n">
        <v>45261</v>
      </c>
      <c r="C11525" s="1" t="n">
        <v>45657</v>
      </c>
      <c r="D11525" t="inlineStr">
        <is>
          <t>VÄSTERNORRLANDS LÄN</t>
        </is>
      </c>
      <c r="E11525" t="inlineStr">
        <is>
          <t>SOLLEFTEÅ</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61346-2023</t>
        </is>
      </c>
      <c r="B11526" s="1" t="n">
        <v>45261</v>
      </c>
      <c r="C11526" s="1" t="n">
        <v>45657</v>
      </c>
      <c r="D11526" t="inlineStr">
        <is>
          <t>VÄSTERNORRLANDS LÄN</t>
        </is>
      </c>
      <c r="E11526" t="inlineStr">
        <is>
          <t>ÖRNSKÖLDSVIK</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61367-2023</t>
        </is>
      </c>
      <c r="B11527" s="1" t="n">
        <v>45261</v>
      </c>
      <c r="C11527" s="1" t="n">
        <v>45657</v>
      </c>
      <c r="D11527" t="inlineStr">
        <is>
          <t>VÄSTERNORRLANDS LÄN</t>
        </is>
      </c>
      <c r="E11527" t="inlineStr">
        <is>
          <t>ÖRNSKÖLDSVIK</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61302-2023</t>
        </is>
      </c>
      <c r="B11528" s="1" t="n">
        <v>45261</v>
      </c>
      <c r="C11528" s="1" t="n">
        <v>45657</v>
      </c>
      <c r="D11528" t="inlineStr">
        <is>
          <t>VÄSTERNORRLANDS LÄN</t>
        </is>
      </c>
      <c r="E11528" t="inlineStr">
        <is>
          <t>ÖRNSKÖLDSVIK</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61324-2023</t>
        </is>
      </c>
      <c r="B11529" s="1" t="n">
        <v>45261</v>
      </c>
      <c r="C11529" s="1" t="n">
        <v>45657</v>
      </c>
      <c r="D11529" t="inlineStr">
        <is>
          <t>VÄSTERNORRLANDS LÄN</t>
        </is>
      </c>
      <c r="E11529" t="inlineStr">
        <is>
          <t>ÖRNSKÖLDSVIK</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61360-2023</t>
        </is>
      </c>
      <c r="B11530" s="1" t="n">
        <v>45261</v>
      </c>
      <c r="C11530" s="1" t="n">
        <v>45657</v>
      </c>
      <c r="D11530" t="inlineStr">
        <is>
          <t>VÄSTERNORRLANDS LÄN</t>
        </is>
      </c>
      <c r="E11530" t="inlineStr">
        <is>
          <t>ÖRNSKÖLDSVIK</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61433-2023</t>
        </is>
      </c>
      <c r="B11531" s="1" t="n">
        <v>45261</v>
      </c>
      <c r="C11531" s="1" t="n">
        <v>45657</v>
      </c>
      <c r="D11531" t="inlineStr">
        <is>
          <t>VÄSTERNORRLANDS LÄN</t>
        </is>
      </c>
      <c r="E11531" t="inlineStr">
        <is>
          <t>SUNDSVALL</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61144-2023</t>
        </is>
      </c>
      <c r="B11532" s="1" t="n">
        <v>45262</v>
      </c>
      <c r="C11532" s="1" t="n">
        <v>45657</v>
      </c>
      <c r="D11532" t="inlineStr">
        <is>
          <t>VÄSTERNORRLANDS LÄN</t>
        </is>
      </c>
      <c r="E11532" t="inlineStr">
        <is>
          <t>ÖRNSKÖLDSVIK</t>
        </is>
      </c>
      <c r="F11532" t="inlineStr">
        <is>
          <t>SCA</t>
        </is>
      </c>
      <c r="G11532" t="n">
        <v>10.5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61355-2023</t>
        </is>
      </c>
      <c r="B11533" s="1" t="n">
        <v>45261</v>
      </c>
      <c r="C11533" s="1" t="n">
        <v>45657</v>
      </c>
      <c r="D11533" t="inlineStr">
        <is>
          <t>VÄSTERNORRLANDS LÄN</t>
        </is>
      </c>
      <c r="E11533" t="inlineStr">
        <is>
          <t>ÖRNSKÖLDSVIK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61317-2023</t>
        </is>
      </c>
      <c r="B11534" s="1" t="n">
        <v>45261</v>
      </c>
      <c r="C11534" s="1" t="n">
        <v>45657</v>
      </c>
      <c r="D11534" t="inlineStr">
        <is>
          <t>VÄSTERNORRLANDS LÄN</t>
        </is>
      </c>
      <c r="E11534" t="inlineStr">
        <is>
          <t>ÖRNSKÖLDSVIK</t>
        </is>
      </c>
      <c r="G11534" t="n">
        <v>9.6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61372-2023</t>
        </is>
      </c>
      <c r="B11535" s="1" t="n">
        <v>45261</v>
      </c>
      <c r="C11535" s="1" t="n">
        <v>45657</v>
      </c>
      <c r="D11535" t="inlineStr">
        <is>
          <t>VÄSTERNORRLANDS LÄN</t>
        </is>
      </c>
      <c r="E11535" t="inlineStr">
        <is>
          <t>ÖRNSKÖLDSVIK</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61361-2023</t>
        </is>
      </c>
      <c r="B11536" s="1" t="n">
        <v>45261</v>
      </c>
      <c r="C11536" s="1" t="n">
        <v>45657</v>
      </c>
      <c r="D11536" t="inlineStr">
        <is>
          <t>VÄSTERNORRLANDS LÄN</t>
        </is>
      </c>
      <c r="E11536" t="inlineStr">
        <is>
          <t>ÖRNSKÖLDSVIK</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61297-2023</t>
        </is>
      </c>
      <c r="B11537" s="1" t="n">
        <v>45261</v>
      </c>
      <c r="C11537" s="1" t="n">
        <v>45657</v>
      </c>
      <c r="D11537" t="inlineStr">
        <is>
          <t>VÄSTERNORRLANDS LÄN</t>
        </is>
      </c>
      <c r="E11537" t="inlineStr">
        <is>
          <t>ÖRNSKÖLDSVIK</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61613-2023</t>
        </is>
      </c>
      <c r="B11538" s="1" t="n">
        <v>45261</v>
      </c>
      <c r="C11538" s="1" t="n">
        <v>45657</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61336-2023</t>
        </is>
      </c>
      <c r="B11539" s="1" t="n">
        <v>45261</v>
      </c>
      <c r="C11539" s="1" t="n">
        <v>45657</v>
      </c>
      <c r="D11539" t="inlineStr">
        <is>
          <t>VÄSTERNORRLANDS LÄN</t>
        </is>
      </c>
      <c r="E11539" t="inlineStr">
        <is>
          <t>ÖRNSKÖLDSVIK</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61606-2023</t>
        </is>
      </c>
      <c r="B11540" s="1" t="n">
        <v>45261</v>
      </c>
      <c r="C11540" s="1" t="n">
        <v>45657</v>
      </c>
      <c r="D11540" t="inlineStr">
        <is>
          <t>VÄSTERNORRLANDS LÄN</t>
        </is>
      </c>
      <c r="E11540" t="inlineStr">
        <is>
          <t>TIMRÅ</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61389-2023</t>
        </is>
      </c>
      <c r="B11541" s="1" t="n">
        <v>45261</v>
      </c>
      <c r="C11541" s="1" t="n">
        <v>45657</v>
      </c>
      <c r="D11541" t="inlineStr">
        <is>
          <t>VÄSTERNORRLANDS LÄN</t>
        </is>
      </c>
      <c r="E11541" t="inlineStr">
        <is>
          <t>ÖRNSKÖLDSVIK</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61619-2023</t>
        </is>
      </c>
      <c r="B11542" s="1" t="n">
        <v>45261</v>
      </c>
      <c r="C11542" s="1" t="n">
        <v>45657</v>
      </c>
      <c r="D11542" t="inlineStr">
        <is>
          <t>VÄSTERNORRLANDS LÄN</t>
        </is>
      </c>
      <c r="E11542" t="inlineStr">
        <is>
          <t>KRAMFORS</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61174-2023</t>
        </is>
      </c>
      <c r="B11543" s="1" t="n">
        <v>45262</v>
      </c>
      <c r="C11543" s="1" t="n">
        <v>45657</v>
      </c>
      <c r="D11543" t="inlineStr">
        <is>
          <t>VÄSTERNORRLANDS LÄN</t>
        </is>
      </c>
      <c r="E11543" t="inlineStr">
        <is>
          <t>KRAMFORS</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61172-2023</t>
        </is>
      </c>
      <c r="B11544" s="1" t="n">
        <v>45262</v>
      </c>
      <c r="C11544" s="1" t="n">
        <v>45657</v>
      </c>
      <c r="D11544" t="inlineStr">
        <is>
          <t>VÄSTERNORRLANDS LÄN</t>
        </is>
      </c>
      <c r="E11544" t="inlineStr">
        <is>
          <t>KRAMFORS</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61163-2023</t>
        </is>
      </c>
      <c r="B11545" s="1" t="n">
        <v>45262</v>
      </c>
      <c r="C11545" s="1" t="n">
        <v>45657</v>
      </c>
      <c r="D11545" t="inlineStr">
        <is>
          <t>VÄSTERNORRLANDS LÄN</t>
        </is>
      </c>
      <c r="E11545" t="inlineStr">
        <is>
          <t>SUNDSVALL</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61173-2023</t>
        </is>
      </c>
      <c r="B11546" s="1" t="n">
        <v>45262</v>
      </c>
      <c r="C11546" s="1" t="n">
        <v>45657</v>
      </c>
      <c r="D11546" t="inlineStr">
        <is>
          <t>VÄSTERNORRLANDS LÄN</t>
        </is>
      </c>
      <c r="E11546" t="inlineStr">
        <is>
          <t>KRAMFORS</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61268-2023</t>
        </is>
      </c>
      <c r="B11547" s="1" t="n">
        <v>45264</v>
      </c>
      <c r="C11547" s="1" t="n">
        <v>45657</v>
      </c>
      <c r="D11547" t="inlineStr">
        <is>
          <t>VÄSTERNORRLANDS LÄN</t>
        </is>
      </c>
      <c r="E11547" t="inlineStr">
        <is>
          <t>SUNDSVALL</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61305-2023</t>
        </is>
      </c>
      <c r="B11548" s="1" t="n">
        <v>45264</v>
      </c>
      <c r="C11548" s="1" t="n">
        <v>45657</v>
      </c>
      <c r="D11548" t="inlineStr">
        <is>
          <t>VÄSTERNORRLANDS LÄN</t>
        </is>
      </c>
      <c r="E11548" t="inlineStr">
        <is>
          <t>ÖRNSKÖLDSVIK</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61327-2023</t>
        </is>
      </c>
      <c r="B11549" s="1" t="n">
        <v>45264</v>
      </c>
      <c r="C11549" s="1" t="n">
        <v>45657</v>
      </c>
      <c r="D11549" t="inlineStr">
        <is>
          <t>VÄSTERNORRLANDS LÄN</t>
        </is>
      </c>
      <c r="E11549" t="inlineStr">
        <is>
          <t>ÖRNSKÖLDSVIK</t>
        </is>
      </c>
      <c r="F11549" t="inlineStr">
        <is>
          <t>Övriga Aktiebolag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61335-2023</t>
        </is>
      </c>
      <c r="B11550" s="1" t="n">
        <v>45264</v>
      </c>
      <c r="C11550" s="1" t="n">
        <v>45657</v>
      </c>
      <c r="D11550" t="inlineStr">
        <is>
          <t>VÄSTERNORRLANDS LÄN</t>
        </is>
      </c>
      <c r="E11550" t="inlineStr">
        <is>
          <t>ÅNGE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61251-2023</t>
        </is>
      </c>
      <c r="B11551" s="1" t="n">
        <v>45264</v>
      </c>
      <c r="C11551" s="1" t="n">
        <v>45657</v>
      </c>
      <c r="D11551" t="inlineStr">
        <is>
          <t>VÄSTERNORRLANDS LÄN</t>
        </is>
      </c>
      <c r="E11551" t="inlineStr">
        <is>
          <t>ÖRNSKÖLDSVIK</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61362-2023</t>
        </is>
      </c>
      <c r="B11552" s="1" t="n">
        <v>45264</v>
      </c>
      <c r="C11552" s="1" t="n">
        <v>45657</v>
      </c>
      <c r="D11552" t="inlineStr">
        <is>
          <t>VÄSTERNORRLANDS LÄN</t>
        </is>
      </c>
      <c r="E11552" t="inlineStr">
        <is>
          <t>ÖRNSKÖLDSVIK</t>
        </is>
      </c>
      <c r="F11552" t="inlineStr">
        <is>
          <t>Övriga Aktiebolag</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61267-2023</t>
        </is>
      </c>
      <c r="B11553" s="1" t="n">
        <v>45264</v>
      </c>
      <c r="C11553" s="1" t="n">
        <v>45657</v>
      </c>
      <c r="D11553" t="inlineStr">
        <is>
          <t>VÄSTERNORRLANDS LÄN</t>
        </is>
      </c>
      <c r="E11553" t="inlineStr">
        <is>
          <t>SUNDSVALL</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61342-2023</t>
        </is>
      </c>
      <c r="B11554" s="1" t="n">
        <v>45264</v>
      </c>
      <c r="C11554" s="1" t="n">
        <v>45657</v>
      </c>
      <c r="D11554" t="inlineStr">
        <is>
          <t>VÄSTERNORRLANDS LÄN</t>
        </is>
      </c>
      <c r="E11554" t="inlineStr">
        <is>
          <t>ÖRNSKÖLDSVIK</t>
        </is>
      </c>
      <c r="F11554" t="inlineStr">
        <is>
          <t>Övriga Aktiebolag</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61461-2023</t>
        </is>
      </c>
      <c r="B11555" s="1" t="n">
        <v>45264</v>
      </c>
      <c r="C11555" s="1" t="n">
        <v>45657</v>
      </c>
      <c r="D11555" t="inlineStr">
        <is>
          <t>VÄSTERNORRLANDS LÄN</t>
        </is>
      </c>
      <c r="E11555" t="inlineStr">
        <is>
          <t>ÅNGE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61469-2023</t>
        </is>
      </c>
      <c r="B11556" s="1" t="n">
        <v>45264</v>
      </c>
      <c r="C11556" s="1" t="n">
        <v>45657</v>
      </c>
      <c r="D11556" t="inlineStr">
        <is>
          <t>VÄSTERNORRLANDS LÄN</t>
        </is>
      </c>
      <c r="E11556" t="inlineStr">
        <is>
          <t>SOLLEFTEÅ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61473-2023</t>
        </is>
      </c>
      <c r="B11557" s="1" t="n">
        <v>45264</v>
      </c>
      <c r="C11557" s="1" t="n">
        <v>45657</v>
      </c>
      <c r="D11557" t="inlineStr">
        <is>
          <t>VÄSTERNORRLANDS LÄN</t>
        </is>
      </c>
      <c r="E11557" t="inlineStr">
        <is>
          <t>SOLLEFTEÅ</t>
        </is>
      </c>
      <c r="G11557" t="n">
        <v>18.8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61467-2023</t>
        </is>
      </c>
      <c r="B11558" s="1" t="n">
        <v>45264</v>
      </c>
      <c r="C11558" s="1" t="n">
        <v>45657</v>
      </c>
      <c r="D11558" t="inlineStr">
        <is>
          <t>VÄSTERNORRLANDS LÄN</t>
        </is>
      </c>
      <c r="E11558" t="inlineStr">
        <is>
          <t>KRAMFORS</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61463-2023</t>
        </is>
      </c>
      <c r="B11559" s="1" t="n">
        <v>45264</v>
      </c>
      <c r="C11559" s="1" t="n">
        <v>45657</v>
      </c>
      <c r="D11559" t="inlineStr">
        <is>
          <t>VÄSTERNORRLANDS LÄN</t>
        </is>
      </c>
      <c r="E11559" t="inlineStr">
        <is>
          <t>TIMRÅ</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61475-2023</t>
        </is>
      </c>
      <c r="B11560" s="1" t="n">
        <v>45264</v>
      </c>
      <c r="C11560" s="1" t="n">
        <v>45657</v>
      </c>
      <c r="D11560" t="inlineStr">
        <is>
          <t>VÄSTERNORRLANDS LÄN</t>
        </is>
      </c>
      <c r="E11560" t="inlineStr">
        <is>
          <t>SUNDSVALL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61466-2023</t>
        </is>
      </c>
      <c r="B11561" s="1" t="n">
        <v>45264</v>
      </c>
      <c r="C11561" s="1" t="n">
        <v>45657</v>
      </c>
      <c r="D11561" t="inlineStr">
        <is>
          <t>VÄSTERNORRLANDS LÄN</t>
        </is>
      </c>
      <c r="E11561" t="inlineStr">
        <is>
          <t>KRAMFORS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61462-2023</t>
        </is>
      </c>
      <c r="B11562" s="1" t="n">
        <v>45264</v>
      </c>
      <c r="C11562" s="1" t="n">
        <v>45657</v>
      </c>
      <c r="D11562" t="inlineStr">
        <is>
          <t>VÄSTERNORRLANDS LÄN</t>
        </is>
      </c>
      <c r="E11562" t="inlineStr">
        <is>
          <t>SOLLEFTEÅ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61470-2023</t>
        </is>
      </c>
      <c r="B11563" s="1" t="n">
        <v>45264</v>
      </c>
      <c r="C11563" s="1" t="n">
        <v>45657</v>
      </c>
      <c r="D11563" t="inlineStr">
        <is>
          <t>VÄSTERNORRLANDS LÄN</t>
        </is>
      </c>
      <c r="E11563" t="inlineStr">
        <is>
          <t>SOLLEFTEÅ</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61474-2023</t>
        </is>
      </c>
      <c r="B11564" s="1" t="n">
        <v>45264</v>
      </c>
      <c r="C11564" s="1" t="n">
        <v>45657</v>
      </c>
      <c r="D11564" t="inlineStr">
        <is>
          <t>VÄSTERNORRLANDS LÄN</t>
        </is>
      </c>
      <c r="E11564" t="inlineStr">
        <is>
          <t>SUNDSVALL</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61490-2023</t>
        </is>
      </c>
      <c r="B11565" s="1" t="n">
        <v>45264</v>
      </c>
      <c r="C11565" s="1" t="n">
        <v>45657</v>
      </c>
      <c r="D11565" t="inlineStr">
        <is>
          <t>VÄSTERNORRLANDS LÄN</t>
        </is>
      </c>
      <c r="E11565" t="inlineStr">
        <is>
          <t>SUNDSVALL</t>
        </is>
      </c>
      <c r="F11565" t="inlineStr">
        <is>
          <t>SCA</t>
        </is>
      </c>
      <c r="G11565" t="n">
        <v>9.699999999999999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61498-2023</t>
        </is>
      </c>
      <c r="B11566" s="1" t="n">
        <v>45264</v>
      </c>
      <c r="C11566" s="1" t="n">
        <v>45657</v>
      </c>
      <c r="D11566" t="inlineStr">
        <is>
          <t>VÄSTERNORRLANDS LÄN</t>
        </is>
      </c>
      <c r="E11566" t="inlineStr">
        <is>
          <t>SUNDSVALL</t>
        </is>
      </c>
      <c r="F11566" t="inlineStr">
        <is>
          <t>SCA</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61492-2023</t>
        </is>
      </c>
      <c r="B11567" s="1" t="n">
        <v>45264</v>
      </c>
      <c r="C11567" s="1" t="n">
        <v>45657</v>
      </c>
      <c r="D11567" t="inlineStr">
        <is>
          <t>VÄSTERNORRLANDS LÄN</t>
        </is>
      </c>
      <c r="E11567" t="inlineStr">
        <is>
          <t>SUNDSVALL</t>
        </is>
      </c>
      <c r="F11567" t="inlineStr">
        <is>
          <t>SCA</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61491-2023</t>
        </is>
      </c>
      <c r="B11568" s="1" t="n">
        <v>45264</v>
      </c>
      <c r="C11568" s="1" t="n">
        <v>45657</v>
      </c>
      <c r="D11568" t="inlineStr">
        <is>
          <t>VÄSTERNORRLANDS LÄN</t>
        </is>
      </c>
      <c r="E11568" t="inlineStr">
        <is>
          <t>SUNDSVALL</t>
        </is>
      </c>
      <c r="F11568" t="inlineStr">
        <is>
          <t>SCA</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61464-2023</t>
        </is>
      </c>
      <c r="B11569" s="1" t="n">
        <v>45264</v>
      </c>
      <c r="C11569" s="1" t="n">
        <v>45657</v>
      </c>
      <c r="D11569" t="inlineStr">
        <is>
          <t>VÄSTERNORRLANDS LÄN</t>
        </is>
      </c>
      <c r="E11569" t="inlineStr">
        <is>
          <t>SUNDSVALL</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61468-2023</t>
        </is>
      </c>
      <c r="B11570" s="1" t="n">
        <v>45264</v>
      </c>
      <c r="C11570" s="1" t="n">
        <v>45657</v>
      </c>
      <c r="D11570" t="inlineStr">
        <is>
          <t>VÄSTERNORRLANDS LÄN</t>
        </is>
      </c>
      <c r="E11570" t="inlineStr">
        <is>
          <t>KRAMFORS</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61476-2023</t>
        </is>
      </c>
      <c r="B11571" s="1" t="n">
        <v>45264</v>
      </c>
      <c r="C11571" s="1" t="n">
        <v>45657</v>
      </c>
      <c r="D11571" t="inlineStr">
        <is>
          <t>VÄSTERNORRLANDS LÄN</t>
        </is>
      </c>
      <c r="E11571" t="inlineStr">
        <is>
          <t>SUNDSVALL</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61484-2023</t>
        </is>
      </c>
      <c r="B11572" s="1" t="n">
        <v>45264</v>
      </c>
      <c r="C11572" s="1" t="n">
        <v>45657</v>
      </c>
      <c r="D11572" t="inlineStr">
        <is>
          <t>VÄSTERNORRLANDS LÄN</t>
        </is>
      </c>
      <c r="E11572" t="inlineStr">
        <is>
          <t>TIMRÅ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61497-2023</t>
        </is>
      </c>
      <c r="B11573" s="1" t="n">
        <v>45264</v>
      </c>
      <c r="C11573" s="1" t="n">
        <v>45657</v>
      </c>
      <c r="D11573" t="inlineStr">
        <is>
          <t>VÄSTERNORRLANDS LÄN</t>
        </is>
      </c>
      <c r="E11573" t="inlineStr">
        <is>
          <t>SUNDSVALL</t>
        </is>
      </c>
      <c r="F11573" t="inlineStr">
        <is>
          <t>SCA</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61472-2023</t>
        </is>
      </c>
      <c r="B11574" s="1" t="n">
        <v>45264</v>
      </c>
      <c r="C11574" s="1" t="n">
        <v>45657</v>
      </c>
      <c r="D11574" t="inlineStr">
        <is>
          <t>VÄSTERNORRLANDS LÄN</t>
        </is>
      </c>
      <c r="E11574" t="inlineStr">
        <is>
          <t>SUNDSVALL</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61860-2023</t>
        </is>
      </c>
      <c r="B11575" s="1" t="n">
        <v>45264</v>
      </c>
      <c r="C11575" s="1" t="n">
        <v>45657</v>
      </c>
      <c r="D11575" t="inlineStr">
        <is>
          <t>VÄSTERNORRLANDS LÄN</t>
        </is>
      </c>
      <c r="E11575" t="inlineStr">
        <is>
          <t>SUNDSVALL</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61809-2023</t>
        </is>
      </c>
      <c r="B11576" s="1" t="n">
        <v>45264</v>
      </c>
      <c r="C11576" s="1" t="n">
        <v>45657</v>
      </c>
      <c r="D11576" t="inlineStr">
        <is>
          <t>VÄSTERNORRLANDS LÄN</t>
        </is>
      </c>
      <c r="E11576" t="inlineStr">
        <is>
          <t>SOLLEFTEÅ</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61805-2023</t>
        </is>
      </c>
      <c r="B11577" s="1" t="n">
        <v>45264</v>
      </c>
      <c r="C11577" s="1" t="n">
        <v>45657</v>
      </c>
      <c r="D11577" t="inlineStr">
        <is>
          <t>VÄSTERNORRLANDS LÄN</t>
        </is>
      </c>
      <c r="E11577" t="inlineStr">
        <is>
          <t>SOLLEFTEÅ</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61849-2023</t>
        </is>
      </c>
      <c r="B11578" s="1" t="n">
        <v>45264</v>
      </c>
      <c r="C11578" s="1" t="n">
        <v>45657</v>
      </c>
      <c r="D11578" t="inlineStr">
        <is>
          <t>VÄSTERNORRLANDS LÄN</t>
        </is>
      </c>
      <c r="E11578" t="inlineStr">
        <is>
          <t>SUNDSVALL</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61815-2023</t>
        </is>
      </c>
      <c r="B11579" s="1" t="n">
        <v>45264</v>
      </c>
      <c r="C11579" s="1" t="n">
        <v>45657</v>
      </c>
      <c r="D11579" t="inlineStr">
        <is>
          <t>VÄSTERNORRLANDS LÄN</t>
        </is>
      </c>
      <c r="E11579" t="inlineStr">
        <is>
          <t>SUNDSVALL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61485-2023</t>
        </is>
      </c>
      <c r="B11580" s="1" t="n">
        <v>45264</v>
      </c>
      <c r="C11580" s="1" t="n">
        <v>45657</v>
      </c>
      <c r="D11580" t="inlineStr">
        <is>
          <t>VÄSTERNORRLANDS LÄN</t>
        </is>
      </c>
      <c r="E11580" t="inlineStr">
        <is>
          <t>SOLLEFTEÅ</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61572-2023</t>
        </is>
      </c>
      <c r="B11581" s="1" t="n">
        <v>45265</v>
      </c>
      <c r="C11581" s="1" t="n">
        <v>45657</v>
      </c>
      <c r="D11581" t="inlineStr">
        <is>
          <t>VÄSTERNORRLANDS LÄN</t>
        </is>
      </c>
      <c r="E11581" t="inlineStr">
        <is>
          <t>ÖRNSKÖLDSVIK</t>
        </is>
      </c>
      <c r="F11581" t="inlineStr">
        <is>
          <t>Holmen skog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61577-2023</t>
        </is>
      </c>
      <c r="B11582" s="1" t="n">
        <v>45265</v>
      </c>
      <c r="C11582" s="1" t="n">
        <v>45657</v>
      </c>
      <c r="D11582" t="inlineStr">
        <is>
          <t>VÄSTERNORRLANDS LÄN</t>
        </is>
      </c>
      <c r="E11582" t="inlineStr">
        <is>
          <t>ÅNGE</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61642-2023</t>
        </is>
      </c>
      <c r="B11583" s="1" t="n">
        <v>45265</v>
      </c>
      <c r="C11583" s="1" t="n">
        <v>45657</v>
      </c>
      <c r="D11583" t="inlineStr">
        <is>
          <t>VÄSTERNORRLANDS LÄN</t>
        </is>
      </c>
      <c r="E11583" t="inlineStr">
        <is>
          <t>ÖRNSKÖLDSVIK</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61513-2023</t>
        </is>
      </c>
      <c r="B11584" s="1" t="n">
        <v>45265</v>
      </c>
      <c r="C11584" s="1" t="n">
        <v>45657</v>
      </c>
      <c r="D11584" t="inlineStr">
        <is>
          <t>VÄSTERNORRLANDS LÄN</t>
        </is>
      </c>
      <c r="E11584" t="inlineStr">
        <is>
          <t>ÖRNSKÖLDSVIK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61776-2023</t>
        </is>
      </c>
      <c r="B11585" s="1" t="n">
        <v>45265</v>
      </c>
      <c r="C11585" s="1" t="n">
        <v>45657</v>
      </c>
      <c r="D11585" t="inlineStr">
        <is>
          <t>VÄSTERNORRLANDS LÄN</t>
        </is>
      </c>
      <c r="E11585" t="inlineStr">
        <is>
          <t>HÄRNÖSAND</t>
        </is>
      </c>
      <c r="F11585" t="inlineStr">
        <is>
          <t>SCA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61712-2023</t>
        </is>
      </c>
      <c r="B11586" s="1" t="n">
        <v>45265</v>
      </c>
      <c r="C11586" s="1" t="n">
        <v>45657</v>
      </c>
      <c r="D11586" t="inlineStr">
        <is>
          <t>VÄSTERNORRLANDS LÄN</t>
        </is>
      </c>
      <c r="E11586" t="inlineStr">
        <is>
          <t>ÖRNSKÖLDSVIK</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61967-2023</t>
        </is>
      </c>
      <c r="B11587" s="1" t="n">
        <v>45265</v>
      </c>
      <c r="C11587" s="1" t="n">
        <v>45657</v>
      </c>
      <c r="D11587" t="inlineStr">
        <is>
          <t>VÄSTERNORRLANDS LÄN</t>
        </is>
      </c>
      <c r="E11587" t="inlineStr">
        <is>
          <t>SUNDSVALL</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61785-2023</t>
        </is>
      </c>
      <c r="B11588" s="1" t="n">
        <v>45265</v>
      </c>
      <c r="C11588" s="1" t="n">
        <v>45657</v>
      </c>
      <c r="D11588" t="inlineStr">
        <is>
          <t>VÄSTERNORRLANDS LÄN</t>
        </is>
      </c>
      <c r="E11588" t="inlineStr">
        <is>
          <t>TIMRÅ</t>
        </is>
      </c>
      <c r="F11588" t="inlineStr">
        <is>
          <t>SCA</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61781-2023</t>
        </is>
      </c>
      <c r="B11589" s="1" t="n">
        <v>45265</v>
      </c>
      <c r="C11589" s="1" t="n">
        <v>45657</v>
      </c>
      <c r="D11589" t="inlineStr">
        <is>
          <t>VÄSTERNORRLANDS LÄN</t>
        </is>
      </c>
      <c r="E11589" t="inlineStr">
        <is>
          <t>ÅNGE</t>
        </is>
      </c>
      <c r="F11589" t="inlineStr">
        <is>
          <t>SCA</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61797-2023</t>
        </is>
      </c>
      <c r="B11590" s="1" t="n">
        <v>45265</v>
      </c>
      <c r="C11590" s="1" t="n">
        <v>45657</v>
      </c>
      <c r="D11590" t="inlineStr">
        <is>
          <t>VÄSTERNORRLANDS LÄN</t>
        </is>
      </c>
      <c r="E11590" t="inlineStr">
        <is>
          <t>ÅNGE</t>
        </is>
      </c>
      <c r="F11590" t="inlineStr">
        <is>
          <t>SCA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61784-2023</t>
        </is>
      </c>
      <c r="B11591" s="1" t="n">
        <v>45265</v>
      </c>
      <c r="C11591" s="1" t="n">
        <v>45657</v>
      </c>
      <c r="D11591" t="inlineStr">
        <is>
          <t>VÄSTERNORRLANDS LÄN</t>
        </is>
      </c>
      <c r="E11591" t="inlineStr">
        <is>
          <t>SOLLEFTEÅ</t>
        </is>
      </c>
      <c r="F11591" t="inlineStr">
        <is>
          <t>SCA</t>
        </is>
      </c>
      <c r="G11591" t="n">
        <v>9.1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61909-2023</t>
        </is>
      </c>
      <c r="B11592" s="1" t="n">
        <v>45265</v>
      </c>
      <c r="C11592" s="1" t="n">
        <v>45657</v>
      </c>
      <c r="D11592" t="inlineStr">
        <is>
          <t>VÄSTERNORRLANDS LÄN</t>
        </is>
      </c>
      <c r="E11592" t="inlineStr">
        <is>
          <t>KRAMFORS</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61786-2023</t>
        </is>
      </c>
      <c r="B11593" s="1" t="n">
        <v>45265</v>
      </c>
      <c r="C11593" s="1" t="n">
        <v>45657</v>
      </c>
      <c r="D11593" t="inlineStr">
        <is>
          <t>VÄSTERNORRLANDS LÄN</t>
        </is>
      </c>
      <c r="E11593" t="inlineStr">
        <is>
          <t>ÖRNSKÖLDSVIK</t>
        </is>
      </c>
      <c r="F11593" t="inlineStr">
        <is>
          <t>SCA</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61914-2023</t>
        </is>
      </c>
      <c r="B11594" s="1" t="n">
        <v>45265</v>
      </c>
      <c r="C11594" s="1" t="n">
        <v>45657</v>
      </c>
      <c r="D11594" t="inlineStr">
        <is>
          <t>VÄSTERNORRLANDS LÄN</t>
        </is>
      </c>
      <c r="E11594" t="inlineStr">
        <is>
          <t>KRAMFORS</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61877-2023</t>
        </is>
      </c>
      <c r="B11595" s="1" t="n">
        <v>45265</v>
      </c>
      <c r="C11595" s="1" t="n">
        <v>45657</v>
      </c>
      <c r="D11595" t="inlineStr">
        <is>
          <t>VÄSTERNORRLANDS LÄN</t>
        </is>
      </c>
      <c r="E11595" t="inlineStr">
        <is>
          <t>KRAMFORS</t>
        </is>
      </c>
      <c r="G11595" t="n">
        <v>17.1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61782-2023</t>
        </is>
      </c>
      <c r="B11596" s="1" t="n">
        <v>45265</v>
      </c>
      <c r="C11596" s="1" t="n">
        <v>45657</v>
      </c>
      <c r="D11596" t="inlineStr">
        <is>
          <t>VÄSTERNORRLANDS LÄN</t>
        </is>
      </c>
      <c r="E11596" t="inlineStr">
        <is>
          <t>ÅNGE</t>
        </is>
      </c>
      <c r="F11596" t="inlineStr">
        <is>
          <t>SCA</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61812-2023</t>
        </is>
      </c>
      <c r="B11597" s="1" t="n">
        <v>45266</v>
      </c>
      <c r="C11597" s="1" t="n">
        <v>45657</v>
      </c>
      <c r="D11597" t="inlineStr">
        <is>
          <t>VÄSTERNORRLANDS LÄN</t>
        </is>
      </c>
      <c r="E11597" t="inlineStr">
        <is>
          <t>ÖRNSKÖLDSVIK</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62023-2023</t>
        </is>
      </c>
      <c r="B11598" s="1" t="n">
        <v>45266</v>
      </c>
      <c r="C11598" s="1" t="n">
        <v>45657</v>
      </c>
      <c r="D11598" t="inlineStr">
        <is>
          <t>VÄSTERNORRLANDS LÄN</t>
        </is>
      </c>
      <c r="E11598" t="inlineStr">
        <is>
          <t>HÄRNÖSAND</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61944-2023</t>
        </is>
      </c>
      <c r="B11599" s="1" t="n">
        <v>45266</v>
      </c>
      <c r="C11599" s="1" t="n">
        <v>45657</v>
      </c>
      <c r="D11599" t="inlineStr">
        <is>
          <t>VÄSTERNORRLANDS LÄN</t>
        </is>
      </c>
      <c r="E11599" t="inlineStr">
        <is>
          <t>HÄRNÖSAND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62019-2023</t>
        </is>
      </c>
      <c r="B11600" s="1" t="n">
        <v>45266</v>
      </c>
      <c r="C11600" s="1" t="n">
        <v>45657</v>
      </c>
      <c r="D11600" t="inlineStr">
        <is>
          <t>VÄSTERNORRLANDS LÄN</t>
        </is>
      </c>
      <c r="E11600" t="inlineStr">
        <is>
          <t>ÖRNSKÖLDSVIK</t>
        </is>
      </c>
      <c r="F11600" t="inlineStr">
        <is>
          <t>Holmen skog AB</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62082-2023</t>
        </is>
      </c>
      <c r="B11601" s="1" t="n">
        <v>45266</v>
      </c>
      <c r="C11601" s="1" t="n">
        <v>45657</v>
      </c>
      <c r="D11601" t="inlineStr">
        <is>
          <t>VÄSTERNORRLANDS LÄN</t>
        </is>
      </c>
      <c r="E11601" t="inlineStr">
        <is>
          <t>ÖRNSKÖLDSVIK</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62099-2023</t>
        </is>
      </c>
      <c r="B11602" s="1" t="n">
        <v>45266</v>
      </c>
      <c r="C11602" s="1" t="n">
        <v>45657</v>
      </c>
      <c r="D11602" t="inlineStr">
        <is>
          <t>VÄSTERNORRLANDS LÄN</t>
        </is>
      </c>
      <c r="E11602" t="inlineStr">
        <is>
          <t>SOLLEFTEÅ</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62111-2023</t>
        </is>
      </c>
      <c r="B11603" s="1" t="n">
        <v>45266</v>
      </c>
      <c r="C11603" s="1" t="n">
        <v>45657</v>
      </c>
      <c r="D11603" t="inlineStr">
        <is>
          <t>VÄSTERNORRLANDS LÄN</t>
        </is>
      </c>
      <c r="E11603" t="inlineStr">
        <is>
          <t>ÅNGE</t>
        </is>
      </c>
      <c r="F11603" t="inlineStr">
        <is>
          <t>SCA</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62098-2023</t>
        </is>
      </c>
      <c r="B11604" s="1" t="n">
        <v>45266</v>
      </c>
      <c r="C11604" s="1" t="n">
        <v>45657</v>
      </c>
      <c r="D11604" t="inlineStr">
        <is>
          <t>VÄSTERNORRLANDS LÄN</t>
        </is>
      </c>
      <c r="E11604" t="inlineStr">
        <is>
          <t>SOLLEFTEÅ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62110-2023</t>
        </is>
      </c>
      <c r="B11605" s="1" t="n">
        <v>45266</v>
      </c>
      <c r="C11605" s="1" t="n">
        <v>45657</v>
      </c>
      <c r="D11605" t="inlineStr">
        <is>
          <t>VÄSTERNORRLANDS LÄN</t>
        </is>
      </c>
      <c r="E11605" t="inlineStr">
        <is>
          <t>ÖRNSKÖLDSVIK</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62096-2023</t>
        </is>
      </c>
      <c r="B11606" s="1" t="n">
        <v>45266</v>
      </c>
      <c r="C11606" s="1" t="n">
        <v>45657</v>
      </c>
      <c r="D11606" t="inlineStr">
        <is>
          <t>VÄSTERNORRLANDS LÄN</t>
        </is>
      </c>
      <c r="E11606" t="inlineStr">
        <is>
          <t>SOLLEFTEÅ</t>
        </is>
      </c>
      <c r="F11606" t="inlineStr">
        <is>
          <t>Kyrkan</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62100-2023</t>
        </is>
      </c>
      <c r="B11607" s="1" t="n">
        <v>45266</v>
      </c>
      <c r="C11607" s="1" t="n">
        <v>45657</v>
      </c>
      <c r="D11607" t="inlineStr">
        <is>
          <t>VÄSTERNORRLANDS LÄN</t>
        </is>
      </c>
      <c r="E11607" t="inlineStr">
        <is>
          <t>SOLLEFTEÅ</t>
        </is>
      </c>
      <c r="G11607" t="n">
        <v>16.6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62115-2023</t>
        </is>
      </c>
      <c r="B11608" s="1" t="n">
        <v>45266</v>
      </c>
      <c r="C11608" s="1" t="n">
        <v>45657</v>
      </c>
      <c r="D11608" t="inlineStr">
        <is>
          <t>VÄSTERNORRLANDS LÄN</t>
        </is>
      </c>
      <c r="E11608" t="inlineStr">
        <is>
          <t>SOLLEFTEÅ</t>
        </is>
      </c>
      <c r="F11608" t="inlineStr">
        <is>
          <t>SCA</t>
        </is>
      </c>
      <c r="G11608" t="n">
        <v>43.1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62097-2023</t>
        </is>
      </c>
      <c r="B11609" s="1" t="n">
        <v>45266</v>
      </c>
      <c r="C11609" s="1" t="n">
        <v>45657</v>
      </c>
      <c r="D11609" t="inlineStr">
        <is>
          <t>VÄSTERNORRLANDS LÄN</t>
        </is>
      </c>
      <c r="E11609" t="inlineStr">
        <is>
          <t>SOLLEFTEÅ</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62093-2023</t>
        </is>
      </c>
      <c r="B11610" s="1" t="n">
        <v>45266</v>
      </c>
      <c r="C11610" s="1" t="n">
        <v>45657</v>
      </c>
      <c r="D11610" t="inlineStr">
        <is>
          <t>VÄSTERNORRLANDS LÄN</t>
        </is>
      </c>
      <c r="E11610" t="inlineStr">
        <is>
          <t>SOLLEFTEÅ</t>
        </is>
      </c>
      <c r="G11610" t="n">
        <v>18.1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62116-2023</t>
        </is>
      </c>
      <c r="B11611" s="1" t="n">
        <v>45266</v>
      </c>
      <c r="C11611" s="1" t="n">
        <v>45657</v>
      </c>
      <c r="D11611" t="inlineStr">
        <is>
          <t>VÄSTERNORRLANDS LÄN</t>
        </is>
      </c>
      <c r="E11611" t="inlineStr">
        <is>
          <t>SUNDSVALL</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62283-2023</t>
        </is>
      </c>
      <c r="B11612" s="1" t="n">
        <v>45266</v>
      </c>
      <c r="C11612" s="1" t="n">
        <v>45657</v>
      </c>
      <c r="D11612" t="inlineStr">
        <is>
          <t>VÄSTERNORRLANDS LÄN</t>
        </is>
      </c>
      <c r="E11612" t="inlineStr">
        <is>
          <t>SUNDSVALL</t>
        </is>
      </c>
      <c r="G11612" t="n">
        <v>6.4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62302-2023</t>
        </is>
      </c>
      <c r="B11613" s="1" t="n">
        <v>45266</v>
      </c>
      <c r="C11613" s="1" t="n">
        <v>45657</v>
      </c>
      <c r="D11613" t="inlineStr">
        <is>
          <t>VÄSTERNORRLANDS LÄN</t>
        </is>
      </c>
      <c r="E11613" t="inlineStr">
        <is>
          <t>SUNDSVALL</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62451-2023</t>
        </is>
      </c>
      <c r="B11614" s="1" t="n">
        <v>45266</v>
      </c>
      <c r="C11614" s="1" t="n">
        <v>45657</v>
      </c>
      <c r="D11614" t="inlineStr">
        <is>
          <t>VÄSTERNORRLANDS LÄN</t>
        </is>
      </c>
      <c r="E11614" t="inlineStr">
        <is>
          <t>HÄRNÖSAND</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62452-2023</t>
        </is>
      </c>
      <c r="B11615" s="1" t="n">
        <v>45266</v>
      </c>
      <c r="C11615" s="1" t="n">
        <v>45657</v>
      </c>
      <c r="D11615" t="inlineStr">
        <is>
          <t>VÄSTERNORRLANDS LÄN</t>
        </is>
      </c>
      <c r="E11615" t="inlineStr">
        <is>
          <t>HÄRNÖSAND</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62450-2023</t>
        </is>
      </c>
      <c r="B11616" s="1" t="n">
        <v>45266</v>
      </c>
      <c r="C11616" s="1" t="n">
        <v>45657</v>
      </c>
      <c r="D11616" t="inlineStr">
        <is>
          <t>VÄSTERNORRLANDS LÄN</t>
        </is>
      </c>
      <c r="E11616" t="inlineStr">
        <is>
          <t>HÄRNÖSAND</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62219-2023</t>
        </is>
      </c>
      <c r="B11617" s="1" t="n">
        <v>45267</v>
      </c>
      <c r="C11617" s="1" t="n">
        <v>45657</v>
      </c>
      <c r="D11617" t="inlineStr">
        <is>
          <t>VÄSTERNORRLANDS LÄN</t>
        </is>
      </c>
      <c r="E11617" t="inlineStr">
        <is>
          <t>SUNDSVALL</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62285-2023</t>
        </is>
      </c>
      <c r="B11618" s="1" t="n">
        <v>45267</v>
      </c>
      <c r="C11618" s="1" t="n">
        <v>45657</v>
      </c>
      <c r="D11618" t="inlineStr">
        <is>
          <t>VÄSTERNORRLANDS LÄN</t>
        </is>
      </c>
      <c r="E11618" t="inlineStr">
        <is>
          <t>ÖRNSKÖLDSVIK</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62301-2023</t>
        </is>
      </c>
      <c r="B11619" s="1" t="n">
        <v>45267</v>
      </c>
      <c r="C11619" s="1" t="n">
        <v>45657</v>
      </c>
      <c r="D11619" t="inlineStr">
        <is>
          <t>VÄSTERNORRLANDS LÄN</t>
        </is>
      </c>
      <c r="E11619" t="inlineStr">
        <is>
          <t>SUNDSVALL</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62338-2023</t>
        </is>
      </c>
      <c r="B11620" s="1" t="n">
        <v>45267</v>
      </c>
      <c r="C11620" s="1" t="n">
        <v>45657</v>
      </c>
      <c r="D11620" t="inlineStr">
        <is>
          <t>VÄSTERNORRLANDS LÄN</t>
        </is>
      </c>
      <c r="E11620" t="inlineStr">
        <is>
          <t>KRAMFORS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62351-2023</t>
        </is>
      </c>
      <c r="B11621" s="1" t="n">
        <v>45267</v>
      </c>
      <c r="C11621" s="1" t="n">
        <v>45657</v>
      </c>
      <c r="D11621" t="inlineStr">
        <is>
          <t>VÄSTERNORRLANDS LÄN</t>
        </is>
      </c>
      <c r="E11621" t="inlineStr">
        <is>
          <t>HÄRNÖSAND</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62355-2023</t>
        </is>
      </c>
      <c r="B11622" s="1" t="n">
        <v>45267</v>
      </c>
      <c r="C11622" s="1" t="n">
        <v>45657</v>
      </c>
      <c r="D11622" t="inlineStr">
        <is>
          <t>VÄSTERNORRLANDS LÄN</t>
        </is>
      </c>
      <c r="E11622" t="inlineStr">
        <is>
          <t>HÄRNÖSAND</t>
        </is>
      </c>
      <c r="F11622" t="inlineStr">
        <is>
          <t>SCA</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62343-2023</t>
        </is>
      </c>
      <c r="B11623" s="1" t="n">
        <v>45267</v>
      </c>
      <c r="C11623" s="1" t="n">
        <v>45657</v>
      </c>
      <c r="D11623" t="inlineStr">
        <is>
          <t>VÄSTERNORRLANDS LÄN</t>
        </is>
      </c>
      <c r="E11623" t="inlineStr">
        <is>
          <t>SOLLEFTEÅ</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62363-2023</t>
        </is>
      </c>
      <c r="B11624" s="1" t="n">
        <v>45267</v>
      </c>
      <c r="C11624" s="1" t="n">
        <v>45657</v>
      </c>
      <c r="D11624" t="inlineStr">
        <is>
          <t>VÄSTERNORRLANDS LÄN</t>
        </is>
      </c>
      <c r="E11624" t="inlineStr">
        <is>
          <t>SOLLEFTEÅ</t>
        </is>
      </c>
      <c r="F11624" t="inlineStr">
        <is>
          <t>SCA</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62474-2023</t>
        </is>
      </c>
      <c r="B11625" s="1" t="n">
        <v>45267</v>
      </c>
      <c r="C11625" s="1" t="n">
        <v>45657</v>
      </c>
      <c r="D11625" t="inlineStr">
        <is>
          <t>VÄSTERNORRLANDS LÄN</t>
        </is>
      </c>
      <c r="E11625" t="inlineStr">
        <is>
          <t>TIMRÅ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62364-2023</t>
        </is>
      </c>
      <c r="B11626" s="1" t="n">
        <v>45267</v>
      </c>
      <c r="C11626" s="1" t="n">
        <v>45657</v>
      </c>
      <c r="D11626" t="inlineStr">
        <is>
          <t>VÄSTERNORRLANDS LÄN</t>
        </is>
      </c>
      <c r="E11626" t="inlineStr">
        <is>
          <t>SOLLEFTEÅ</t>
        </is>
      </c>
      <c r="F11626" t="inlineStr">
        <is>
          <t>SCA</t>
        </is>
      </c>
      <c r="G11626" t="n">
        <v>22.1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62467-2023</t>
        </is>
      </c>
      <c r="B11627" s="1" t="n">
        <v>45267</v>
      </c>
      <c r="C11627" s="1" t="n">
        <v>45657</v>
      </c>
      <c r="D11627" t="inlineStr">
        <is>
          <t>VÄSTERNORRLANDS LÄN</t>
        </is>
      </c>
      <c r="E11627" t="inlineStr">
        <is>
          <t>ÖRNSKÖLDSVIK</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62523-2023</t>
        </is>
      </c>
      <c r="B11628" s="1" t="n">
        <v>45267</v>
      </c>
      <c r="C11628" s="1" t="n">
        <v>45657</v>
      </c>
      <c r="D11628" t="inlineStr">
        <is>
          <t>VÄSTERNORRLANDS LÄN</t>
        </is>
      </c>
      <c r="E11628" t="inlineStr">
        <is>
          <t>SOLLEFTEÅ</t>
        </is>
      </c>
      <c r="G11628" t="n">
        <v>33.6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62357-2023</t>
        </is>
      </c>
      <c r="B11629" s="1" t="n">
        <v>45267</v>
      </c>
      <c r="C11629" s="1" t="n">
        <v>45657</v>
      </c>
      <c r="D11629" t="inlineStr">
        <is>
          <t>VÄSTERNORRLANDS LÄN</t>
        </is>
      </c>
      <c r="E11629" t="inlineStr">
        <is>
          <t>SOLLEFTEÅ</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62361-2023</t>
        </is>
      </c>
      <c r="B11630" s="1" t="n">
        <v>45267</v>
      </c>
      <c r="C11630" s="1" t="n">
        <v>45657</v>
      </c>
      <c r="D11630" t="inlineStr">
        <is>
          <t>VÄSTERNORRLANDS LÄN</t>
        </is>
      </c>
      <c r="E11630" t="inlineStr">
        <is>
          <t>SUNDSVALL</t>
        </is>
      </c>
      <c r="F11630" t="inlineStr">
        <is>
          <t>SCA</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62527-2023</t>
        </is>
      </c>
      <c r="B11631" s="1" t="n">
        <v>45267</v>
      </c>
      <c r="C11631" s="1" t="n">
        <v>45657</v>
      </c>
      <c r="D11631" t="inlineStr">
        <is>
          <t>VÄSTERNORRLANDS LÄN</t>
        </is>
      </c>
      <c r="E11631" t="inlineStr">
        <is>
          <t>SOLLEFTEÅ</t>
        </is>
      </c>
      <c r="G11631" t="n">
        <v>10.7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62440-2023</t>
        </is>
      </c>
      <c r="B11632" s="1" t="n">
        <v>45268</v>
      </c>
      <c r="C11632" s="1" t="n">
        <v>45657</v>
      </c>
      <c r="D11632" t="inlineStr">
        <is>
          <t>VÄSTERNORRLANDS LÄN</t>
        </is>
      </c>
      <c r="E11632" t="inlineStr">
        <is>
          <t>ÖRNSKÖLDSVIK</t>
        </is>
      </c>
      <c r="F11632" t="inlineStr">
        <is>
          <t>Holmen skog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62532-2023</t>
        </is>
      </c>
      <c r="B11633" s="1" t="n">
        <v>45268</v>
      </c>
      <c r="C11633" s="1" t="n">
        <v>45657</v>
      </c>
      <c r="D11633" t="inlineStr">
        <is>
          <t>VÄSTERNORRLANDS LÄN</t>
        </is>
      </c>
      <c r="E11633" t="inlineStr">
        <is>
          <t>SUNDSVALL</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62551-2023</t>
        </is>
      </c>
      <c r="B11634" s="1" t="n">
        <v>45268</v>
      </c>
      <c r="C11634" s="1" t="n">
        <v>45657</v>
      </c>
      <c r="D11634" t="inlineStr">
        <is>
          <t>VÄSTERNORRLANDS LÄN</t>
        </is>
      </c>
      <c r="E11634" t="inlineStr">
        <is>
          <t>ÅNGE</t>
        </is>
      </c>
      <c r="G11634" t="n">
        <v>16.4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62559-2023</t>
        </is>
      </c>
      <c r="B11635" s="1" t="n">
        <v>45268</v>
      </c>
      <c r="C11635" s="1" t="n">
        <v>45657</v>
      </c>
      <c r="D11635" t="inlineStr">
        <is>
          <t>VÄSTERNORRLANDS LÄN</t>
        </is>
      </c>
      <c r="E11635" t="inlineStr">
        <is>
          <t>ÖRNSKÖLDSVIK</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62563-2023</t>
        </is>
      </c>
      <c r="B11636" s="1" t="n">
        <v>45268</v>
      </c>
      <c r="C11636" s="1" t="n">
        <v>45657</v>
      </c>
      <c r="D11636" t="inlineStr">
        <is>
          <t>VÄSTERNORRLANDS LÄN</t>
        </is>
      </c>
      <c r="E11636" t="inlineStr">
        <is>
          <t>ÖRNSKÖLDSVIK</t>
        </is>
      </c>
      <c r="F11636" t="inlineStr">
        <is>
          <t>SCA</t>
        </is>
      </c>
      <c r="G11636" t="n">
        <v>29.9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62659-2023</t>
        </is>
      </c>
      <c r="B11637" s="1" t="n">
        <v>45268</v>
      </c>
      <c r="C11637" s="1" t="n">
        <v>45657</v>
      </c>
      <c r="D11637" t="inlineStr">
        <is>
          <t>VÄSTERNORRLANDS LÄN</t>
        </is>
      </c>
      <c r="E11637" t="inlineStr">
        <is>
          <t>ÖRNSKÖLDSVIK</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62560-2023</t>
        </is>
      </c>
      <c r="B11638" s="1" t="n">
        <v>45268</v>
      </c>
      <c r="C11638" s="1" t="n">
        <v>45657</v>
      </c>
      <c r="D11638" t="inlineStr">
        <is>
          <t>VÄSTERNORRLANDS LÄN</t>
        </is>
      </c>
      <c r="E11638" t="inlineStr">
        <is>
          <t>ÖRNSKÖLDSVIK</t>
        </is>
      </c>
      <c r="F11638" t="inlineStr">
        <is>
          <t>SCA</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62434-2023</t>
        </is>
      </c>
      <c r="B11639" s="1" t="n">
        <v>45268</v>
      </c>
      <c r="C11639" s="1" t="n">
        <v>45657</v>
      </c>
      <c r="D11639" t="inlineStr">
        <is>
          <t>VÄSTERNORRLANDS LÄN</t>
        </is>
      </c>
      <c r="E11639" t="inlineStr">
        <is>
          <t>SUNDSVALL</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62484-2023</t>
        </is>
      </c>
      <c r="B11640" s="1" t="n">
        <v>45268</v>
      </c>
      <c r="C11640" s="1" t="n">
        <v>45657</v>
      </c>
      <c r="D11640" t="inlineStr">
        <is>
          <t>VÄSTERNORRLANDS LÄN</t>
        </is>
      </c>
      <c r="E11640" t="inlineStr">
        <is>
          <t>ÖRNSKÖLDSVIK</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62530-2023</t>
        </is>
      </c>
      <c r="B11641" s="1" t="n">
        <v>45268</v>
      </c>
      <c r="C11641" s="1" t="n">
        <v>45657</v>
      </c>
      <c r="D11641" t="inlineStr">
        <is>
          <t>VÄSTERNORRLANDS LÄN</t>
        </is>
      </c>
      <c r="E11641" t="inlineStr">
        <is>
          <t>SUNDSVALL</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62562-2023</t>
        </is>
      </c>
      <c r="B11642" s="1" t="n">
        <v>45268</v>
      </c>
      <c r="C11642" s="1" t="n">
        <v>45657</v>
      </c>
      <c r="D11642" t="inlineStr">
        <is>
          <t>VÄSTERNORRLANDS LÄN</t>
        </is>
      </c>
      <c r="E11642" t="inlineStr">
        <is>
          <t>ÅNGE</t>
        </is>
      </c>
      <c r="F11642" t="inlineStr">
        <is>
          <t>SCA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62727-2023</t>
        </is>
      </c>
      <c r="B11643" s="1" t="n">
        <v>45268</v>
      </c>
      <c r="C11643" s="1" t="n">
        <v>45657</v>
      </c>
      <c r="D11643" t="inlineStr">
        <is>
          <t>VÄSTERNORRLANDS LÄN</t>
        </is>
      </c>
      <c r="E11643" t="inlineStr">
        <is>
          <t>ÖRNSKÖLDSVIK</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62736-2023</t>
        </is>
      </c>
      <c r="B11644" s="1" t="n">
        <v>45268</v>
      </c>
      <c r="C11644" s="1" t="n">
        <v>45657</v>
      </c>
      <c r="D11644" t="inlineStr">
        <is>
          <t>VÄSTERNORRLANDS LÄN</t>
        </is>
      </c>
      <c r="E11644" t="inlineStr">
        <is>
          <t>ÖRNSKÖLDSVIK</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62733-2023</t>
        </is>
      </c>
      <c r="B11645" s="1" t="n">
        <v>45268</v>
      </c>
      <c r="C11645" s="1" t="n">
        <v>45657</v>
      </c>
      <c r="D11645" t="inlineStr">
        <is>
          <t>VÄSTERNORRLANDS LÄN</t>
        </is>
      </c>
      <c r="E11645" t="inlineStr">
        <is>
          <t>ÖRNSKÖLDSVIK</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62735-2023</t>
        </is>
      </c>
      <c r="B11646" s="1" t="n">
        <v>45268</v>
      </c>
      <c r="C11646" s="1" t="n">
        <v>45657</v>
      </c>
      <c r="D11646" t="inlineStr">
        <is>
          <t>VÄSTERNORRLANDS LÄN</t>
        </is>
      </c>
      <c r="E11646" t="inlineStr">
        <is>
          <t>ÖRNSKÖLDSVIK</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62732-2023</t>
        </is>
      </c>
      <c r="B11647" s="1" t="n">
        <v>45271</v>
      </c>
      <c r="C11647" s="1" t="n">
        <v>45657</v>
      </c>
      <c r="D11647" t="inlineStr">
        <is>
          <t>VÄSTERNORRLANDS LÄN</t>
        </is>
      </c>
      <c r="E11647" t="inlineStr">
        <is>
          <t>ÖRNSKÖLDSVIK</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62593-2023</t>
        </is>
      </c>
      <c r="B11648" s="1" t="n">
        <v>45271</v>
      </c>
      <c r="C11648" s="1" t="n">
        <v>45657</v>
      </c>
      <c r="D11648" t="inlineStr">
        <is>
          <t>VÄSTERNORRLANDS LÄN</t>
        </is>
      </c>
      <c r="E11648" t="inlineStr">
        <is>
          <t>ÖRNSKÖLDSVIK</t>
        </is>
      </c>
      <c r="G11648" t="n">
        <v>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62622-2023</t>
        </is>
      </c>
      <c r="B11649" s="1" t="n">
        <v>45271</v>
      </c>
      <c r="C11649" s="1" t="n">
        <v>45657</v>
      </c>
      <c r="D11649" t="inlineStr">
        <is>
          <t>VÄSTERNORRLANDS LÄN</t>
        </is>
      </c>
      <c r="E11649" t="inlineStr">
        <is>
          <t>ÖRNSKÖLDSVIK</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62821-2023</t>
        </is>
      </c>
      <c r="B11650" s="1" t="n">
        <v>45271</v>
      </c>
      <c r="C11650" s="1" t="n">
        <v>45657</v>
      </c>
      <c r="D11650" t="inlineStr">
        <is>
          <t>VÄSTERNORRLANDS LÄN</t>
        </is>
      </c>
      <c r="E11650" t="inlineStr">
        <is>
          <t>KRAMFORS</t>
        </is>
      </c>
      <c r="G11650" t="n">
        <v>10.6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62825-2023</t>
        </is>
      </c>
      <c r="B11651" s="1" t="n">
        <v>45271</v>
      </c>
      <c r="C11651" s="1" t="n">
        <v>45657</v>
      </c>
      <c r="D11651" t="inlineStr">
        <is>
          <t>VÄSTERNORRLANDS LÄN</t>
        </is>
      </c>
      <c r="E11651" t="inlineStr">
        <is>
          <t>KRAMFORS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62824-2023</t>
        </is>
      </c>
      <c r="B11652" s="1" t="n">
        <v>45271</v>
      </c>
      <c r="C11652" s="1" t="n">
        <v>45657</v>
      </c>
      <c r="D11652" t="inlineStr">
        <is>
          <t>VÄSTERNORRLANDS LÄN</t>
        </is>
      </c>
      <c r="E11652" t="inlineStr">
        <is>
          <t>KRAMFORS</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62818-2023</t>
        </is>
      </c>
      <c r="B11653" s="1" t="n">
        <v>45271</v>
      </c>
      <c r="C11653" s="1" t="n">
        <v>45657</v>
      </c>
      <c r="D11653" t="inlineStr">
        <is>
          <t>VÄSTERNORRLANDS LÄN</t>
        </is>
      </c>
      <c r="E11653" t="inlineStr">
        <is>
          <t>KRAMFORS</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62822-2023</t>
        </is>
      </c>
      <c r="B11654" s="1" t="n">
        <v>45271</v>
      </c>
      <c r="C11654" s="1" t="n">
        <v>45657</v>
      </c>
      <c r="D11654" t="inlineStr">
        <is>
          <t>VÄSTERNORRLANDS LÄN</t>
        </is>
      </c>
      <c r="E11654" t="inlineStr">
        <is>
          <t>KRAMFORS</t>
        </is>
      </c>
      <c r="G11654" t="n">
        <v>11.7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62924-2023</t>
        </is>
      </c>
      <c r="B11655" s="1" t="n">
        <v>45271</v>
      </c>
      <c r="C11655" s="1" t="n">
        <v>45657</v>
      </c>
      <c r="D11655" t="inlineStr">
        <is>
          <t>VÄSTERNORRLANDS LÄN</t>
        </is>
      </c>
      <c r="E11655" t="inlineStr">
        <is>
          <t>ÖRNSKÖLDSVIK</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62823-2023</t>
        </is>
      </c>
      <c r="B11656" s="1" t="n">
        <v>45271</v>
      </c>
      <c r="C11656" s="1" t="n">
        <v>45657</v>
      </c>
      <c r="D11656" t="inlineStr">
        <is>
          <t>VÄSTERNORRLANDS LÄN</t>
        </is>
      </c>
      <c r="E11656" t="inlineStr">
        <is>
          <t>KRAMFORS</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62827-2023</t>
        </is>
      </c>
      <c r="B11657" s="1" t="n">
        <v>45271</v>
      </c>
      <c r="C11657" s="1" t="n">
        <v>45657</v>
      </c>
      <c r="D11657" t="inlineStr">
        <is>
          <t>VÄSTERNORRLANDS LÄN</t>
        </is>
      </c>
      <c r="E11657" t="inlineStr">
        <is>
          <t>SOLLEFTEÅ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62857-2023</t>
        </is>
      </c>
      <c r="B11658" s="1" t="n">
        <v>45272</v>
      </c>
      <c r="C11658" s="1" t="n">
        <v>45657</v>
      </c>
      <c r="D11658" t="inlineStr">
        <is>
          <t>VÄSTERNORRLANDS LÄN</t>
        </is>
      </c>
      <c r="E11658" t="inlineStr">
        <is>
          <t>ÖRNSKÖLDSVIK</t>
        </is>
      </c>
      <c r="F11658" t="inlineStr">
        <is>
          <t>Holmen skog AB</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63066-2023</t>
        </is>
      </c>
      <c r="B11659" s="1" t="n">
        <v>45272</v>
      </c>
      <c r="C11659" s="1" t="n">
        <v>45657</v>
      </c>
      <c r="D11659" t="inlineStr">
        <is>
          <t>VÄSTERNORRLANDS LÄN</t>
        </is>
      </c>
      <c r="E11659" t="inlineStr">
        <is>
          <t>ÅNGE</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63070-2023</t>
        </is>
      </c>
      <c r="B11660" s="1" t="n">
        <v>45272</v>
      </c>
      <c r="C11660" s="1" t="n">
        <v>45657</v>
      </c>
      <c r="D11660" t="inlineStr">
        <is>
          <t>VÄSTERNORRLANDS LÄN</t>
        </is>
      </c>
      <c r="E11660" t="inlineStr">
        <is>
          <t>SUNDSVALL</t>
        </is>
      </c>
      <c r="G11660" t="n">
        <v>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63003-2023</t>
        </is>
      </c>
      <c r="B11661" s="1" t="n">
        <v>45272</v>
      </c>
      <c r="C11661" s="1" t="n">
        <v>45657</v>
      </c>
      <c r="D11661" t="inlineStr">
        <is>
          <t>VÄSTERNORRLANDS LÄN</t>
        </is>
      </c>
      <c r="E11661" t="inlineStr">
        <is>
          <t>ÖRNSKÖLDSVIK</t>
        </is>
      </c>
      <c r="G11661" t="n">
        <v>6.3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63055-2023</t>
        </is>
      </c>
      <c r="B11662" s="1" t="n">
        <v>45272</v>
      </c>
      <c r="C11662" s="1" t="n">
        <v>45657</v>
      </c>
      <c r="D11662" t="inlineStr">
        <is>
          <t>VÄSTERNORRLANDS LÄN</t>
        </is>
      </c>
      <c r="E11662" t="inlineStr">
        <is>
          <t>SUNDSVALL</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63044-2023</t>
        </is>
      </c>
      <c r="B11663" s="1" t="n">
        <v>45272</v>
      </c>
      <c r="C11663" s="1" t="n">
        <v>45657</v>
      </c>
      <c r="D11663" t="inlineStr">
        <is>
          <t>VÄSTERNORRLANDS LÄN</t>
        </is>
      </c>
      <c r="E11663" t="inlineStr">
        <is>
          <t>ÖRNSKÖLDSVIK</t>
        </is>
      </c>
      <c r="F11663" t="inlineStr">
        <is>
          <t>Övriga Aktiebolag</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63048-2023</t>
        </is>
      </c>
      <c r="B11664" s="1" t="n">
        <v>45272</v>
      </c>
      <c r="C11664" s="1" t="n">
        <v>45657</v>
      </c>
      <c r="D11664" t="inlineStr">
        <is>
          <t>VÄSTERNORRLANDS LÄN</t>
        </is>
      </c>
      <c r="E11664" t="inlineStr">
        <is>
          <t>SUNDSVALL</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63064-2023</t>
        </is>
      </c>
      <c r="B11665" s="1" t="n">
        <v>45272</v>
      </c>
      <c r="C11665" s="1" t="n">
        <v>45657</v>
      </c>
      <c r="D11665" t="inlineStr">
        <is>
          <t>VÄSTERNORRLANDS LÄN</t>
        </is>
      </c>
      <c r="E11665" t="inlineStr">
        <is>
          <t>ÅNGE</t>
        </is>
      </c>
      <c r="G11665" t="n">
        <v>16.6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63068-2023</t>
        </is>
      </c>
      <c r="B11666" s="1" t="n">
        <v>45272</v>
      </c>
      <c r="C11666" s="1" t="n">
        <v>45657</v>
      </c>
      <c r="D11666" t="inlineStr">
        <is>
          <t>VÄSTERNORRLANDS LÄN</t>
        </is>
      </c>
      <c r="E11666" t="inlineStr">
        <is>
          <t>SUNDSVALL</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63057-2023</t>
        </is>
      </c>
      <c r="B11667" s="1" t="n">
        <v>45272</v>
      </c>
      <c r="C11667" s="1" t="n">
        <v>45657</v>
      </c>
      <c r="D11667" t="inlineStr">
        <is>
          <t>VÄSTERNORRLANDS LÄN</t>
        </is>
      </c>
      <c r="E11667" t="inlineStr">
        <is>
          <t>ÅNGE</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63065-2023</t>
        </is>
      </c>
      <c r="B11668" s="1" t="n">
        <v>45272</v>
      </c>
      <c r="C11668" s="1" t="n">
        <v>45657</v>
      </c>
      <c r="D11668" t="inlineStr">
        <is>
          <t>VÄSTERNORRLANDS LÄN</t>
        </is>
      </c>
      <c r="E11668" t="inlineStr">
        <is>
          <t>ÅNGE</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63069-2023</t>
        </is>
      </c>
      <c r="B11669" s="1" t="n">
        <v>45273</v>
      </c>
      <c r="C11669" s="1" t="n">
        <v>45657</v>
      </c>
      <c r="D11669" t="inlineStr">
        <is>
          <t>VÄSTERNORRLANDS LÄN</t>
        </is>
      </c>
      <c r="E11669" t="inlineStr">
        <is>
          <t>ÖRNSKÖLDSVIK</t>
        </is>
      </c>
      <c r="F11669" t="inlineStr">
        <is>
          <t>Övriga Aktiebolag</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63138-2023</t>
        </is>
      </c>
      <c r="B11670" s="1" t="n">
        <v>45272</v>
      </c>
      <c r="C11670" s="1" t="n">
        <v>45657</v>
      </c>
      <c r="D11670" t="inlineStr">
        <is>
          <t>VÄSTERNORRLANDS LÄN</t>
        </is>
      </c>
      <c r="E11670" t="inlineStr">
        <is>
          <t>SOLLEFTEÅ</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63144-2023</t>
        </is>
      </c>
      <c r="B11671" s="1" t="n">
        <v>45272</v>
      </c>
      <c r="C11671" s="1" t="n">
        <v>45657</v>
      </c>
      <c r="D11671" t="inlineStr">
        <is>
          <t>VÄSTERNORRLANDS LÄN</t>
        </is>
      </c>
      <c r="E11671" t="inlineStr">
        <is>
          <t>SOLLEFTEÅ</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63170-2023</t>
        </is>
      </c>
      <c r="B11672" s="1" t="n">
        <v>45273</v>
      </c>
      <c r="C11672" s="1" t="n">
        <v>45657</v>
      </c>
      <c r="D11672" t="inlineStr">
        <is>
          <t>VÄSTERNORRLANDS LÄN</t>
        </is>
      </c>
      <c r="E11672" t="inlineStr">
        <is>
          <t>ÅNGE</t>
        </is>
      </c>
      <c r="F11672" t="inlineStr">
        <is>
          <t>Holmen skog AB</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63230-2023</t>
        </is>
      </c>
      <c r="B11673" s="1" t="n">
        <v>45273</v>
      </c>
      <c r="C11673" s="1" t="n">
        <v>45657</v>
      </c>
      <c r="D11673" t="inlineStr">
        <is>
          <t>VÄSTERNORRLANDS LÄN</t>
        </is>
      </c>
      <c r="E11673" t="inlineStr">
        <is>
          <t>ÖRNSKÖLDSVIK</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63091-2023</t>
        </is>
      </c>
      <c r="B11674" s="1" t="n">
        <v>45273</v>
      </c>
      <c r="C11674" s="1" t="n">
        <v>45657</v>
      </c>
      <c r="D11674" t="inlineStr">
        <is>
          <t>VÄSTERNORRLANDS LÄN</t>
        </is>
      </c>
      <c r="E11674" t="inlineStr">
        <is>
          <t>ÖRNSKÖLDSVIK</t>
        </is>
      </c>
      <c r="F11674" t="inlineStr">
        <is>
          <t>Holmen skog AB</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63216-2023</t>
        </is>
      </c>
      <c r="B11675" s="1" t="n">
        <v>45273</v>
      </c>
      <c r="C11675" s="1" t="n">
        <v>45657</v>
      </c>
      <c r="D11675" t="inlineStr">
        <is>
          <t>VÄSTERNORRLANDS LÄN</t>
        </is>
      </c>
      <c r="E11675" t="inlineStr">
        <is>
          <t>ÅNGE</t>
        </is>
      </c>
      <c r="F11675" t="inlineStr">
        <is>
          <t>Holmen skog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63228-2023</t>
        </is>
      </c>
      <c r="B11676" s="1" t="n">
        <v>45273</v>
      </c>
      <c r="C11676" s="1" t="n">
        <v>45657</v>
      </c>
      <c r="D11676" t="inlineStr">
        <is>
          <t>VÄSTERNORRLANDS LÄN</t>
        </is>
      </c>
      <c r="E11676" t="inlineStr">
        <is>
          <t>KRAMFORS</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63261-2023</t>
        </is>
      </c>
      <c r="B11677" s="1" t="n">
        <v>45273</v>
      </c>
      <c r="C11677" s="1" t="n">
        <v>45657</v>
      </c>
      <c r="D11677" t="inlineStr">
        <is>
          <t>VÄSTERNORRLANDS LÄN</t>
        </is>
      </c>
      <c r="E11677" t="inlineStr">
        <is>
          <t>SOLLEFTEÅ</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63290-2023</t>
        </is>
      </c>
      <c r="B11678" s="1" t="n">
        <v>45273</v>
      </c>
      <c r="C11678" s="1" t="n">
        <v>45657</v>
      </c>
      <c r="D11678" t="inlineStr">
        <is>
          <t>VÄSTERNORRLANDS LÄN</t>
        </is>
      </c>
      <c r="E11678" t="inlineStr">
        <is>
          <t>ÅNGE</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63294-2023</t>
        </is>
      </c>
      <c r="B11679" s="1" t="n">
        <v>45273</v>
      </c>
      <c r="C11679" s="1" t="n">
        <v>45657</v>
      </c>
      <c r="D11679" t="inlineStr">
        <is>
          <t>VÄSTERNORRLANDS LÄN</t>
        </is>
      </c>
      <c r="E11679" t="inlineStr">
        <is>
          <t>TIMRÅ</t>
        </is>
      </c>
      <c r="F11679" t="inlineStr">
        <is>
          <t>SCA</t>
        </is>
      </c>
      <c r="G11679" t="n">
        <v>12.9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63330-2023</t>
        </is>
      </c>
      <c r="B11680" s="1" t="n">
        <v>45273</v>
      </c>
      <c r="C11680" s="1" t="n">
        <v>45657</v>
      </c>
      <c r="D11680" t="inlineStr">
        <is>
          <t>VÄSTERNORRLANDS LÄN</t>
        </is>
      </c>
      <c r="E11680" t="inlineStr">
        <is>
          <t>SUNDSVALL</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63288-2023</t>
        </is>
      </c>
      <c r="B11681" s="1" t="n">
        <v>45273</v>
      </c>
      <c r="C11681" s="1" t="n">
        <v>45657</v>
      </c>
      <c r="D11681" t="inlineStr">
        <is>
          <t>VÄSTERNORRLANDS LÄN</t>
        </is>
      </c>
      <c r="E11681" t="inlineStr">
        <is>
          <t>KRAMFORS</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63222-2023</t>
        </is>
      </c>
      <c r="B11682" s="1" t="n">
        <v>45273</v>
      </c>
      <c r="C11682" s="1" t="n">
        <v>45657</v>
      </c>
      <c r="D11682" t="inlineStr">
        <is>
          <t>VÄSTERNORRLANDS LÄN</t>
        </is>
      </c>
      <c r="E11682" t="inlineStr">
        <is>
          <t>KRAMFORS</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63259-2023</t>
        </is>
      </c>
      <c r="B11683" s="1" t="n">
        <v>45273</v>
      </c>
      <c r="C11683" s="1" t="n">
        <v>45657</v>
      </c>
      <c r="D11683" t="inlineStr">
        <is>
          <t>VÄSTERNORRLANDS LÄN</t>
        </is>
      </c>
      <c r="E11683" t="inlineStr">
        <is>
          <t>SOLLEFTEÅ</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63372-2023</t>
        </is>
      </c>
      <c r="B11684" s="1" t="n">
        <v>45273</v>
      </c>
      <c r="C11684" s="1" t="n">
        <v>45657</v>
      </c>
      <c r="D11684" t="inlineStr">
        <is>
          <t>VÄSTERNORRLANDS LÄN</t>
        </is>
      </c>
      <c r="E11684" t="inlineStr">
        <is>
          <t>HÄRNÖSAND</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63389-2023</t>
        </is>
      </c>
      <c r="B11685" s="1" t="n">
        <v>45273</v>
      </c>
      <c r="C11685" s="1" t="n">
        <v>45657</v>
      </c>
      <c r="D11685" t="inlineStr">
        <is>
          <t>VÄSTERNORRLANDS LÄN</t>
        </is>
      </c>
      <c r="E11685" t="inlineStr">
        <is>
          <t>HÄRNÖSAND</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63334-2023</t>
        </is>
      </c>
      <c r="B11686" s="1" t="n">
        <v>45273</v>
      </c>
      <c r="C11686" s="1" t="n">
        <v>45657</v>
      </c>
      <c r="D11686" t="inlineStr">
        <is>
          <t>VÄSTERNORRLANDS LÄN</t>
        </is>
      </c>
      <c r="E11686" t="inlineStr">
        <is>
          <t>KRAMFORS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63492-2023</t>
        </is>
      </c>
      <c r="B11687" s="1" t="n">
        <v>45273</v>
      </c>
      <c r="C11687" s="1" t="n">
        <v>45657</v>
      </c>
      <c r="D11687" t="inlineStr">
        <is>
          <t>VÄSTERNORRLANDS LÄN</t>
        </is>
      </c>
      <c r="E11687" t="inlineStr">
        <is>
          <t>KRAMFORS</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63375-2023</t>
        </is>
      </c>
      <c r="B11688" s="1" t="n">
        <v>45273</v>
      </c>
      <c r="C11688" s="1" t="n">
        <v>45657</v>
      </c>
      <c r="D11688" t="inlineStr">
        <is>
          <t>VÄSTERNORRLANDS LÄN</t>
        </is>
      </c>
      <c r="E11688" t="inlineStr">
        <is>
          <t>HÄRNÖSAND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63420-2023</t>
        </is>
      </c>
      <c r="B11689" s="1" t="n">
        <v>45274</v>
      </c>
      <c r="C11689" s="1" t="n">
        <v>45657</v>
      </c>
      <c r="D11689" t="inlineStr">
        <is>
          <t>VÄSTERNORRLANDS LÄN</t>
        </is>
      </c>
      <c r="E11689" t="inlineStr">
        <is>
          <t>ÖRNSKÖLDSVIK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63506-2023</t>
        </is>
      </c>
      <c r="B11690" s="1" t="n">
        <v>45274</v>
      </c>
      <c r="C11690" s="1" t="n">
        <v>45657</v>
      </c>
      <c r="D11690" t="inlineStr">
        <is>
          <t>VÄSTERNORRLANDS LÄN</t>
        </is>
      </c>
      <c r="E11690" t="inlineStr">
        <is>
          <t>SUNDSVALL</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63510-2023</t>
        </is>
      </c>
      <c r="B11691" s="1" t="n">
        <v>45274</v>
      </c>
      <c r="C11691" s="1" t="n">
        <v>45657</v>
      </c>
      <c r="D11691" t="inlineStr">
        <is>
          <t>VÄSTERNORRLANDS LÄN</t>
        </is>
      </c>
      <c r="E11691" t="inlineStr">
        <is>
          <t>ÖRNSKÖLDSVIK</t>
        </is>
      </c>
      <c r="F11691" t="inlineStr">
        <is>
          <t>Övriga Aktiebolag</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63529-2023</t>
        </is>
      </c>
      <c r="B11692" s="1" t="n">
        <v>45274</v>
      </c>
      <c r="C11692" s="1" t="n">
        <v>45657</v>
      </c>
      <c r="D11692" t="inlineStr">
        <is>
          <t>VÄSTERNORRLANDS LÄN</t>
        </is>
      </c>
      <c r="E11692" t="inlineStr">
        <is>
          <t>SOLLEFTEÅ</t>
        </is>
      </c>
      <c r="F11692" t="inlineStr">
        <is>
          <t>SCA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63374-2023</t>
        </is>
      </c>
      <c r="B11693" s="1" t="n">
        <v>45274</v>
      </c>
      <c r="C11693" s="1" t="n">
        <v>45657</v>
      </c>
      <c r="D11693" t="inlineStr">
        <is>
          <t>VÄSTERNORRLANDS LÄN</t>
        </is>
      </c>
      <c r="E11693" t="inlineStr">
        <is>
          <t>ÅNGE</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63422-2023</t>
        </is>
      </c>
      <c r="B11694" s="1" t="n">
        <v>45274</v>
      </c>
      <c r="C11694" s="1" t="n">
        <v>45657</v>
      </c>
      <c r="D11694" t="inlineStr">
        <is>
          <t>VÄSTERNORRLANDS LÄN</t>
        </is>
      </c>
      <c r="E11694" t="inlineStr">
        <is>
          <t>SOLLEFTEÅ</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63462-2023</t>
        </is>
      </c>
      <c r="B11695" s="1" t="n">
        <v>45274</v>
      </c>
      <c r="C11695" s="1" t="n">
        <v>45657</v>
      </c>
      <c r="D11695" t="inlineStr">
        <is>
          <t>VÄSTERNORRLANDS LÄN</t>
        </is>
      </c>
      <c r="E11695" t="inlineStr">
        <is>
          <t>SOLLEFTEÅ</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63496-2023</t>
        </is>
      </c>
      <c r="B11696" s="1" t="n">
        <v>45274</v>
      </c>
      <c r="C11696" s="1" t="n">
        <v>45657</v>
      </c>
      <c r="D11696" t="inlineStr">
        <is>
          <t>VÄSTERNORRLANDS LÄN</t>
        </is>
      </c>
      <c r="E11696" t="inlineStr">
        <is>
          <t>ÖRNSKÖLDSVIK</t>
        </is>
      </c>
      <c r="F11696" t="inlineStr">
        <is>
          <t>Holmen skog AB</t>
        </is>
      </c>
      <c r="G11696" t="n">
        <v>16.8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63531-2023</t>
        </is>
      </c>
      <c r="B11697" s="1" t="n">
        <v>45274</v>
      </c>
      <c r="C11697" s="1" t="n">
        <v>45657</v>
      </c>
      <c r="D11697" t="inlineStr">
        <is>
          <t>VÄSTERNORRLANDS LÄN</t>
        </is>
      </c>
      <c r="E11697" t="inlineStr">
        <is>
          <t>ÅNGE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63413-2023</t>
        </is>
      </c>
      <c r="B11698" s="1" t="n">
        <v>45274</v>
      </c>
      <c r="C11698" s="1" t="n">
        <v>45657</v>
      </c>
      <c r="D11698" t="inlineStr">
        <is>
          <t>VÄSTERNORRLANDS LÄN</t>
        </is>
      </c>
      <c r="E11698" t="inlineStr">
        <is>
          <t>SOLLEFTEÅ</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63335-2023</t>
        </is>
      </c>
      <c r="B11699" s="1" t="n">
        <v>45274</v>
      </c>
      <c r="C11699" s="1" t="n">
        <v>45657</v>
      </c>
      <c r="D11699" t="inlineStr">
        <is>
          <t>VÄSTERNORRLANDS LÄN</t>
        </is>
      </c>
      <c r="E11699" t="inlineStr">
        <is>
          <t>KRAMFORS</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63503-2023</t>
        </is>
      </c>
      <c r="B11700" s="1" t="n">
        <v>45274</v>
      </c>
      <c r="C11700" s="1" t="n">
        <v>45657</v>
      </c>
      <c r="D11700" t="inlineStr">
        <is>
          <t>VÄSTERNORRLANDS LÄN</t>
        </is>
      </c>
      <c r="E11700" t="inlineStr">
        <is>
          <t>ÖRNSKÖLDSVIK</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63530-2023</t>
        </is>
      </c>
      <c r="B11701" s="1" t="n">
        <v>45274</v>
      </c>
      <c r="C11701" s="1" t="n">
        <v>45657</v>
      </c>
      <c r="D11701" t="inlineStr">
        <is>
          <t>VÄSTERNORRLANDS LÄN</t>
        </is>
      </c>
      <c r="E11701" t="inlineStr">
        <is>
          <t>ÅNGE</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63547-2023</t>
        </is>
      </c>
      <c r="B11702" s="1" t="n">
        <v>45274</v>
      </c>
      <c r="C11702" s="1" t="n">
        <v>45657</v>
      </c>
      <c r="D11702" t="inlineStr">
        <is>
          <t>VÄSTERNORRLANDS LÄN</t>
        </is>
      </c>
      <c r="E11702" t="inlineStr">
        <is>
          <t>SOLLEFTEÅ</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63535-2023</t>
        </is>
      </c>
      <c r="B11703" s="1" t="n">
        <v>45274</v>
      </c>
      <c r="C11703" s="1" t="n">
        <v>45657</v>
      </c>
      <c r="D11703" t="inlineStr">
        <is>
          <t>VÄSTERNORRLANDS LÄN</t>
        </is>
      </c>
      <c r="E11703" t="inlineStr">
        <is>
          <t>ÅNGE</t>
        </is>
      </c>
      <c r="F11703" t="inlineStr">
        <is>
          <t>SCA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63567-2023</t>
        </is>
      </c>
      <c r="B11704" s="1" t="n">
        <v>45275</v>
      </c>
      <c r="C11704" s="1" t="n">
        <v>45657</v>
      </c>
      <c r="D11704" t="inlineStr">
        <is>
          <t>VÄSTERNORRLANDS LÄN</t>
        </is>
      </c>
      <c r="E11704" t="inlineStr">
        <is>
          <t>ÖRNSKÖLDSVIK</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63689-2023</t>
        </is>
      </c>
      <c r="B11705" s="1" t="n">
        <v>45275</v>
      </c>
      <c r="C11705" s="1" t="n">
        <v>45657</v>
      </c>
      <c r="D11705" t="inlineStr">
        <is>
          <t>VÄSTERNORRLANDS LÄN</t>
        </is>
      </c>
      <c r="E11705" t="inlineStr">
        <is>
          <t>ÖRNSKÖLDSVIK</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63616-2023</t>
        </is>
      </c>
      <c r="B11706" s="1" t="n">
        <v>45275</v>
      </c>
      <c r="C11706" s="1" t="n">
        <v>45657</v>
      </c>
      <c r="D11706" t="inlineStr">
        <is>
          <t>VÄSTERNORRLANDS LÄN</t>
        </is>
      </c>
      <c r="E11706" t="inlineStr">
        <is>
          <t>ÖRNSKÖLDSVIK</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63652-2023</t>
        </is>
      </c>
      <c r="B11707" s="1" t="n">
        <v>45275</v>
      </c>
      <c r="C11707" s="1" t="n">
        <v>45657</v>
      </c>
      <c r="D11707" t="inlineStr">
        <is>
          <t>VÄSTERNORRLANDS LÄN</t>
        </is>
      </c>
      <c r="E11707" t="inlineStr">
        <is>
          <t>SOLLEFTEÅ</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63660-2023</t>
        </is>
      </c>
      <c r="B11708" s="1" t="n">
        <v>45275</v>
      </c>
      <c r="C11708" s="1" t="n">
        <v>45657</v>
      </c>
      <c r="D11708" t="inlineStr">
        <is>
          <t>VÄSTERNORRLANDS LÄN</t>
        </is>
      </c>
      <c r="E11708" t="inlineStr">
        <is>
          <t>ÖRNSKÖLDSVIK</t>
        </is>
      </c>
      <c r="G11708" t="n">
        <v>16.3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63673-2023</t>
        </is>
      </c>
      <c r="B11709" s="1" t="n">
        <v>45275</v>
      </c>
      <c r="C11709" s="1" t="n">
        <v>45657</v>
      </c>
      <c r="D11709" t="inlineStr">
        <is>
          <t>VÄSTERNORRLANDS LÄN</t>
        </is>
      </c>
      <c r="E11709" t="inlineStr">
        <is>
          <t>ÖRNSKÖLDSVIK</t>
        </is>
      </c>
      <c r="G11709" t="n">
        <v>11.5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63712-2023</t>
        </is>
      </c>
      <c r="B11710" s="1" t="n">
        <v>45275</v>
      </c>
      <c r="C11710" s="1" t="n">
        <v>45657</v>
      </c>
      <c r="D11710" t="inlineStr">
        <is>
          <t>VÄSTERNORRLANDS LÄN</t>
        </is>
      </c>
      <c r="E11710" t="inlineStr">
        <is>
          <t>SOLLEFTEÅ</t>
        </is>
      </c>
      <c r="F11710" t="inlineStr">
        <is>
          <t>SCA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63709-2023</t>
        </is>
      </c>
      <c r="B11711" s="1" t="n">
        <v>45275</v>
      </c>
      <c r="C11711" s="1" t="n">
        <v>45657</v>
      </c>
      <c r="D11711" t="inlineStr">
        <is>
          <t>VÄSTERNORRLANDS LÄN</t>
        </is>
      </c>
      <c r="E11711" t="inlineStr">
        <is>
          <t>ÅNGE</t>
        </is>
      </c>
      <c r="F11711" t="inlineStr">
        <is>
          <t>SCA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63671-2023</t>
        </is>
      </c>
      <c r="B11712" s="1" t="n">
        <v>45275</v>
      </c>
      <c r="C11712" s="1" t="n">
        <v>45657</v>
      </c>
      <c r="D11712" t="inlineStr">
        <is>
          <t>VÄSTERNORRLANDS LÄN</t>
        </is>
      </c>
      <c r="E11712" t="inlineStr">
        <is>
          <t>ÖRNSKÖLDSVIK</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63707-2023</t>
        </is>
      </c>
      <c r="B11713" s="1" t="n">
        <v>45275</v>
      </c>
      <c r="C11713" s="1" t="n">
        <v>45657</v>
      </c>
      <c r="D11713" t="inlineStr">
        <is>
          <t>VÄSTERNORRLANDS LÄN</t>
        </is>
      </c>
      <c r="E11713" t="inlineStr">
        <is>
          <t>SOLLEFTEÅ</t>
        </is>
      </c>
      <c r="F11713" t="inlineStr">
        <is>
          <t>SCA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63715-2023</t>
        </is>
      </c>
      <c r="B11714" s="1" t="n">
        <v>45275</v>
      </c>
      <c r="C11714" s="1" t="n">
        <v>45657</v>
      </c>
      <c r="D11714" t="inlineStr">
        <is>
          <t>VÄSTERNORRLANDS LÄN</t>
        </is>
      </c>
      <c r="E11714" t="inlineStr">
        <is>
          <t>ÖRNSKÖLDSVIK</t>
        </is>
      </c>
      <c r="F11714" t="inlineStr">
        <is>
          <t>SCA</t>
        </is>
      </c>
      <c r="G11714" t="n">
        <v>5.9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63710-2023</t>
        </is>
      </c>
      <c r="B11715" s="1" t="n">
        <v>45275</v>
      </c>
      <c r="C11715" s="1" t="n">
        <v>45657</v>
      </c>
      <c r="D11715" t="inlineStr">
        <is>
          <t>VÄSTERNORRLANDS LÄN</t>
        </is>
      </c>
      <c r="E11715" t="inlineStr">
        <is>
          <t>KRAMFORS</t>
        </is>
      </c>
      <c r="F11715" t="inlineStr">
        <is>
          <t>SCA</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63727-2023</t>
        </is>
      </c>
      <c r="B11716" s="1" t="n">
        <v>45276</v>
      </c>
      <c r="C11716" s="1" t="n">
        <v>45657</v>
      </c>
      <c r="D11716" t="inlineStr">
        <is>
          <t>VÄSTERNORRLANDS LÄN</t>
        </is>
      </c>
      <c r="E11716" t="inlineStr">
        <is>
          <t>ÖRNSKÖLDSVIK</t>
        </is>
      </c>
      <c r="F11716" t="inlineStr">
        <is>
          <t>Övriga Aktiebolag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63729-2023</t>
        </is>
      </c>
      <c r="B11717" s="1" t="n">
        <v>45276</v>
      </c>
      <c r="C11717" s="1" t="n">
        <v>45657</v>
      </c>
      <c r="D11717" t="inlineStr">
        <is>
          <t>VÄSTERNORRLANDS LÄN</t>
        </is>
      </c>
      <c r="E11717" t="inlineStr">
        <is>
          <t>ÖRNSKÖLDSVIK</t>
        </is>
      </c>
      <c r="F11717" t="inlineStr">
        <is>
          <t>SCA</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63724-2023</t>
        </is>
      </c>
      <c r="B11718" s="1" t="n">
        <v>45276</v>
      </c>
      <c r="C11718" s="1" t="n">
        <v>45657</v>
      </c>
      <c r="D11718" t="inlineStr">
        <is>
          <t>VÄSTERNORRLANDS LÄN</t>
        </is>
      </c>
      <c r="E11718" t="inlineStr">
        <is>
          <t>HÄRNÖSAND</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63728-2023</t>
        </is>
      </c>
      <c r="B11719" s="1" t="n">
        <v>45276</v>
      </c>
      <c r="C11719" s="1" t="n">
        <v>45657</v>
      </c>
      <c r="D11719" t="inlineStr">
        <is>
          <t>VÄSTERNORRLANDS LÄN</t>
        </is>
      </c>
      <c r="E11719" t="inlineStr">
        <is>
          <t>ÖRNSKÖLDSVIK</t>
        </is>
      </c>
      <c r="F11719" t="inlineStr">
        <is>
          <t>Övriga Aktiebolag</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63731-2023</t>
        </is>
      </c>
      <c r="B11720" s="1" t="n">
        <v>45277</v>
      </c>
      <c r="C11720" s="1" t="n">
        <v>45657</v>
      </c>
      <c r="D11720" t="inlineStr">
        <is>
          <t>VÄSTERNORRLANDS LÄN</t>
        </is>
      </c>
      <c r="E11720" t="inlineStr">
        <is>
          <t>ÖRNSKÖLDSVIK</t>
        </is>
      </c>
      <c r="F11720" t="inlineStr">
        <is>
          <t>Övriga Aktiebolag</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63738-2023</t>
        </is>
      </c>
      <c r="B11721" s="1" t="n">
        <v>45277</v>
      </c>
      <c r="C11721" s="1" t="n">
        <v>45657</v>
      </c>
      <c r="D11721" t="inlineStr">
        <is>
          <t>VÄSTERNORRLANDS LÄN</t>
        </is>
      </c>
      <c r="E11721" t="inlineStr">
        <is>
          <t>ÖRNSKÖLDSVIK</t>
        </is>
      </c>
      <c r="F11721" t="inlineStr">
        <is>
          <t>Övriga Aktiebolag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63746-2023</t>
        </is>
      </c>
      <c r="B11722" s="1" t="n">
        <v>45277</v>
      </c>
      <c r="C11722" s="1" t="n">
        <v>45657</v>
      </c>
      <c r="D11722" t="inlineStr">
        <is>
          <t>VÄSTERNORRLANDS LÄN</t>
        </is>
      </c>
      <c r="E11722" t="inlineStr">
        <is>
          <t>ÖRNSKÖLDSVIK</t>
        </is>
      </c>
      <c r="F11722" t="inlineStr">
        <is>
          <t>Övriga Aktiebolag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63750-2023</t>
        </is>
      </c>
      <c r="B11723" s="1" t="n">
        <v>45277</v>
      </c>
      <c r="C11723" s="1" t="n">
        <v>45657</v>
      </c>
      <c r="D11723" t="inlineStr">
        <is>
          <t>VÄSTERNORRLANDS LÄN</t>
        </is>
      </c>
      <c r="E11723" t="inlineStr">
        <is>
          <t>ÖRNSKÖLDSVIK</t>
        </is>
      </c>
      <c r="F11723" t="inlineStr">
        <is>
          <t>Övriga Aktiebolag</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63732-2023</t>
        </is>
      </c>
      <c r="B11724" s="1" t="n">
        <v>45277</v>
      </c>
      <c r="C11724" s="1" t="n">
        <v>45657</v>
      </c>
      <c r="D11724" t="inlineStr">
        <is>
          <t>VÄSTERNORRLANDS LÄN</t>
        </is>
      </c>
      <c r="E11724" t="inlineStr">
        <is>
          <t>ÖRNSKÖLDSVIK</t>
        </is>
      </c>
      <c r="F11724" t="inlineStr">
        <is>
          <t>Övriga Aktiebolag</t>
        </is>
      </c>
      <c r="G11724" t="n">
        <v>21.8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63744-2023</t>
        </is>
      </c>
      <c r="B11725" s="1" t="n">
        <v>45277</v>
      </c>
      <c r="C11725" s="1" t="n">
        <v>45657</v>
      </c>
      <c r="D11725" t="inlineStr">
        <is>
          <t>VÄSTERNORRLANDS LÄN</t>
        </is>
      </c>
      <c r="E11725" t="inlineStr">
        <is>
          <t>ÖRNSKÖLDSVIK</t>
        </is>
      </c>
      <c r="F11725" t="inlineStr">
        <is>
          <t>Övriga Aktiebolag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63748-2023</t>
        </is>
      </c>
      <c r="B11726" s="1" t="n">
        <v>45277</v>
      </c>
      <c r="C11726" s="1" t="n">
        <v>45657</v>
      </c>
      <c r="D11726" t="inlineStr">
        <is>
          <t>VÄSTERNORRLANDS LÄN</t>
        </is>
      </c>
      <c r="E11726" t="inlineStr">
        <is>
          <t>ÖRNSKÖLDSVIK</t>
        </is>
      </c>
      <c r="F11726" t="inlineStr">
        <is>
          <t>Övriga Aktiebolag</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63733-2023</t>
        </is>
      </c>
      <c r="B11727" s="1" t="n">
        <v>45277</v>
      </c>
      <c r="C11727" s="1" t="n">
        <v>45657</v>
      </c>
      <c r="D11727" t="inlineStr">
        <is>
          <t>VÄSTERNORRLANDS LÄN</t>
        </is>
      </c>
      <c r="E11727" t="inlineStr">
        <is>
          <t>ÖRNSKÖLDSVIK</t>
        </is>
      </c>
      <c r="F11727" t="inlineStr">
        <is>
          <t>Övriga Aktiebolag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63737-2023</t>
        </is>
      </c>
      <c r="B11728" s="1" t="n">
        <v>45277</v>
      </c>
      <c r="C11728" s="1" t="n">
        <v>45657</v>
      </c>
      <c r="D11728" t="inlineStr">
        <is>
          <t>VÄSTERNORRLANDS LÄN</t>
        </is>
      </c>
      <c r="E11728" t="inlineStr">
        <is>
          <t>ÖRNSKÖLDSVIK</t>
        </is>
      </c>
      <c r="F11728" t="inlineStr">
        <is>
          <t>Övriga Aktiebolag</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63749-2023</t>
        </is>
      </c>
      <c r="B11729" s="1" t="n">
        <v>45277</v>
      </c>
      <c r="C11729" s="1" t="n">
        <v>45657</v>
      </c>
      <c r="D11729" t="inlineStr">
        <is>
          <t>VÄSTERNORRLANDS LÄN</t>
        </is>
      </c>
      <c r="E11729" t="inlineStr">
        <is>
          <t>ÖRNSKÖLDSVIK</t>
        </is>
      </c>
      <c r="F11729" t="inlineStr">
        <is>
          <t>Övriga Aktiebolag</t>
        </is>
      </c>
      <c r="G11729" t="n">
        <v>12.9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63814-2023</t>
        </is>
      </c>
      <c r="B11730" s="1" t="n">
        <v>45278</v>
      </c>
      <c r="C11730" s="1" t="n">
        <v>45657</v>
      </c>
      <c r="D11730" t="inlineStr">
        <is>
          <t>VÄSTERNORRLANDS LÄN</t>
        </is>
      </c>
      <c r="E11730" t="inlineStr">
        <is>
          <t>SUNDSVALL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63901-2023</t>
        </is>
      </c>
      <c r="B11731" s="1" t="n">
        <v>45278</v>
      </c>
      <c r="C11731" s="1" t="n">
        <v>45657</v>
      </c>
      <c r="D11731" t="inlineStr">
        <is>
          <t>VÄSTERNORRLANDS LÄN</t>
        </is>
      </c>
      <c r="E11731" t="inlineStr">
        <is>
          <t>KRAMFORS</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63876-2023</t>
        </is>
      </c>
      <c r="B11732" s="1" t="n">
        <v>45278</v>
      </c>
      <c r="C11732" s="1" t="n">
        <v>45657</v>
      </c>
      <c r="D11732" t="inlineStr">
        <is>
          <t>VÄSTERNORRLANDS LÄN</t>
        </is>
      </c>
      <c r="E11732" t="inlineStr">
        <is>
          <t>ÖRNSKÖLDSVIK</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63916-2023</t>
        </is>
      </c>
      <c r="B11733" s="1" t="n">
        <v>45278</v>
      </c>
      <c r="C11733" s="1" t="n">
        <v>45657</v>
      </c>
      <c r="D11733" t="inlineStr">
        <is>
          <t>VÄSTERNORRLANDS LÄN</t>
        </is>
      </c>
      <c r="E11733" t="inlineStr">
        <is>
          <t>ÖRNSKÖLDSVIK</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63989-2023</t>
        </is>
      </c>
      <c r="B11734" s="1" t="n">
        <v>45278</v>
      </c>
      <c r="C11734" s="1" t="n">
        <v>45657</v>
      </c>
      <c r="D11734" t="inlineStr">
        <is>
          <t>VÄSTERNORRLANDS LÄN</t>
        </is>
      </c>
      <c r="E11734" t="inlineStr">
        <is>
          <t>SUNDSVALL</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64013-2023</t>
        </is>
      </c>
      <c r="B11735" s="1" t="n">
        <v>45278</v>
      </c>
      <c r="C11735" s="1" t="n">
        <v>45657</v>
      </c>
      <c r="D11735" t="inlineStr">
        <is>
          <t>VÄSTERNORRLANDS LÄN</t>
        </is>
      </c>
      <c r="E11735" t="inlineStr">
        <is>
          <t>SOLLEFTEÅ</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63993-2023</t>
        </is>
      </c>
      <c r="B11736" s="1" t="n">
        <v>45278</v>
      </c>
      <c r="C11736" s="1" t="n">
        <v>45657</v>
      </c>
      <c r="D11736" t="inlineStr">
        <is>
          <t>VÄSTERNORRLANDS LÄN</t>
        </is>
      </c>
      <c r="E11736" t="inlineStr">
        <is>
          <t>SUNDSVALL</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63990-2023</t>
        </is>
      </c>
      <c r="B11737" s="1" t="n">
        <v>45278</v>
      </c>
      <c r="C11737" s="1" t="n">
        <v>45657</v>
      </c>
      <c r="D11737" t="inlineStr">
        <is>
          <t>VÄSTERNORRLANDS LÄN</t>
        </is>
      </c>
      <c r="E11737" t="inlineStr">
        <is>
          <t>SUNDSVALL</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63986-2023</t>
        </is>
      </c>
      <c r="B11738" s="1" t="n">
        <v>45278</v>
      </c>
      <c r="C11738" s="1" t="n">
        <v>45657</v>
      </c>
      <c r="D11738" t="inlineStr">
        <is>
          <t>VÄSTERNORRLANDS LÄN</t>
        </is>
      </c>
      <c r="E11738" t="inlineStr">
        <is>
          <t>KRAMFORS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64014-2023</t>
        </is>
      </c>
      <c r="B11739" s="1" t="n">
        <v>45278</v>
      </c>
      <c r="C11739" s="1" t="n">
        <v>45657</v>
      </c>
      <c r="D11739" t="inlineStr">
        <is>
          <t>VÄSTERNORRLANDS LÄN</t>
        </is>
      </c>
      <c r="E11739" t="inlineStr">
        <is>
          <t>SOLLEFTEÅ</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63978-2023</t>
        </is>
      </c>
      <c r="B11740" s="1" t="n">
        <v>45278</v>
      </c>
      <c r="C11740" s="1" t="n">
        <v>45657</v>
      </c>
      <c r="D11740" t="inlineStr">
        <is>
          <t>VÄSTERNORRLANDS LÄN</t>
        </is>
      </c>
      <c r="E11740" t="inlineStr">
        <is>
          <t>SUNDSVALL</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63992-2023</t>
        </is>
      </c>
      <c r="B11741" s="1" t="n">
        <v>45278</v>
      </c>
      <c r="C11741" s="1" t="n">
        <v>45657</v>
      </c>
      <c r="D11741" t="inlineStr">
        <is>
          <t>VÄSTERNORRLANDS LÄN</t>
        </is>
      </c>
      <c r="E11741" t="inlineStr">
        <is>
          <t>KRAMFORS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63991-2023</t>
        </is>
      </c>
      <c r="B11742" s="1" t="n">
        <v>45278</v>
      </c>
      <c r="C11742" s="1" t="n">
        <v>45657</v>
      </c>
      <c r="D11742" t="inlineStr">
        <is>
          <t>VÄSTERNORRLANDS LÄN</t>
        </is>
      </c>
      <c r="E11742" t="inlineStr">
        <is>
          <t>KRAMFORS</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64036-2023</t>
        </is>
      </c>
      <c r="B11743" s="1" t="n">
        <v>45278</v>
      </c>
      <c r="C11743" s="1" t="n">
        <v>45657</v>
      </c>
      <c r="D11743" t="inlineStr">
        <is>
          <t>VÄSTERNORRLANDS LÄN</t>
        </is>
      </c>
      <c r="E11743" t="inlineStr">
        <is>
          <t>SUNDSVALL</t>
        </is>
      </c>
      <c r="F11743" t="inlineStr">
        <is>
          <t>SCA</t>
        </is>
      </c>
      <c r="G11743" t="n">
        <v>8.300000000000001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63987-2023</t>
        </is>
      </c>
      <c r="B11744" s="1" t="n">
        <v>45278</v>
      </c>
      <c r="C11744" s="1" t="n">
        <v>45657</v>
      </c>
      <c r="D11744" t="inlineStr">
        <is>
          <t>VÄSTERNORRLANDS LÄN</t>
        </is>
      </c>
      <c r="E11744" t="inlineStr">
        <is>
          <t>SUNDSVALL</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63979-2023</t>
        </is>
      </c>
      <c r="B11745" s="1" t="n">
        <v>45278</v>
      </c>
      <c r="C11745" s="1" t="n">
        <v>45657</v>
      </c>
      <c r="D11745" t="inlineStr">
        <is>
          <t>VÄSTERNORRLANDS LÄN</t>
        </is>
      </c>
      <c r="E11745" t="inlineStr">
        <is>
          <t>SOLLEFTEÅ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64023-2023</t>
        </is>
      </c>
      <c r="B11746" s="1" t="n">
        <v>45278</v>
      </c>
      <c r="C11746" s="1" t="n">
        <v>45657</v>
      </c>
      <c r="D11746" t="inlineStr">
        <is>
          <t>VÄSTERNORRLANDS LÄN</t>
        </is>
      </c>
      <c r="E11746" t="inlineStr">
        <is>
          <t>HÄRNÖSAND</t>
        </is>
      </c>
      <c r="F11746" t="inlineStr">
        <is>
          <t>SCA</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64031-2023</t>
        </is>
      </c>
      <c r="B11747" s="1" t="n">
        <v>45278</v>
      </c>
      <c r="C11747" s="1" t="n">
        <v>45657</v>
      </c>
      <c r="D11747" t="inlineStr">
        <is>
          <t>VÄSTERNORRLANDS LÄN</t>
        </is>
      </c>
      <c r="E11747" t="inlineStr">
        <is>
          <t>TIMRÅ</t>
        </is>
      </c>
      <c r="F11747" t="inlineStr">
        <is>
          <t>SCA</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64035-2023</t>
        </is>
      </c>
      <c r="B11748" s="1" t="n">
        <v>45278</v>
      </c>
      <c r="C11748" s="1" t="n">
        <v>45657</v>
      </c>
      <c r="D11748" t="inlineStr">
        <is>
          <t>VÄSTERNORRLANDS LÄN</t>
        </is>
      </c>
      <c r="E11748" t="inlineStr">
        <is>
          <t>SUNDSVALL</t>
        </is>
      </c>
      <c r="F11748" t="inlineStr">
        <is>
          <t>SCA</t>
        </is>
      </c>
      <c r="G11748" t="n">
        <v>15.7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64042-2023</t>
        </is>
      </c>
      <c r="B11749" s="1" t="n">
        <v>45279</v>
      </c>
      <c r="C11749" s="1" t="n">
        <v>45657</v>
      </c>
      <c r="D11749" t="inlineStr">
        <is>
          <t>VÄSTERNORRLANDS LÄN</t>
        </is>
      </c>
      <c r="E11749" t="inlineStr">
        <is>
          <t>KRAMFORS</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64111-2023</t>
        </is>
      </c>
      <c r="B11750" s="1" t="n">
        <v>45279</v>
      </c>
      <c r="C11750" s="1" t="n">
        <v>45657</v>
      </c>
      <c r="D11750" t="inlineStr">
        <is>
          <t>VÄSTERNORRLANDS LÄN</t>
        </is>
      </c>
      <c r="E11750" t="inlineStr">
        <is>
          <t>SOLLEFTEÅ</t>
        </is>
      </c>
      <c r="G11750" t="n">
        <v>19.9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64115-2023</t>
        </is>
      </c>
      <c r="B11751" s="1" t="n">
        <v>45279</v>
      </c>
      <c r="C11751" s="1" t="n">
        <v>45657</v>
      </c>
      <c r="D11751" t="inlineStr">
        <is>
          <t>VÄSTERNORRLANDS LÄN</t>
        </is>
      </c>
      <c r="E11751" t="inlineStr">
        <is>
          <t>SOLLEFTEÅ</t>
        </is>
      </c>
      <c r="G11751" t="n">
        <v>16.1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64120-2023</t>
        </is>
      </c>
      <c r="B11752" s="1" t="n">
        <v>45279</v>
      </c>
      <c r="C11752" s="1" t="n">
        <v>45657</v>
      </c>
      <c r="D11752" t="inlineStr">
        <is>
          <t>VÄSTERNORRLANDS LÄN</t>
        </is>
      </c>
      <c r="E11752" t="inlineStr">
        <is>
          <t>SOLLEFTEÅ</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64050-2023</t>
        </is>
      </c>
      <c r="B11753" s="1" t="n">
        <v>45279</v>
      </c>
      <c r="C11753" s="1" t="n">
        <v>45657</v>
      </c>
      <c r="D11753" t="inlineStr">
        <is>
          <t>VÄSTERNORRLANDS LÄN</t>
        </is>
      </c>
      <c r="E11753" t="inlineStr">
        <is>
          <t>KRAMFORS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64092-2023</t>
        </is>
      </c>
      <c r="B11754" s="1" t="n">
        <v>45279</v>
      </c>
      <c r="C11754" s="1" t="n">
        <v>45657</v>
      </c>
      <c r="D11754" t="inlineStr">
        <is>
          <t>VÄSTERNORRLANDS LÄN</t>
        </is>
      </c>
      <c r="E11754" t="inlineStr">
        <is>
          <t>ÖRNSKÖLDSVIK</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64133-2023</t>
        </is>
      </c>
      <c r="B11755" s="1" t="n">
        <v>45279</v>
      </c>
      <c r="C11755" s="1" t="n">
        <v>45657</v>
      </c>
      <c r="D11755" t="inlineStr">
        <is>
          <t>VÄSTERNORRLANDS LÄN</t>
        </is>
      </c>
      <c r="E11755" t="inlineStr">
        <is>
          <t>SOLLEFTEÅ</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64141-2023</t>
        </is>
      </c>
      <c r="B11756" s="1" t="n">
        <v>45279</v>
      </c>
      <c r="C11756" s="1" t="n">
        <v>45657</v>
      </c>
      <c r="D11756" t="inlineStr">
        <is>
          <t>VÄSTERNORRLANDS LÄN</t>
        </is>
      </c>
      <c r="E11756" t="inlineStr">
        <is>
          <t>ÖRNSKÖLDSVIK</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64254-2023</t>
        </is>
      </c>
      <c r="B11757" s="1" t="n">
        <v>45279</v>
      </c>
      <c r="C11757" s="1" t="n">
        <v>45657</v>
      </c>
      <c r="D11757" t="inlineStr">
        <is>
          <t>VÄSTERNORRLANDS LÄN</t>
        </is>
      </c>
      <c r="E11757" t="inlineStr">
        <is>
          <t>SUNDSVALL</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64318-2023</t>
        </is>
      </c>
      <c r="B11758" s="1" t="n">
        <v>45279</v>
      </c>
      <c r="C11758" s="1" t="n">
        <v>45657</v>
      </c>
      <c r="D11758" t="inlineStr">
        <is>
          <t>VÄSTERNORRLANDS LÄN</t>
        </is>
      </c>
      <c r="E11758" t="inlineStr">
        <is>
          <t>SUNDSVALL</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64313-2023</t>
        </is>
      </c>
      <c r="B11759" s="1" t="n">
        <v>45279</v>
      </c>
      <c r="C11759" s="1" t="n">
        <v>45657</v>
      </c>
      <c r="D11759" t="inlineStr">
        <is>
          <t>VÄSTERNORRLANDS LÄN</t>
        </is>
      </c>
      <c r="E11759" t="inlineStr">
        <is>
          <t>SUNDSVALL</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64274-2023</t>
        </is>
      </c>
      <c r="B11760" s="1" t="n">
        <v>45279</v>
      </c>
      <c r="C11760" s="1" t="n">
        <v>45657</v>
      </c>
      <c r="D11760" t="inlineStr">
        <is>
          <t>VÄSTERNORRLANDS LÄN</t>
        </is>
      </c>
      <c r="E11760" t="inlineStr">
        <is>
          <t>SUNDSVALL</t>
        </is>
      </c>
      <c r="F11760" t="inlineStr">
        <is>
          <t>SCA</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64255-2023</t>
        </is>
      </c>
      <c r="B11761" s="1" t="n">
        <v>45279</v>
      </c>
      <c r="C11761" s="1" t="n">
        <v>45657</v>
      </c>
      <c r="D11761" t="inlineStr">
        <is>
          <t>VÄSTERNORRLANDS LÄN</t>
        </is>
      </c>
      <c r="E11761" t="inlineStr">
        <is>
          <t>SUNDSVALL</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64271-2023</t>
        </is>
      </c>
      <c r="B11762" s="1" t="n">
        <v>45279</v>
      </c>
      <c r="C11762" s="1" t="n">
        <v>45657</v>
      </c>
      <c r="D11762" t="inlineStr">
        <is>
          <t>VÄSTERNORRLANDS LÄN</t>
        </is>
      </c>
      <c r="E11762" t="inlineStr">
        <is>
          <t>SUNDSVALL</t>
        </is>
      </c>
      <c r="F11762" t="inlineStr">
        <is>
          <t>SCA</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64386-2023</t>
        </is>
      </c>
      <c r="B11763" s="1" t="n">
        <v>45280</v>
      </c>
      <c r="C11763" s="1" t="n">
        <v>45657</v>
      </c>
      <c r="D11763" t="inlineStr">
        <is>
          <t>VÄSTERNORRLANDS LÄN</t>
        </is>
      </c>
      <c r="E11763" t="inlineStr">
        <is>
          <t>HÄRNÖSAND</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64412-2023</t>
        </is>
      </c>
      <c r="B11764" s="1" t="n">
        <v>45280</v>
      </c>
      <c r="C11764" s="1" t="n">
        <v>45657</v>
      </c>
      <c r="D11764" t="inlineStr">
        <is>
          <t>VÄSTERNORRLANDS LÄN</t>
        </is>
      </c>
      <c r="E11764" t="inlineStr">
        <is>
          <t>ÖRNSKÖLDSVIK</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64416-2023</t>
        </is>
      </c>
      <c r="B11765" s="1" t="n">
        <v>45280</v>
      </c>
      <c r="C11765" s="1" t="n">
        <v>45657</v>
      </c>
      <c r="D11765" t="inlineStr">
        <is>
          <t>VÄSTERNORRLANDS LÄN</t>
        </is>
      </c>
      <c r="E11765" t="inlineStr">
        <is>
          <t>SUNDSVALL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64392-2023</t>
        </is>
      </c>
      <c r="B11766" s="1" t="n">
        <v>45280</v>
      </c>
      <c r="C11766" s="1" t="n">
        <v>45657</v>
      </c>
      <c r="D11766" t="inlineStr">
        <is>
          <t>VÄSTERNORRLANDS LÄN</t>
        </is>
      </c>
      <c r="E11766" t="inlineStr">
        <is>
          <t>ÅNGE</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64377-2023</t>
        </is>
      </c>
      <c r="B11767" s="1" t="n">
        <v>45280</v>
      </c>
      <c r="C11767" s="1" t="n">
        <v>45657</v>
      </c>
      <c r="D11767" t="inlineStr">
        <is>
          <t>VÄSTERNORRLANDS LÄN</t>
        </is>
      </c>
      <c r="E11767" t="inlineStr">
        <is>
          <t>HÄRNÖSAND</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64410-2023</t>
        </is>
      </c>
      <c r="B11768" s="1" t="n">
        <v>45280</v>
      </c>
      <c r="C11768" s="1" t="n">
        <v>45657</v>
      </c>
      <c r="D11768" t="inlineStr">
        <is>
          <t>VÄSTERNORRLANDS LÄN</t>
        </is>
      </c>
      <c r="E11768" t="inlineStr">
        <is>
          <t>SUNDSVALL</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64482-2023</t>
        </is>
      </c>
      <c r="B11769" s="1" t="n">
        <v>45280</v>
      </c>
      <c r="C11769" s="1" t="n">
        <v>45657</v>
      </c>
      <c r="D11769" t="inlineStr">
        <is>
          <t>VÄSTERNORRLANDS LÄN</t>
        </is>
      </c>
      <c r="E11769" t="inlineStr">
        <is>
          <t>KRAMFORS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64502-2023</t>
        </is>
      </c>
      <c r="B11770" s="1" t="n">
        <v>45280</v>
      </c>
      <c r="C11770" s="1" t="n">
        <v>45657</v>
      </c>
      <c r="D11770" t="inlineStr">
        <is>
          <t>VÄSTERNORRLANDS LÄN</t>
        </is>
      </c>
      <c r="E11770" t="inlineStr">
        <is>
          <t>SOLLEFTEÅ</t>
        </is>
      </c>
      <c r="F11770" t="inlineStr">
        <is>
          <t>SCA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64375-2023</t>
        </is>
      </c>
      <c r="B11771" s="1" t="n">
        <v>45280</v>
      </c>
      <c r="C11771" s="1" t="n">
        <v>45657</v>
      </c>
      <c r="D11771" t="inlineStr">
        <is>
          <t>VÄSTERNORRLANDS LÄN</t>
        </is>
      </c>
      <c r="E11771" t="inlineStr">
        <is>
          <t>ÅNGE</t>
        </is>
      </c>
      <c r="G11771" t="n">
        <v>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64483-2023</t>
        </is>
      </c>
      <c r="B11772" s="1" t="n">
        <v>45280</v>
      </c>
      <c r="C11772" s="1" t="n">
        <v>45657</v>
      </c>
      <c r="D11772" t="inlineStr">
        <is>
          <t>VÄSTERNORRLANDS LÄN</t>
        </is>
      </c>
      <c r="E11772" t="inlineStr">
        <is>
          <t>SUNDSVALL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64491-2023</t>
        </is>
      </c>
      <c r="B11773" s="1" t="n">
        <v>45280</v>
      </c>
      <c r="C11773" s="1" t="n">
        <v>45657</v>
      </c>
      <c r="D11773" t="inlineStr">
        <is>
          <t>VÄSTERNORRLANDS LÄN</t>
        </is>
      </c>
      <c r="E11773" t="inlineStr">
        <is>
          <t>SUNDSVALL</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64493-2023</t>
        </is>
      </c>
      <c r="B11774" s="1" t="n">
        <v>45280</v>
      </c>
      <c r="C11774" s="1" t="n">
        <v>45657</v>
      </c>
      <c r="D11774" t="inlineStr">
        <is>
          <t>VÄSTERNORRLANDS LÄN</t>
        </is>
      </c>
      <c r="E11774" t="inlineStr">
        <is>
          <t>KRAMFORS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64510-2023</t>
        </is>
      </c>
      <c r="B11775" s="1" t="n">
        <v>45281</v>
      </c>
      <c r="C11775" s="1" t="n">
        <v>45657</v>
      </c>
      <c r="D11775" t="inlineStr">
        <is>
          <t>VÄSTERNORRLANDS LÄN</t>
        </is>
      </c>
      <c r="E11775" t="inlineStr">
        <is>
          <t>ÅNGE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64552-2023</t>
        </is>
      </c>
      <c r="B11776" s="1" t="n">
        <v>45281</v>
      </c>
      <c r="C11776" s="1" t="n">
        <v>45657</v>
      </c>
      <c r="D11776" t="inlineStr">
        <is>
          <t>VÄSTERNORRLANDS LÄN</t>
        </is>
      </c>
      <c r="E11776" t="inlineStr">
        <is>
          <t>ÖRNSKÖLDSVIK</t>
        </is>
      </c>
      <c r="F11776" t="inlineStr">
        <is>
          <t>Holmen skog AB</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64538-2023</t>
        </is>
      </c>
      <c r="B11777" s="1" t="n">
        <v>45281</v>
      </c>
      <c r="C11777" s="1" t="n">
        <v>45657</v>
      </c>
      <c r="D11777" t="inlineStr">
        <is>
          <t>VÄSTERNORRLANDS LÄN</t>
        </is>
      </c>
      <c r="E11777" t="inlineStr">
        <is>
          <t>KRAMFORS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64566-2023</t>
        </is>
      </c>
      <c r="B11778" s="1" t="n">
        <v>45281</v>
      </c>
      <c r="C11778" s="1" t="n">
        <v>45657</v>
      </c>
      <c r="D11778" t="inlineStr">
        <is>
          <t>VÄSTERNORRLANDS LÄN</t>
        </is>
      </c>
      <c r="E11778" t="inlineStr">
        <is>
          <t>HÄRNÖSAND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64586-2023</t>
        </is>
      </c>
      <c r="B11779" s="1" t="n">
        <v>45281</v>
      </c>
      <c r="C11779" s="1" t="n">
        <v>45657</v>
      </c>
      <c r="D11779" t="inlineStr">
        <is>
          <t>VÄSTERNORRLANDS LÄN</t>
        </is>
      </c>
      <c r="E11779" t="inlineStr">
        <is>
          <t>ÖRNSKÖLDSVIK</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64594-2023</t>
        </is>
      </c>
      <c r="B11780" s="1" t="n">
        <v>45281</v>
      </c>
      <c r="C11780" s="1" t="n">
        <v>45657</v>
      </c>
      <c r="D11780" t="inlineStr">
        <is>
          <t>VÄSTERNORRLANDS LÄN</t>
        </is>
      </c>
      <c r="E11780" t="inlineStr">
        <is>
          <t>ÖRNSKÖLDSVIK</t>
        </is>
      </c>
      <c r="G11780" t="n">
        <v>10.2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64537-2023</t>
        </is>
      </c>
      <c r="B11781" s="1" t="n">
        <v>45281</v>
      </c>
      <c r="C11781" s="1" t="n">
        <v>45657</v>
      </c>
      <c r="D11781" t="inlineStr">
        <is>
          <t>VÄSTERNORRLANDS LÄN</t>
        </is>
      </c>
      <c r="E11781" t="inlineStr">
        <is>
          <t>KRAMFORS</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64523-2023</t>
        </is>
      </c>
      <c r="B11782" s="1" t="n">
        <v>45281</v>
      </c>
      <c r="C11782" s="1" t="n">
        <v>45657</v>
      </c>
      <c r="D11782" t="inlineStr">
        <is>
          <t>VÄSTERNORRLANDS LÄN</t>
        </is>
      </c>
      <c r="E11782" t="inlineStr">
        <is>
          <t>ÅNGE</t>
        </is>
      </c>
      <c r="G11782" t="n">
        <v>62.6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64564-2023</t>
        </is>
      </c>
      <c r="B11783" s="1" t="n">
        <v>45281</v>
      </c>
      <c r="C11783" s="1" t="n">
        <v>45657</v>
      </c>
      <c r="D11783" t="inlineStr">
        <is>
          <t>VÄSTERNORRLANDS LÄN</t>
        </is>
      </c>
      <c r="E11783" t="inlineStr">
        <is>
          <t>HÄRNÖSAND</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64543-2023</t>
        </is>
      </c>
      <c r="B11784" s="1" t="n">
        <v>45281</v>
      </c>
      <c r="C11784" s="1" t="n">
        <v>45657</v>
      </c>
      <c r="D11784" t="inlineStr">
        <is>
          <t>VÄSTERNORRLANDS LÄN</t>
        </is>
      </c>
      <c r="E11784" t="inlineStr">
        <is>
          <t>KRAMFORS</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64617-2023</t>
        </is>
      </c>
      <c r="B11785" s="1" t="n">
        <v>45281</v>
      </c>
      <c r="C11785" s="1" t="n">
        <v>45657</v>
      </c>
      <c r="D11785" t="inlineStr">
        <is>
          <t>VÄSTERNORRLANDS LÄN</t>
        </is>
      </c>
      <c r="E11785" t="inlineStr">
        <is>
          <t>SOLLEFTEÅ</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64621-2023</t>
        </is>
      </c>
      <c r="B11786" s="1" t="n">
        <v>45281</v>
      </c>
      <c r="C11786" s="1" t="n">
        <v>45657</v>
      </c>
      <c r="D11786" t="inlineStr">
        <is>
          <t>VÄSTERNORRLANDS LÄN</t>
        </is>
      </c>
      <c r="E11786" t="inlineStr">
        <is>
          <t>KRAMFORS</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64563-2023</t>
        </is>
      </c>
      <c r="B11787" s="1" t="n">
        <v>45281</v>
      </c>
      <c r="C11787" s="1" t="n">
        <v>45657</v>
      </c>
      <c r="D11787" t="inlineStr">
        <is>
          <t>VÄSTERNORRLANDS LÄN</t>
        </is>
      </c>
      <c r="E11787" t="inlineStr">
        <is>
          <t>HÄRNÖSAND</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64595-2023</t>
        </is>
      </c>
      <c r="B11788" s="1" t="n">
        <v>45281</v>
      </c>
      <c r="C11788" s="1" t="n">
        <v>45657</v>
      </c>
      <c r="D11788" t="inlineStr">
        <is>
          <t>VÄSTERNORRLANDS LÄN</t>
        </is>
      </c>
      <c r="E11788" t="inlineStr">
        <is>
          <t>KRAMFORS</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64619-2023</t>
        </is>
      </c>
      <c r="B11789" s="1" t="n">
        <v>45281</v>
      </c>
      <c r="C11789" s="1" t="n">
        <v>45657</v>
      </c>
      <c r="D11789" t="inlineStr">
        <is>
          <t>VÄSTERNORRLANDS LÄN</t>
        </is>
      </c>
      <c r="E11789" t="inlineStr">
        <is>
          <t>SUNDSVALL</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64678-2023</t>
        </is>
      </c>
      <c r="B11790" s="1" t="n">
        <v>45281</v>
      </c>
      <c r="C11790" s="1" t="n">
        <v>45657</v>
      </c>
      <c r="D11790" t="inlineStr">
        <is>
          <t>VÄSTERNORRLANDS LÄN</t>
        </is>
      </c>
      <c r="E11790" t="inlineStr">
        <is>
          <t>ÖRNSKÖLDSVIK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64689-2023</t>
        </is>
      </c>
      <c r="B11791" s="1" t="n">
        <v>45281</v>
      </c>
      <c r="C11791" s="1" t="n">
        <v>45657</v>
      </c>
      <c r="D11791" t="inlineStr">
        <is>
          <t>VÄSTERNORRLANDS LÄN</t>
        </is>
      </c>
      <c r="E11791" t="inlineStr">
        <is>
          <t>ÖRNSKÖLDSVIK</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64732-2023</t>
        </is>
      </c>
      <c r="B11792" s="1" t="n">
        <v>45281</v>
      </c>
      <c r="C11792" s="1" t="n">
        <v>45657</v>
      </c>
      <c r="D11792" t="inlineStr">
        <is>
          <t>VÄSTERNORRLANDS LÄN</t>
        </is>
      </c>
      <c r="E11792" t="inlineStr">
        <is>
          <t>TIMRÅ</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64749-2023</t>
        </is>
      </c>
      <c r="B11793" s="1" t="n">
        <v>45281</v>
      </c>
      <c r="C11793" s="1" t="n">
        <v>45657</v>
      </c>
      <c r="D11793" t="inlineStr">
        <is>
          <t>VÄSTERNORRLANDS LÄN</t>
        </is>
      </c>
      <c r="E11793" t="inlineStr">
        <is>
          <t>HÄRNÖSAND</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64745-2023</t>
        </is>
      </c>
      <c r="B11794" s="1" t="n">
        <v>45281</v>
      </c>
      <c r="C11794" s="1" t="n">
        <v>45657</v>
      </c>
      <c r="D11794" t="inlineStr">
        <is>
          <t>VÄSTERNORRLANDS LÄN</t>
        </is>
      </c>
      <c r="E11794" t="inlineStr">
        <is>
          <t>HÄRNÖSAND</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64748-2023</t>
        </is>
      </c>
      <c r="B11795" s="1" t="n">
        <v>45281</v>
      </c>
      <c r="C11795" s="1" t="n">
        <v>45657</v>
      </c>
      <c r="D11795" t="inlineStr">
        <is>
          <t>VÄSTERNORRLANDS LÄN</t>
        </is>
      </c>
      <c r="E11795" t="inlineStr">
        <is>
          <t>HÄRNÖSAND</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64756-2023</t>
        </is>
      </c>
      <c r="B11796" s="1" t="n">
        <v>45281</v>
      </c>
      <c r="C11796" s="1" t="n">
        <v>45657</v>
      </c>
      <c r="D11796" t="inlineStr">
        <is>
          <t>VÄSTERNORRLANDS LÄN</t>
        </is>
      </c>
      <c r="E11796" t="inlineStr">
        <is>
          <t>TIMRÅ</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64608-2023</t>
        </is>
      </c>
      <c r="B11797" s="1" t="n">
        <v>45281</v>
      </c>
      <c r="C11797" s="1" t="n">
        <v>45657</v>
      </c>
      <c r="D11797" t="inlineStr">
        <is>
          <t>VÄSTERNORRLANDS LÄN</t>
        </is>
      </c>
      <c r="E11797" t="inlineStr">
        <is>
          <t>KRAMFORS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64596-2023</t>
        </is>
      </c>
      <c r="B11798" s="1" t="n">
        <v>45281</v>
      </c>
      <c r="C11798" s="1" t="n">
        <v>45657</v>
      </c>
      <c r="D11798" t="inlineStr">
        <is>
          <t>VÄSTERNORRLANDS LÄN</t>
        </is>
      </c>
      <c r="E11798" t="inlineStr">
        <is>
          <t>KRAMFORS</t>
        </is>
      </c>
      <c r="G11798" t="n">
        <v>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64747-2023</t>
        </is>
      </c>
      <c r="B11799" s="1" t="n">
        <v>45281</v>
      </c>
      <c r="C11799" s="1" t="n">
        <v>45657</v>
      </c>
      <c r="D11799" t="inlineStr">
        <is>
          <t>VÄSTERNORRLANDS LÄN</t>
        </is>
      </c>
      <c r="E11799" t="inlineStr">
        <is>
          <t>HÄRNÖSAND</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64743-2023</t>
        </is>
      </c>
      <c r="B11800" s="1" t="n">
        <v>45281</v>
      </c>
      <c r="C11800" s="1" t="n">
        <v>45657</v>
      </c>
      <c r="D11800" t="inlineStr">
        <is>
          <t>VÄSTERNORRLANDS LÄN</t>
        </is>
      </c>
      <c r="E11800" t="inlineStr">
        <is>
          <t>HÄRNÖSAND</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64751-2023</t>
        </is>
      </c>
      <c r="B11801" s="1" t="n">
        <v>45281</v>
      </c>
      <c r="C11801" s="1" t="n">
        <v>45657</v>
      </c>
      <c r="D11801" t="inlineStr">
        <is>
          <t>VÄSTERNORRLANDS LÄN</t>
        </is>
      </c>
      <c r="E11801" t="inlineStr">
        <is>
          <t>KRAMFORS</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64572-2023</t>
        </is>
      </c>
      <c r="B11802" s="1" t="n">
        <v>45281</v>
      </c>
      <c r="C11802" s="1" t="n">
        <v>45657</v>
      </c>
      <c r="D11802" t="inlineStr">
        <is>
          <t>VÄSTERNORRLANDS LÄN</t>
        </is>
      </c>
      <c r="E11802" t="inlineStr">
        <is>
          <t>ÖRNSKÖLDSVIK</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64744-2023</t>
        </is>
      </c>
      <c r="B11803" s="1" t="n">
        <v>45281</v>
      </c>
      <c r="C11803" s="1" t="n">
        <v>45657</v>
      </c>
      <c r="D11803" t="inlineStr">
        <is>
          <t>VÄSTERNORRLANDS LÄN</t>
        </is>
      </c>
      <c r="E11803" t="inlineStr">
        <is>
          <t>HÄRNÖSAND</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64753-2023</t>
        </is>
      </c>
      <c r="B11804" s="1" t="n">
        <v>45281</v>
      </c>
      <c r="C11804" s="1" t="n">
        <v>45657</v>
      </c>
      <c r="D11804" t="inlineStr">
        <is>
          <t>VÄSTERNORRLANDS LÄN</t>
        </is>
      </c>
      <c r="E11804" t="inlineStr">
        <is>
          <t>KRAMFORS</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64755-2023</t>
        </is>
      </c>
      <c r="B11805" s="1" t="n">
        <v>45281</v>
      </c>
      <c r="C11805" s="1" t="n">
        <v>45657</v>
      </c>
      <c r="D11805" t="inlineStr">
        <is>
          <t>VÄSTERNORRLANDS LÄN</t>
        </is>
      </c>
      <c r="E11805" t="inlineStr">
        <is>
          <t>TIMRÅ</t>
        </is>
      </c>
      <c r="F11805" t="inlineStr">
        <is>
          <t>SCA</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64746-2023</t>
        </is>
      </c>
      <c r="B11806" s="1" t="n">
        <v>45281</v>
      </c>
      <c r="C11806" s="1" t="n">
        <v>45657</v>
      </c>
      <c r="D11806" t="inlineStr">
        <is>
          <t>VÄSTERNORRLANDS LÄN</t>
        </is>
      </c>
      <c r="E11806" t="inlineStr">
        <is>
          <t>HÄRNÖSAND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64742-2023</t>
        </is>
      </c>
      <c r="B11807" s="1" t="n">
        <v>45281</v>
      </c>
      <c r="C11807" s="1" t="n">
        <v>45657</v>
      </c>
      <c r="D11807" t="inlineStr">
        <is>
          <t>VÄSTERNORRLANDS LÄN</t>
        </is>
      </c>
      <c r="E11807" t="inlineStr">
        <is>
          <t>HÄRNÖSAND</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64766-2023</t>
        </is>
      </c>
      <c r="B11808" s="1" t="n">
        <v>45282</v>
      </c>
      <c r="C11808" s="1" t="n">
        <v>45657</v>
      </c>
      <c r="D11808" t="inlineStr">
        <is>
          <t>VÄSTERNORRLANDS LÄN</t>
        </is>
      </c>
      <c r="E11808" t="inlineStr">
        <is>
          <t>KRAMFORS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64908-2023</t>
        </is>
      </c>
      <c r="B11809" s="1" t="n">
        <v>45282</v>
      </c>
      <c r="C11809" s="1" t="n">
        <v>45657</v>
      </c>
      <c r="D11809" t="inlineStr">
        <is>
          <t>VÄSTERNORRLANDS LÄN</t>
        </is>
      </c>
      <c r="E11809" t="inlineStr">
        <is>
          <t>HÄRNÖSAND</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64946-2023</t>
        </is>
      </c>
      <c r="B11810" s="1" t="n">
        <v>45282</v>
      </c>
      <c r="C11810" s="1" t="n">
        <v>45657</v>
      </c>
      <c r="D11810" t="inlineStr">
        <is>
          <t>VÄSTERNORRLANDS LÄN</t>
        </is>
      </c>
      <c r="E11810" t="inlineStr">
        <is>
          <t>ÅNGE</t>
        </is>
      </c>
      <c r="F11810" t="inlineStr">
        <is>
          <t>SCA</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64950-2023</t>
        </is>
      </c>
      <c r="B11811" s="1" t="n">
        <v>45282</v>
      </c>
      <c r="C11811" s="1" t="n">
        <v>45657</v>
      </c>
      <c r="D11811" t="inlineStr">
        <is>
          <t>VÄSTERNORRLANDS LÄN</t>
        </is>
      </c>
      <c r="E11811" t="inlineStr">
        <is>
          <t>ÅNGE</t>
        </is>
      </c>
      <c r="F11811" t="inlineStr">
        <is>
          <t>SCA</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64958-2023</t>
        </is>
      </c>
      <c r="B11812" s="1" t="n">
        <v>45282</v>
      </c>
      <c r="C11812" s="1" t="n">
        <v>45657</v>
      </c>
      <c r="D11812" t="inlineStr">
        <is>
          <t>VÄSTERNORRLANDS LÄN</t>
        </is>
      </c>
      <c r="E11812" t="inlineStr">
        <is>
          <t>HÄRNÖSAND</t>
        </is>
      </c>
      <c r="F11812" t="inlineStr">
        <is>
          <t>SCA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64891-2023</t>
        </is>
      </c>
      <c r="B11813" s="1" t="n">
        <v>45282</v>
      </c>
      <c r="C11813" s="1" t="n">
        <v>45657</v>
      </c>
      <c r="D11813" t="inlineStr">
        <is>
          <t>VÄSTERNORRLANDS LÄN</t>
        </is>
      </c>
      <c r="E11813" t="inlineStr">
        <is>
          <t>SOLLEFTEÅ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64901-2023</t>
        </is>
      </c>
      <c r="B11814" s="1" t="n">
        <v>45282</v>
      </c>
      <c r="C11814" s="1" t="n">
        <v>45657</v>
      </c>
      <c r="D11814" t="inlineStr">
        <is>
          <t>VÄSTERNORRLANDS LÄN</t>
        </is>
      </c>
      <c r="E11814" t="inlineStr">
        <is>
          <t>KRAMFORS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64947-2023</t>
        </is>
      </c>
      <c r="B11815" s="1" t="n">
        <v>45282</v>
      </c>
      <c r="C11815" s="1" t="n">
        <v>45657</v>
      </c>
      <c r="D11815" t="inlineStr">
        <is>
          <t>VÄSTERNORRLANDS LÄN</t>
        </is>
      </c>
      <c r="E11815" t="inlineStr">
        <is>
          <t>ÅNGE</t>
        </is>
      </c>
      <c r="F11815" t="inlineStr">
        <is>
          <t>SCA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64945-2023</t>
        </is>
      </c>
      <c r="B11816" s="1" t="n">
        <v>45282</v>
      </c>
      <c r="C11816" s="1" t="n">
        <v>45657</v>
      </c>
      <c r="D11816" t="inlineStr">
        <is>
          <t>VÄSTERNORRLANDS LÄN</t>
        </is>
      </c>
      <c r="E11816" t="inlineStr">
        <is>
          <t>ÅNGE</t>
        </is>
      </c>
      <c r="F11816" t="inlineStr">
        <is>
          <t>SCA</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64961-2023</t>
        </is>
      </c>
      <c r="B11817" s="1" t="n">
        <v>45282</v>
      </c>
      <c r="C11817" s="1" t="n">
        <v>45657</v>
      </c>
      <c r="D11817" t="inlineStr">
        <is>
          <t>VÄSTERNORRLANDS LÄN</t>
        </is>
      </c>
      <c r="E11817" t="inlineStr">
        <is>
          <t>SOLLEFTEÅ</t>
        </is>
      </c>
      <c r="F11817" t="inlineStr">
        <is>
          <t>SCA</t>
        </is>
      </c>
      <c r="G11817" t="n">
        <v>10.9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64952-2023</t>
        </is>
      </c>
      <c r="B11818" s="1" t="n">
        <v>45282</v>
      </c>
      <c r="C11818" s="1" t="n">
        <v>45657</v>
      </c>
      <c r="D11818" t="inlineStr">
        <is>
          <t>VÄSTERNORRLANDS LÄN</t>
        </is>
      </c>
      <c r="E11818" t="inlineStr">
        <is>
          <t>SUNDSVALL</t>
        </is>
      </c>
      <c r="F11818" t="inlineStr">
        <is>
          <t>SCA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64959-2023</t>
        </is>
      </c>
      <c r="B11819" s="1" t="n">
        <v>45282</v>
      </c>
      <c r="C11819" s="1" t="n">
        <v>45657</v>
      </c>
      <c r="D11819" t="inlineStr">
        <is>
          <t>VÄSTERNORRLANDS LÄN</t>
        </is>
      </c>
      <c r="E11819" t="inlineStr">
        <is>
          <t>SOLLEFTEÅ</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65019-2023</t>
        </is>
      </c>
      <c r="B11820" s="1" t="n">
        <v>45282</v>
      </c>
      <c r="C11820" s="1" t="n">
        <v>45657</v>
      </c>
      <c r="D11820" t="inlineStr">
        <is>
          <t>VÄSTERNORRLANDS LÄN</t>
        </is>
      </c>
      <c r="E11820" t="inlineStr">
        <is>
          <t>SUNDSVALL</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65021-2023</t>
        </is>
      </c>
      <c r="B11821" s="1" t="n">
        <v>45287</v>
      </c>
      <c r="C11821" s="1" t="n">
        <v>45657</v>
      </c>
      <c r="D11821" t="inlineStr">
        <is>
          <t>VÄSTERNORRLANDS LÄN</t>
        </is>
      </c>
      <c r="E11821" t="inlineStr">
        <is>
          <t>ÅNGE</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65148-2023</t>
        </is>
      </c>
      <c r="B11822" s="1" t="n">
        <v>45288</v>
      </c>
      <c r="C11822" s="1" t="n">
        <v>45657</v>
      </c>
      <c r="D11822" t="inlineStr">
        <is>
          <t>VÄSTERNORRLANDS LÄN</t>
        </is>
      </c>
      <c r="E11822" t="inlineStr">
        <is>
          <t>SOLLEFTEÅ</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65169-2023</t>
        </is>
      </c>
      <c r="B11823" s="1" t="n">
        <v>45288</v>
      </c>
      <c r="C11823" s="1" t="n">
        <v>45657</v>
      </c>
      <c r="D11823" t="inlineStr">
        <is>
          <t>VÄSTERNORRLANDS LÄN</t>
        </is>
      </c>
      <c r="E11823" t="inlineStr">
        <is>
          <t>SUNDSVALL</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65190-2023</t>
        </is>
      </c>
      <c r="B11824" s="1" t="n">
        <v>45288</v>
      </c>
      <c r="C11824" s="1" t="n">
        <v>45657</v>
      </c>
      <c r="D11824" t="inlineStr">
        <is>
          <t>VÄSTERNORRLANDS LÄN</t>
        </is>
      </c>
      <c r="E11824" t="inlineStr">
        <is>
          <t>SUNDSVALL</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65188-2023</t>
        </is>
      </c>
      <c r="B11825" s="1" t="n">
        <v>45288</v>
      </c>
      <c r="C11825" s="1" t="n">
        <v>45657</v>
      </c>
      <c r="D11825" t="inlineStr">
        <is>
          <t>VÄSTERNORRLANDS LÄN</t>
        </is>
      </c>
      <c r="E11825" t="inlineStr">
        <is>
          <t>SUNDSVALL</t>
        </is>
      </c>
      <c r="F11825" t="inlineStr">
        <is>
          <t>SCA</t>
        </is>
      </c>
      <c r="G11825" t="n">
        <v>16.9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65146-2023</t>
        </is>
      </c>
      <c r="B11826" s="1" t="n">
        <v>45288</v>
      </c>
      <c r="C11826" s="1" t="n">
        <v>45657</v>
      </c>
      <c r="D11826" t="inlineStr">
        <is>
          <t>VÄSTERNORRLANDS LÄN</t>
        </is>
      </c>
      <c r="E11826" t="inlineStr">
        <is>
          <t>ÖRNSKÖLDSVIK</t>
        </is>
      </c>
      <c r="F11826" t="inlineStr">
        <is>
          <t>Holmen skog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65193-2023</t>
        </is>
      </c>
      <c r="B11827" s="1" t="n">
        <v>45288</v>
      </c>
      <c r="C11827" s="1" t="n">
        <v>45657</v>
      </c>
      <c r="D11827" t="inlineStr">
        <is>
          <t>VÄSTERNORRLANDS LÄN</t>
        </is>
      </c>
      <c r="E11827" t="inlineStr">
        <is>
          <t>SUNDSVALL</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65192-2023</t>
        </is>
      </c>
      <c r="B11828" s="1" t="n">
        <v>45288</v>
      </c>
      <c r="C11828" s="1" t="n">
        <v>45657</v>
      </c>
      <c r="D11828" t="inlineStr">
        <is>
          <t>VÄSTERNORRLANDS LÄN</t>
        </is>
      </c>
      <c r="E11828" t="inlineStr">
        <is>
          <t>SUNDSVALL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65223-2023</t>
        </is>
      </c>
      <c r="B11829" s="1" t="n">
        <v>45289</v>
      </c>
      <c r="C11829" s="1" t="n">
        <v>45657</v>
      </c>
      <c r="D11829" t="inlineStr">
        <is>
          <t>VÄSTERNORRLANDS LÄN</t>
        </is>
      </c>
      <c r="E11829" t="inlineStr">
        <is>
          <t>HÄRNÖSAND</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65221-2023</t>
        </is>
      </c>
      <c r="B11830" s="1" t="n">
        <v>45289</v>
      </c>
      <c r="C11830" s="1" t="n">
        <v>45657</v>
      </c>
      <c r="D11830" t="inlineStr">
        <is>
          <t>VÄSTERNORRLANDS LÄN</t>
        </is>
      </c>
      <c r="E11830" t="inlineStr">
        <is>
          <t>HÄRNÖSAND</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65225-2023</t>
        </is>
      </c>
      <c r="B11831" s="1" t="n">
        <v>45289</v>
      </c>
      <c r="C11831" s="1" t="n">
        <v>45657</v>
      </c>
      <c r="D11831" t="inlineStr">
        <is>
          <t>VÄSTERNORRLANDS LÄN</t>
        </is>
      </c>
      <c r="E11831" t="inlineStr">
        <is>
          <t>HÄRNÖSAND</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65245-2023</t>
        </is>
      </c>
      <c r="B11832" s="1" t="n">
        <v>45289</v>
      </c>
      <c r="C11832" s="1" t="n">
        <v>45657</v>
      </c>
      <c r="D11832" t="inlineStr">
        <is>
          <t>VÄSTERNORRLANDS LÄN</t>
        </is>
      </c>
      <c r="E11832" t="inlineStr">
        <is>
          <t>SUNDSVALL</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65220-2023</t>
        </is>
      </c>
      <c r="B11833" s="1" t="n">
        <v>45289</v>
      </c>
      <c r="C11833" s="1" t="n">
        <v>45657</v>
      </c>
      <c r="D11833" t="inlineStr">
        <is>
          <t>VÄSTERNORRLANDS LÄN</t>
        </is>
      </c>
      <c r="E11833" t="inlineStr">
        <is>
          <t>HÄRNÖSAND</t>
        </is>
      </c>
      <c r="G11833" t="n">
        <v>15.3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65224-2023</t>
        </is>
      </c>
      <c r="B11834" s="1" t="n">
        <v>45289</v>
      </c>
      <c r="C11834" s="1" t="n">
        <v>45657</v>
      </c>
      <c r="D11834" t="inlineStr">
        <is>
          <t>VÄSTERNORRLANDS LÄN</t>
        </is>
      </c>
      <c r="E11834" t="inlineStr">
        <is>
          <t>HÄRNÖSAND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29-2024</t>
        </is>
      </c>
      <c r="B11835" s="1" t="n">
        <v>45289</v>
      </c>
      <c r="C11835" s="1" t="n">
        <v>45657</v>
      </c>
      <c r="D11835" t="inlineStr">
        <is>
          <t>VÄSTERNORRLANDS LÄN</t>
        </is>
      </c>
      <c r="E11835" t="inlineStr">
        <is>
          <t>KRAMFORS</t>
        </is>
      </c>
      <c r="G11835" t="n">
        <v>30.9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65222-2023</t>
        </is>
      </c>
      <c r="B11836" s="1" t="n">
        <v>45289</v>
      </c>
      <c r="C11836" s="1" t="n">
        <v>45657</v>
      </c>
      <c r="D11836" t="inlineStr">
        <is>
          <t>VÄSTERNORRLANDS LÄN</t>
        </is>
      </c>
      <c r="E11836" t="inlineStr">
        <is>
          <t>HÄRNÖSAND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65227-2023</t>
        </is>
      </c>
      <c r="B11837" s="1" t="n">
        <v>45289</v>
      </c>
      <c r="C11837" s="1" t="n">
        <v>45657</v>
      </c>
      <c r="D11837" t="inlineStr">
        <is>
          <t>VÄSTERNORRLANDS LÄN</t>
        </is>
      </c>
      <c r="E11837" t="inlineStr">
        <is>
          <t>HÄRNÖSAND</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31-2024</t>
        </is>
      </c>
      <c r="B11838" s="1" t="n">
        <v>45291</v>
      </c>
      <c r="C11838" s="1" t="n">
        <v>45657</v>
      </c>
      <c r="D11838" t="inlineStr">
        <is>
          <t>VÄSTERNORRLANDS LÄN</t>
        </is>
      </c>
      <c r="E11838" t="inlineStr">
        <is>
          <t>ÖRNSKÖLDSVIK</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82-2024</t>
        </is>
      </c>
      <c r="B11839" s="1" t="n">
        <v>45293</v>
      </c>
      <c r="C11839" s="1" t="n">
        <v>45657</v>
      </c>
      <c r="D11839" t="inlineStr">
        <is>
          <t>VÄSTERNORRLANDS LÄN</t>
        </is>
      </c>
      <c r="E11839" t="inlineStr">
        <is>
          <t>HÄRNÖSAND</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86-2024</t>
        </is>
      </c>
      <c r="B11840" s="1" t="n">
        <v>45293</v>
      </c>
      <c r="C11840" s="1" t="n">
        <v>45657</v>
      </c>
      <c r="D11840" t="inlineStr">
        <is>
          <t>VÄSTERNORRLANDS LÄN</t>
        </is>
      </c>
      <c r="E11840" t="inlineStr">
        <is>
          <t>HÄRNÖSAND</t>
        </is>
      </c>
      <c r="G11840" t="n">
        <v>14.1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102-2024</t>
        </is>
      </c>
      <c r="B11841" s="1" t="n">
        <v>45293</v>
      </c>
      <c r="C11841" s="1" t="n">
        <v>45657</v>
      </c>
      <c r="D11841" t="inlineStr">
        <is>
          <t>VÄSTERNORRLANDS LÄN</t>
        </is>
      </c>
      <c r="E11841" t="inlineStr">
        <is>
          <t>SUNDSVALL</t>
        </is>
      </c>
      <c r="G11841" t="n">
        <v>10.3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106-2024</t>
        </is>
      </c>
      <c r="B11842" s="1" t="n">
        <v>45293</v>
      </c>
      <c r="C11842" s="1" t="n">
        <v>45657</v>
      </c>
      <c r="D11842" t="inlineStr">
        <is>
          <t>VÄSTERNORRLANDS LÄN</t>
        </is>
      </c>
      <c r="E11842" t="inlineStr">
        <is>
          <t>SUNDSVALL</t>
        </is>
      </c>
      <c r="F11842" t="inlineStr">
        <is>
          <t>SCA</t>
        </is>
      </c>
      <c r="G11842" t="n">
        <v>17.3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150-2024</t>
        </is>
      </c>
      <c r="B11843" s="1" t="n">
        <v>45293</v>
      </c>
      <c r="C11843" s="1" t="n">
        <v>45657</v>
      </c>
      <c r="D11843" t="inlineStr">
        <is>
          <t>VÄSTERNORRLANDS LÄN</t>
        </is>
      </c>
      <c r="E11843" t="inlineStr">
        <is>
          <t>HÄRNÖSAND</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209-2024</t>
        </is>
      </c>
      <c r="B11844" s="1" t="n">
        <v>45293</v>
      </c>
      <c r="C11844" s="1" t="n">
        <v>45657</v>
      </c>
      <c r="D11844" t="inlineStr">
        <is>
          <t>VÄSTERNORRLANDS LÄN</t>
        </is>
      </c>
      <c r="E11844" t="inlineStr">
        <is>
          <t>HÄRNÖSAND</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51-2024</t>
        </is>
      </c>
      <c r="B11845" s="1" t="n">
        <v>45293</v>
      </c>
      <c r="C11845" s="1" t="n">
        <v>45657</v>
      </c>
      <c r="D11845" t="inlineStr">
        <is>
          <t>VÄSTERNORRLANDS LÄN</t>
        </is>
      </c>
      <c r="E11845" t="inlineStr">
        <is>
          <t>HÄRNÖSAND</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103-2024</t>
        </is>
      </c>
      <c r="B11846" s="1" t="n">
        <v>45293</v>
      </c>
      <c r="C11846" s="1" t="n">
        <v>45657</v>
      </c>
      <c r="D11846" t="inlineStr">
        <is>
          <t>VÄSTERNORRLANDS LÄN</t>
        </is>
      </c>
      <c r="E11846" t="inlineStr">
        <is>
          <t>SUNDSVALL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139-2024</t>
        </is>
      </c>
      <c r="B11847" s="1" t="n">
        <v>45293</v>
      </c>
      <c r="C11847" s="1" t="n">
        <v>45657</v>
      </c>
      <c r="D11847" t="inlineStr">
        <is>
          <t>VÄSTERNORRLANDS LÄN</t>
        </is>
      </c>
      <c r="E11847" t="inlineStr">
        <is>
          <t>HÄRNÖSAND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163-2024</t>
        </is>
      </c>
      <c r="B11848" s="1" t="n">
        <v>45293</v>
      </c>
      <c r="C11848" s="1" t="n">
        <v>45657</v>
      </c>
      <c r="D11848" t="inlineStr">
        <is>
          <t>VÄSTERNORRLANDS LÄN</t>
        </is>
      </c>
      <c r="E11848" t="inlineStr">
        <is>
          <t>HÄRNÖSAND</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136-2024</t>
        </is>
      </c>
      <c r="B11849" s="1" t="n">
        <v>45293</v>
      </c>
      <c r="C11849" s="1" t="n">
        <v>45657</v>
      </c>
      <c r="D11849" t="inlineStr">
        <is>
          <t>VÄSTERNORRLANDS LÄN</t>
        </is>
      </c>
      <c r="E11849" t="inlineStr">
        <is>
          <t>HÄRNÖSAND</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198-2024</t>
        </is>
      </c>
      <c r="B11850" s="1" t="n">
        <v>45293</v>
      </c>
      <c r="C11850" s="1" t="n">
        <v>45657</v>
      </c>
      <c r="D11850" t="inlineStr">
        <is>
          <t>VÄSTERNORRLANDS LÄN</t>
        </is>
      </c>
      <c r="E11850" t="inlineStr">
        <is>
          <t>HÄRNÖSAND</t>
        </is>
      </c>
      <c r="G11850" t="n">
        <v>16.8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208-2024</t>
        </is>
      </c>
      <c r="B11851" s="1" t="n">
        <v>45293</v>
      </c>
      <c r="C11851" s="1" t="n">
        <v>45657</v>
      </c>
      <c r="D11851" t="inlineStr">
        <is>
          <t>VÄSTERNORRLANDS LÄN</t>
        </is>
      </c>
      <c r="E11851" t="inlineStr">
        <is>
          <t>HÄRNÖSAND</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214-2024</t>
        </is>
      </c>
      <c r="B11852" s="1" t="n">
        <v>45293</v>
      </c>
      <c r="C11852" s="1" t="n">
        <v>45657</v>
      </c>
      <c r="D11852" t="inlineStr">
        <is>
          <t>VÄSTERNORRLANDS LÄN</t>
        </is>
      </c>
      <c r="E11852" t="inlineStr">
        <is>
          <t>HÄRNÖSAND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84-2024</t>
        </is>
      </c>
      <c r="B11853" s="1" t="n">
        <v>45293</v>
      </c>
      <c r="C11853" s="1" t="n">
        <v>45657</v>
      </c>
      <c r="D11853" t="inlineStr">
        <is>
          <t>VÄSTERNORRLANDS LÄN</t>
        </is>
      </c>
      <c r="E11853" t="inlineStr">
        <is>
          <t>HÄRNÖSAND</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100-2024</t>
        </is>
      </c>
      <c r="B11854" s="1" t="n">
        <v>45293</v>
      </c>
      <c r="C11854" s="1" t="n">
        <v>45657</v>
      </c>
      <c r="D11854" t="inlineStr">
        <is>
          <t>VÄSTERNORRLANDS LÄN</t>
        </is>
      </c>
      <c r="E11854" t="inlineStr">
        <is>
          <t>SUNDSVALL</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154-2024</t>
        </is>
      </c>
      <c r="B11855" s="1" t="n">
        <v>45293</v>
      </c>
      <c r="C11855" s="1" t="n">
        <v>45657</v>
      </c>
      <c r="D11855" t="inlineStr">
        <is>
          <t>VÄSTERNORRLANDS LÄN</t>
        </is>
      </c>
      <c r="E11855" t="inlineStr">
        <is>
          <t>HÄRNÖSAND</t>
        </is>
      </c>
      <c r="G11855" t="n">
        <v>22.9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213-2024</t>
        </is>
      </c>
      <c r="B11856" s="1" t="n">
        <v>45293</v>
      </c>
      <c r="C11856" s="1" t="n">
        <v>45657</v>
      </c>
      <c r="D11856" t="inlineStr">
        <is>
          <t>VÄSTERNORRLANDS LÄN</t>
        </is>
      </c>
      <c r="E11856" t="inlineStr">
        <is>
          <t>ÅNGE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204-2024</t>
        </is>
      </c>
      <c r="B11857" s="1" t="n">
        <v>45293</v>
      </c>
      <c r="C11857" s="1" t="n">
        <v>45657</v>
      </c>
      <c r="D11857" t="inlineStr">
        <is>
          <t>VÄSTERNORRLANDS LÄN</t>
        </is>
      </c>
      <c r="E11857" t="inlineStr">
        <is>
          <t>HÄRNÖSAND</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125-2024</t>
        </is>
      </c>
      <c r="B11858" s="1" t="n">
        <v>45294</v>
      </c>
      <c r="C11858" s="1" t="n">
        <v>45657</v>
      </c>
      <c r="D11858" t="inlineStr">
        <is>
          <t>VÄSTERNORRLANDS LÄN</t>
        </is>
      </c>
      <c r="E11858" t="inlineStr">
        <is>
          <t>ÖRNSKÖLDSVIK</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124-2024</t>
        </is>
      </c>
      <c r="B11859" s="1" t="n">
        <v>45294</v>
      </c>
      <c r="C11859" s="1" t="n">
        <v>45657</v>
      </c>
      <c r="D11859" t="inlineStr">
        <is>
          <t>VÄSTERNORRLANDS LÄN</t>
        </is>
      </c>
      <c r="E11859" t="inlineStr">
        <is>
          <t>KRAMFORS</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132-2024</t>
        </is>
      </c>
      <c r="B11860" s="1" t="n">
        <v>45294</v>
      </c>
      <c r="C11860" s="1" t="n">
        <v>45657</v>
      </c>
      <c r="D11860" t="inlineStr">
        <is>
          <t>VÄSTERNORRLANDS LÄN</t>
        </is>
      </c>
      <c r="E11860" t="inlineStr">
        <is>
          <t>ÖRNSKÖLDSVIK</t>
        </is>
      </c>
      <c r="G11860" t="n">
        <v>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137-2024</t>
        </is>
      </c>
      <c r="B11861" s="1" t="n">
        <v>45294</v>
      </c>
      <c r="C11861" s="1" t="n">
        <v>45657</v>
      </c>
      <c r="D11861" t="inlineStr">
        <is>
          <t>VÄSTERNORRLANDS LÄN</t>
        </is>
      </c>
      <c r="E11861" t="inlineStr">
        <is>
          <t>KRAMFORS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152-2024</t>
        </is>
      </c>
      <c r="B11862" s="1" t="n">
        <v>45294</v>
      </c>
      <c r="C11862" s="1" t="n">
        <v>45657</v>
      </c>
      <c r="D11862" t="inlineStr">
        <is>
          <t>VÄSTERNORRLANDS LÄN</t>
        </is>
      </c>
      <c r="E11862" t="inlineStr">
        <is>
          <t>KRAMFORS</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158-2024</t>
        </is>
      </c>
      <c r="B11863" s="1" t="n">
        <v>45294</v>
      </c>
      <c r="C11863" s="1" t="n">
        <v>45657</v>
      </c>
      <c r="D11863" t="inlineStr">
        <is>
          <t>VÄSTERNORRLANDS LÄN</t>
        </is>
      </c>
      <c r="E11863" t="inlineStr">
        <is>
          <t>KRAMFORS</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194-2024</t>
        </is>
      </c>
      <c r="B11864" s="1" t="n">
        <v>45294</v>
      </c>
      <c r="C11864" s="1" t="n">
        <v>45657</v>
      </c>
      <c r="D11864" t="inlineStr">
        <is>
          <t>VÄSTERNORRLANDS LÄN</t>
        </is>
      </c>
      <c r="E11864" t="inlineStr">
        <is>
          <t>SUNDSVALL</t>
        </is>
      </c>
      <c r="G11864" t="n">
        <v>12.3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115-2024</t>
        </is>
      </c>
      <c r="B11865" s="1" t="n">
        <v>45294</v>
      </c>
      <c r="C11865" s="1" t="n">
        <v>45657</v>
      </c>
      <c r="D11865" t="inlineStr">
        <is>
          <t>VÄSTERNORRLANDS LÄN</t>
        </is>
      </c>
      <c r="E11865" t="inlineStr">
        <is>
          <t>ÖRNSKÖLDSVIK</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123-2024</t>
        </is>
      </c>
      <c r="B11866" s="1" t="n">
        <v>45294</v>
      </c>
      <c r="C11866" s="1" t="n">
        <v>45657</v>
      </c>
      <c r="D11866" t="inlineStr">
        <is>
          <t>VÄSTERNORRLANDS LÄN</t>
        </is>
      </c>
      <c r="E11866" t="inlineStr">
        <is>
          <t>SUNDSVALL</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211-2024</t>
        </is>
      </c>
      <c r="B11867" s="1" t="n">
        <v>45294</v>
      </c>
      <c r="C11867" s="1" t="n">
        <v>45657</v>
      </c>
      <c r="D11867" t="inlineStr">
        <is>
          <t>VÄSTERNORRLANDS LÄN</t>
        </is>
      </c>
      <c r="E11867" t="inlineStr">
        <is>
          <t>HÄRNÖSAND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250-2024</t>
        </is>
      </c>
      <c r="B11868" s="1" t="n">
        <v>45294</v>
      </c>
      <c r="C11868" s="1" t="n">
        <v>45657</v>
      </c>
      <c r="D11868" t="inlineStr">
        <is>
          <t>VÄSTERNORRLANDS LÄN</t>
        </is>
      </c>
      <c r="E11868" t="inlineStr">
        <is>
          <t>ÖRNSKÖLDSVIK</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258-2024</t>
        </is>
      </c>
      <c r="B11869" s="1" t="n">
        <v>45294</v>
      </c>
      <c r="C11869" s="1" t="n">
        <v>45657</v>
      </c>
      <c r="D11869" t="inlineStr">
        <is>
          <t>VÄSTERNORRLANDS LÄN</t>
        </is>
      </c>
      <c r="E11869" t="inlineStr">
        <is>
          <t>SUNDSVALL</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199-2024</t>
        </is>
      </c>
      <c r="B11870" s="1" t="n">
        <v>45294</v>
      </c>
      <c r="C11870" s="1" t="n">
        <v>45657</v>
      </c>
      <c r="D11870" t="inlineStr">
        <is>
          <t>VÄSTERNORRLANDS LÄN</t>
        </is>
      </c>
      <c r="E11870" t="inlineStr">
        <is>
          <t>SUNDSVALL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237-2024</t>
        </is>
      </c>
      <c r="B11871" s="1" t="n">
        <v>45294</v>
      </c>
      <c r="C11871" s="1" t="n">
        <v>45657</v>
      </c>
      <c r="D11871" t="inlineStr">
        <is>
          <t>VÄSTERNORRLANDS LÄN</t>
        </is>
      </c>
      <c r="E11871" t="inlineStr">
        <is>
          <t>KRAMFORS</t>
        </is>
      </c>
      <c r="G11871" t="n">
        <v>12.3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249-2024</t>
        </is>
      </c>
      <c r="B11872" s="1" t="n">
        <v>45294</v>
      </c>
      <c r="C11872" s="1" t="n">
        <v>45657</v>
      </c>
      <c r="D11872" t="inlineStr">
        <is>
          <t>VÄSTERNORRLANDS LÄN</t>
        </is>
      </c>
      <c r="E11872" t="inlineStr">
        <is>
          <t>SUNDSVALL</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253-2024</t>
        </is>
      </c>
      <c r="B11873" s="1" t="n">
        <v>45294</v>
      </c>
      <c r="C11873" s="1" t="n">
        <v>45657</v>
      </c>
      <c r="D11873" t="inlineStr">
        <is>
          <t>VÄSTERNORRLANDS LÄN</t>
        </is>
      </c>
      <c r="E11873" t="inlineStr">
        <is>
          <t>ÅNGE</t>
        </is>
      </c>
      <c r="F11873" t="inlineStr">
        <is>
          <t>SCA</t>
        </is>
      </c>
      <c r="G11873" t="n">
        <v>54.6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156-2024</t>
        </is>
      </c>
      <c r="B11874" s="1" t="n">
        <v>45294</v>
      </c>
      <c r="C11874" s="1" t="n">
        <v>45657</v>
      </c>
      <c r="D11874" t="inlineStr">
        <is>
          <t>VÄSTERNORRLANDS LÄN</t>
        </is>
      </c>
      <c r="E11874" t="inlineStr">
        <is>
          <t>KRAMFORS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239-2024</t>
        </is>
      </c>
      <c r="B11875" s="1" t="n">
        <v>45294</v>
      </c>
      <c r="C11875" s="1" t="n">
        <v>45657</v>
      </c>
      <c r="D11875" t="inlineStr">
        <is>
          <t>VÄSTERNORRLANDS LÄN</t>
        </is>
      </c>
      <c r="E11875" t="inlineStr">
        <is>
          <t>ÖRNSKÖLDSVIK</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251-2024</t>
        </is>
      </c>
      <c r="B11876" s="1" t="n">
        <v>45294</v>
      </c>
      <c r="C11876" s="1" t="n">
        <v>45657</v>
      </c>
      <c r="D11876" t="inlineStr">
        <is>
          <t>VÄSTERNORRLANDS LÄN</t>
        </is>
      </c>
      <c r="E11876" t="inlineStr">
        <is>
          <t>ÅNGE</t>
        </is>
      </c>
      <c r="F11876" t="inlineStr">
        <is>
          <t>SCA</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255-2024</t>
        </is>
      </c>
      <c r="B11877" s="1" t="n">
        <v>45295</v>
      </c>
      <c r="C11877" s="1" t="n">
        <v>45657</v>
      </c>
      <c r="D11877" t="inlineStr">
        <is>
          <t>VÄSTERNORRLANDS LÄN</t>
        </is>
      </c>
      <c r="E11877" t="inlineStr">
        <is>
          <t>SUNDSVALL</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231-2024</t>
        </is>
      </c>
      <c r="B11878" s="1" t="n">
        <v>45294</v>
      </c>
      <c r="C11878" s="1" t="n">
        <v>45657</v>
      </c>
      <c r="D11878" t="inlineStr">
        <is>
          <t>VÄSTERNORRLANDS LÄN</t>
        </is>
      </c>
      <c r="E11878" t="inlineStr">
        <is>
          <t>SUNDSVALL</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252-2024</t>
        </is>
      </c>
      <c r="B11879" s="1" t="n">
        <v>45295</v>
      </c>
      <c r="C11879" s="1" t="n">
        <v>45657</v>
      </c>
      <c r="D11879" t="inlineStr">
        <is>
          <t>VÄSTERNORRLANDS LÄN</t>
        </is>
      </c>
      <c r="E11879" t="inlineStr">
        <is>
          <t>TIMRÅ</t>
        </is>
      </c>
      <c r="F11879" t="inlineStr">
        <is>
          <t>SCA</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256-2024</t>
        </is>
      </c>
      <c r="B11880" s="1" t="n">
        <v>45295</v>
      </c>
      <c r="C11880" s="1" t="n">
        <v>45657</v>
      </c>
      <c r="D11880" t="inlineStr">
        <is>
          <t>VÄSTERNORRLANDS LÄN</t>
        </is>
      </c>
      <c r="E11880" t="inlineStr">
        <is>
          <t>ÅNGE</t>
        </is>
      </c>
      <c r="F11880" t="inlineStr">
        <is>
          <t>SCA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314-2024</t>
        </is>
      </c>
      <c r="B11881" s="1" t="n">
        <v>45295</v>
      </c>
      <c r="C11881" s="1" t="n">
        <v>45657</v>
      </c>
      <c r="D11881" t="inlineStr">
        <is>
          <t>VÄSTERNORRLANDS LÄN</t>
        </is>
      </c>
      <c r="E11881" t="inlineStr">
        <is>
          <t>ÖRNSKÖLDSVIK</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327-2024</t>
        </is>
      </c>
      <c r="B11882" s="1" t="n">
        <v>45295</v>
      </c>
      <c r="C11882" s="1" t="n">
        <v>45657</v>
      </c>
      <c r="D11882" t="inlineStr">
        <is>
          <t>VÄSTERNORRLANDS LÄN</t>
        </is>
      </c>
      <c r="E11882" t="inlineStr">
        <is>
          <t>ÖRNSKÖLDSVIK</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342-2024</t>
        </is>
      </c>
      <c r="B11883" s="1" t="n">
        <v>45295</v>
      </c>
      <c r="C11883" s="1" t="n">
        <v>45657</v>
      </c>
      <c r="D11883" t="inlineStr">
        <is>
          <t>VÄSTERNORRLANDS LÄN</t>
        </is>
      </c>
      <c r="E11883" t="inlineStr">
        <is>
          <t>ÖRNSKÖLDSVIK</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362-2024</t>
        </is>
      </c>
      <c r="B11884" s="1" t="n">
        <v>45295</v>
      </c>
      <c r="C11884" s="1" t="n">
        <v>45657</v>
      </c>
      <c r="D11884" t="inlineStr">
        <is>
          <t>VÄSTERNORRLANDS LÄN</t>
        </is>
      </c>
      <c r="E11884" t="inlineStr">
        <is>
          <t>HÄRNÖSAND</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368-2024</t>
        </is>
      </c>
      <c r="B11885" s="1" t="n">
        <v>45295</v>
      </c>
      <c r="C11885" s="1" t="n">
        <v>45657</v>
      </c>
      <c r="D11885" t="inlineStr">
        <is>
          <t>VÄSTERNORRLANDS LÄN</t>
        </is>
      </c>
      <c r="E11885" t="inlineStr">
        <is>
          <t>SUNDSVALL</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290-2024</t>
        </is>
      </c>
      <c r="B11886" s="1" t="n">
        <v>45295</v>
      </c>
      <c r="C11886" s="1" t="n">
        <v>45657</v>
      </c>
      <c r="D11886" t="inlineStr">
        <is>
          <t>VÄSTERNORRLANDS LÄN</t>
        </is>
      </c>
      <c r="E11886" t="inlineStr">
        <is>
          <t>TIMRÅ</t>
        </is>
      </c>
      <c r="G11886" t="n">
        <v>10.5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307-2024</t>
        </is>
      </c>
      <c r="B11887" s="1" t="n">
        <v>45295</v>
      </c>
      <c r="C11887" s="1" t="n">
        <v>45657</v>
      </c>
      <c r="D11887" t="inlineStr">
        <is>
          <t>VÄSTERNORRLANDS LÄN</t>
        </is>
      </c>
      <c r="E11887" t="inlineStr">
        <is>
          <t>ÖRNSKÖLDSVIK</t>
        </is>
      </c>
      <c r="G11887" t="n">
        <v>5.5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332-2024</t>
        </is>
      </c>
      <c r="B11888" s="1" t="n">
        <v>45295</v>
      </c>
      <c r="C11888" s="1" t="n">
        <v>45657</v>
      </c>
      <c r="D11888" t="inlineStr">
        <is>
          <t>VÄSTERNORRLANDS LÄN</t>
        </is>
      </c>
      <c r="E11888" t="inlineStr">
        <is>
          <t>ÖRNSKÖLDSVIK</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366-2024</t>
        </is>
      </c>
      <c r="B11889" s="1" t="n">
        <v>45295</v>
      </c>
      <c r="C11889" s="1" t="n">
        <v>45657</v>
      </c>
      <c r="D11889" t="inlineStr">
        <is>
          <t>VÄSTERNORRLANDS LÄN</t>
        </is>
      </c>
      <c r="E11889" t="inlineStr">
        <is>
          <t>KRAMFORS</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369-2024</t>
        </is>
      </c>
      <c r="B11890" s="1" t="n">
        <v>45295</v>
      </c>
      <c r="C11890" s="1" t="n">
        <v>45657</v>
      </c>
      <c r="D11890" t="inlineStr">
        <is>
          <t>VÄSTERNORRLANDS LÄN</t>
        </is>
      </c>
      <c r="E11890" t="inlineStr">
        <is>
          <t>KRAMFORS</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372-2024</t>
        </is>
      </c>
      <c r="B11891" s="1" t="n">
        <v>45296</v>
      </c>
      <c r="C11891" s="1" t="n">
        <v>45657</v>
      </c>
      <c r="D11891" t="inlineStr">
        <is>
          <t>VÄSTERNORRLANDS LÄN</t>
        </is>
      </c>
      <c r="E11891" t="inlineStr">
        <is>
          <t>ÖRNSKÖLDSVIK</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388-2024</t>
        </is>
      </c>
      <c r="B11892" s="1" t="n">
        <v>45296</v>
      </c>
      <c r="C11892" s="1" t="n">
        <v>45657</v>
      </c>
      <c r="D11892" t="inlineStr">
        <is>
          <t>VÄSTERNORRLANDS LÄN</t>
        </is>
      </c>
      <c r="E11892" t="inlineStr">
        <is>
          <t>SOLLEFTEÅ</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394-2024</t>
        </is>
      </c>
      <c r="B11893" s="1" t="n">
        <v>45296</v>
      </c>
      <c r="C11893" s="1" t="n">
        <v>45657</v>
      </c>
      <c r="D11893" t="inlineStr">
        <is>
          <t>VÄSTERNORRLANDS LÄN</t>
        </is>
      </c>
      <c r="E11893" t="inlineStr">
        <is>
          <t>SOLLEFTEÅ</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415-2024</t>
        </is>
      </c>
      <c r="B11894" s="1" t="n">
        <v>45296</v>
      </c>
      <c r="C11894" s="1" t="n">
        <v>45657</v>
      </c>
      <c r="D11894" t="inlineStr">
        <is>
          <t>VÄSTERNORRLANDS LÄN</t>
        </is>
      </c>
      <c r="E11894" t="inlineStr">
        <is>
          <t>ÖRNSKÖLDSVIK</t>
        </is>
      </c>
      <c r="F11894" t="inlineStr">
        <is>
          <t>Holmen skog AB</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426-2024</t>
        </is>
      </c>
      <c r="B11895" s="1" t="n">
        <v>45296</v>
      </c>
      <c r="C11895" s="1" t="n">
        <v>45657</v>
      </c>
      <c r="D11895" t="inlineStr">
        <is>
          <t>VÄSTERNORRLANDS LÄN</t>
        </is>
      </c>
      <c r="E11895" t="inlineStr">
        <is>
          <t>ÖRNSKÖLDSVIK</t>
        </is>
      </c>
      <c r="F11895" t="inlineStr">
        <is>
          <t>Holmen skog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436-2024</t>
        </is>
      </c>
      <c r="B11896" s="1" t="n">
        <v>45296</v>
      </c>
      <c r="C11896" s="1" t="n">
        <v>45657</v>
      </c>
      <c r="D11896" t="inlineStr">
        <is>
          <t>VÄSTERNORRLANDS LÄN</t>
        </is>
      </c>
      <c r="E11896" t="inlineStr">
        <is>
          <t>ÖRNSKÖLDSVIK</t>
        </is>
      </c>
      <c r="F11896" t="inlineStr">
        <is>
          <t>Holmen skog AB</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457-2024</t>
        </is>
      </c>
      <c r="B11897" s="1" t="n">
        <v>45297</v>
      </c>
      <c r="C11897" s="1" t="n">
        <v>45657</v>
      </c>
      <c r="D11897" t="inlineStr">
        <is>
          <t>VÄSTERNORRLANDS LÄN</t>
        </is>
      </c>
      <c r="E11897" t="inlineStr">
        <is>
          <t>SOLLEFTEÅ</t>
        </is>
      </c>
      <c r="F11897" t="inlineStr">
        <is>
          <t>SCA</t>
        </is>
      </c>
      <c r="G11897" t="n">
        <v>7.4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405-2024</t>
        </is>
      </c>
      <c r="B11898" s="1" t="n">
        <v>45296</v>
      </c>
      <c r="C11898" s="1" t="n">
        <v>45657</v>
      </c>
      <c r="D11898" t="inlineStr">
        <is>
          <t>VÄSTERNORRLANDS LÄN</t>
        </is>
      </c>
      <c r="E11898" t="inlineStr">
        <is>
          <t>ÅNGE</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441-2024</t>
        </is>
      </c>
      <c r="B11899" s="1" t="n">
        <v>45296</v>
      </c>
      <c r="C11899" s="1" t="n">
        <v>45657</v>
      </c>
      <c r="D11899" t="inlineStr">
        <is>
          <t>VÄSTERNORRLANDS LÄN</t>
        </is>
      </c>
      <c r="E11899" t="inlineStr">
        <is>
          <t>ÖRNSKÖLDSVIK</t>
        </is>
      </c>
      <c r="F11899" t="inlineStr">
        <is>
          <t>Holmen skog AB</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595-2024</t>
        </is>
      </c>
      <c r="B11900" s="1" t="n">
        <v>45299</v>
      </c>
      <c r="C11900" s="1" t="n">
        <v>45657</v>
      </c>
      <c r="D11900" t="inlineStr">
        <is>
          <t>VÄSTERNORRLANDS LÄN</t>
        </is>
      </c>
      <c r="E11900" t="inlineStr">
        <is>
          <t>ÖRNSKÖLDSVIK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556-2024</t>
        </is>
      </c>
      <c r="B11901" s="1" t="n">
        <v>45299</v>
      </c>
      <c r="C11901" s="1" t="n">
        <v>45657</v>
      </c>
      <c r="D11901" t="inlineStr">
        <is>
          <t>VÄSTERNORRLANDS LÄN</t>
        </is>
      </c>
      <c r="E11901" t="inlineStr">
        <is>
          <t>KRAMFORS</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656-2024</t>
        </is>
      </c>
      <c r="B11902" s="1" t="n">
        <v>45299</v>
      </c>
      <c r="C11902" s="1" t="n">
        <v>45657</v>
      </c>
      <c r="D11902" t="inlineStr">
        <is>
          <t>VÄSTERNORRLANDS LÄN</t>
        </is>
      </c>
      <c r="E11902" t="inlineStr">
        <is>
          <t>SOLLEFTEÅ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661-2024</t>
        </is>
      </c>
      <c r="B11903" s="1" t="n">
        <v>45300</v>
      </c>
      <c r="C11903" s="1" t="n">
        <v>45657</v>
      </c>
      <c r="D11903" t="inlineStr">
        <is>
          <t>VÄSTERNORRLANDS LÄN</t>
        </is>
      </c>
      <c r="E11903" t="inlineStr">
        <is>
          <t>TIMRÅ</t>
        </is>
      </c>
      <c r="F11903" t="inlineStr">
        <is>
          <t>SCA</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683-2024</t>
        </is>
      </c>
      <c r="B11904" s="1" t="n">
        <v>45300</v>
      </c>
      <c r="C11904" s="1" t="n">
        <v>45657</v>
      </c>
      <c r="D11904" t="inlineStr">
        <is>
          <t>VÄSTERNORRLANDS LÄN</t>
        </is>
      </c>
      <c r="E11904" t="inlineStr">
        <is>
          <t>ÖRNSKÖLDSVIK</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847-2024</t>
        </is>
      </c>
      <c r="B11905" s="1" t="n">
        <v>45300</v>
      </c>
      <c r="C11905" s="1" t="n">
        <v>45657</v>
      </c>
      <c r="D11905" t="inlineStr">
        <is>
          <t>VÄSTERNORRLANDS LÄN</t>
        </is>
      </c>
      <c r="E11905" t="inlineStr">
        <is>
          <t>KRAMFORS</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741-2024</t>
        </is>
      </c>
      <c r="B11906" s="1" t="n">
        <v>45300</v>
      </c>
      <c r="C11906" s="1" t="n">
        <v>45657</v>
      </c>
      <c r="D11906" t="inlineStr">
        <is>
          <t>VÄSTERNORRLANDS LÄN</t>
        </is>
      </c>
      <c r="E11906" t="inlineStr">
        <is>
          <t>ÅNGE</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815-2024</t>
        </is>
      </c>
      <c r="B11907" s="1" t="n">
        <v>45300</v>
      </c>
      <c r="C11907" s="1" t="n">
        <v>45657</v>
      </c>
      <c r="D11907" t="inlineStr">
        <is>
          <t>VÄSTERNORRLANDS LÄN</t>
        </is>
      </c>
      <c r="E11907" t="inlineStr">
        <is>
          <t>KRAMFORS</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827-2024</t>
        </is>
      </c>
      <c r="B11908" s="1" t="n">
        <v>45300</v>
      </c>
      <c r="C11908" s="1" t="n">
        <v>45657</v>
      </c>
      <c r="D11908" t="inlineStr">
        <is>
          <t>VÄSTERNORRLANDS LÄN</t>
        </is>
      </c>
      <c r="E11908" t="inlineStr">
        <is>
          <t>ÖRNSKÖLDSVIK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832-2024</t>
        </is>
      </c>
      <c r="B11909" s="1" t="n">
        <v>45300</v>
      </c>
      <c r="C11909" s="1" t="n">
        <v>45657</v>
      </c>
      <c r="D11909" t="inlineStr">
        <is>
          <t>VÄSTERNORRLANDS LÄN</t>
        </is>
      </c>
      <c r="E11909" t="inlineStr">
        <is>
          <t>ÅNGE</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808-2024</t>
        </is>
      </c>
      <c r="B11910" s="1" t="n">
        <v>45300</v>
      </c>
      <c r="C11910" s="1" t="n">
        <v>45657</v>
      </c>
      <c r="D11910" t="inlineStr">
        <is>
          <t>VÄSTERNORRLANDS LÄN</t>
        </is>
      </c>
      <c r="E11910" t="inlineStr">
        <is>
          <t>KRAMFORS</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824-2024</t>
        </is>
      </c>
      <c r="B11911" s="1" t="n">
        <v>45300</v>
      </c>
      <c r="C11911" s="1" t="n">
        <v>45657</v>
      </c>
      <c r="D11911" t="inlineStr">
        <is>
          <t>VÄSTERNORRLANDS LÄN</t>
        </is>
      </c>
      <c r="E11911" t="inlineStr">
        <is>
          <t>ÖRNSKÖLDSVIK</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698-2024</t>
        </is>
      </c>
      <c r="B11912" s="1" t="n">
        <v>45300</v>
      </c>
      <c r="C11912" s="1" t="n">
        <v>45657</v>
      </c>
      <c r="D11912" t="inlineStr">
        <is>
          <t>VÄSTERNORRLANDS LÄN</t>
        </is>
      </c>
      <c r="E11912" t="inlineStr">
        <is>
          <t>ÖRNSKÖLDSVIK</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825-2024</t>
        </is>
      </c>
      <c r="B11913" s="1" t="n">
        <v>45300</v>
      </c>
      <c r="C11913" s="1" t="n">
        <v>45657</v>
      </c>
      <c r="D11913" t="inlineStr">
        <is>
          <t>VÄSTERNORRLANDS LÄN</t>
        </is>
      </c>
      <c r="E11913" t="inlineStr">
        <is>
          <t>ÖRNSKÖLDSVIK</t>
        </is>
      </c>
      <c r="G11913" t="n">
        <v>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842-2024</t>
        </is>
      </c>
      <c r="B11914" s="1" t="n">
        <v>45300</v>
      </c>
      <c r="C11914" s="1" t="n">
        <v>45657</v>
      </c>
      <c r="D11914" t="inlineStr">
        <is>
          <t>VÄSTERNORRLANDS LÄN</t>
        </is>
      </c>
      <c r="E11914" t="inlineStr">
        <is>
          <t>ÖRNSKÖLDSVIK</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854-2024</t>
        </is>
      </c>
      <c r="B11915" s="1" t="n">
        <v>45300</v>
      </c>
      <c r="C11915" s="1" t="n">
        <v>45657</v>
      </c>
      <c r="D11915" t="inlineStr">
        <is>
          <t>VÄSTERNORRLANDS LÄN</t>
        </is>
      </c>
      <c r="E11915" t="inlineStr">
        <is>
          <t>KRAMFORS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858-2024</t>
        </is>
      </c>
      <c r="B11916" s="1" t="n">
        <v>45301</v>
      </c>
      <c r="C11916" s="1" t="n">
        <v>45657</v>
      </c>
      <c r="D11916" t="inlineStr">
        <is>
          <t>VÄSTERNORRLANDS LÄN</t>
        </is>
      </c>
      <c r="E11916" t="inlineStr">
        <is>
          <t>SOLLEFTEÅ</t>
        </is>
      </c>
      <c r="F11916" t="inlineStr">
        <is>
          <t>SCA</t>
        </is>
      </c>
      <c r="G11916" t="n">
        <v>56.2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802-2024</t>
        </is>
      </c>
      <c r="B11917" s="1" t="n">
        <v>45300</v>
      </c>
      <c r="C11917" s="1" t="n">
        <v>45657</v>
      </c>
      <c r="D11917" t="inlineStr">
        <is>
          <t>VÄSTERNORRLANDS LÄN</t>
        </is>
      </c>
      <c r="E11917" t="inlineStr">
        <is>
          <t>ÖRNSKÖLDSVIK</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786-2024</t>
        </is>
      </c>
      <c r="B11918" s="1" t="n">
        <v>45300</v>
      </c>
      <c r="C11918" s="1" t="n">
        <v>45657</v>
      </c>
      <c r="D11918" t="inlineStr">
        <is>
          <t>VÄSTERNORRLANDS LÄN</t>
        </is>
      </c>
      <c r="E11918" t="inlineStr">
        <is>
          <t>HÄRNÖSAND</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863-2024</t>
        </is>
      </c>
      <c r="B11919" s="1" t="n">
        <v>45301</v>
      </c>
      <c r="C11919" s="1" t="n">
        <v>45657</v>
      </c>
      <c r="D11919" t="inlineStr">
        <is>
          <t>VÄSTERNORRLANDS LÄN</t>
        </is>
      </c>
      <c r="E11919" t="inlineStr">
        <is>
          <t>ÖRNSKÖLDSVIK</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831-2024</t>
        </is>
      </c>
      <c r="B11920" s="1" t="n">
        <v>45301</v>
      </c>
      <c r="C11920" s="1" t="n">
        <v>45657</v>
      </c>
      <c r="D11920" t="inlineStr">
        <is>
          <t>VÄSTERNORRLANDS LÄN</t>
        </is>
      </c>
      <c r="E11920" t="inlineStr">
        <is>
          <t>ÖRNSKÖLDSVIK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882-2024</t>
        </is>
      </c>
      <c r="B11921" s="1" t="n">
        <v>45301</v>
      </c>
      <c r="C11921" s="1" t="n">
        <v>45657</v>
      </c>
      <c r="D11921" t="inlineStr">
        <is>
          <t>VÄSTERNORRLANDS LÄN</t>
        </is>
      </c>
      <c r="E11921" t="inlineStr">
        <is>
          <t>ÖRNSKÖLDSVIK</t>
        </is>
      </c>
      <c r="G11921" t="n">
        <v>24.2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997-2024</t>
        </is>
      </c>
      <c r="B11922" s="1" t="n">
        <v>45301</v>
      </c>
      <c r="C11922" s="1" t="n">
        <v>45657</v>
      </c>
      <c r="D11922" t="inlineStr">
        <is>
          <t>VÄSTERNORRLANDS LÄN</t>
        </is>
      </c>
      <c r="E11922" t="inlineStr">
        <is>
          <t>ÖRNSKÖLDSVIK</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1002-2024</t>
        </is>
      </c>
      <c r="B11923" s="1" t="n">
        <v>45301</v>
      </c>
      <c r="C11923" s="1" t="n">
        <v>45657</v>
      </c>
      <c r="D11923" t="inlineStr">
        <is>
          <t>VÄSTERNORRLANDS LÄN</t>
        </is>
      </c>
      <c r="E11923" t="inlineStr">
        <is>
          <t>ÖRNSKÖLDSVIK</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1006-2024</t>
        </is>
      </c>
      <c r="B11924" s="1" t="n">
        <v>45301</v>
      </c>
      <c r="C11924" s="1" t="n">
        <v>45657</v>
      </c>
      <c r="D11924" t="inlineStr">
        <is>
          <t>VÄSTERNORRLANDS LÄN</t>
        </is>
      </c>
      <c r="E11924" t="inlineStr">
        <is>
          <t>SOLLEFTEÅ</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1047-2024</t>
        </is>
      </c>
      <c r="B11925" s="1" t="n">
        <v>45301</v>
      </c>
      <c r="C11925" s="1" t="n">
        <v>45657</v>
      </c>
      <c r="D11925" t="inlineStr">
        <is>
          <t>VÄSTERNORRLANDS LÄN</t>
        </is>
      </c>
      <c r="E11925" t="inlineStr">
        <is>
          <t>SOLLEFTEÅ</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1030-2024</t>
        </is>
      </c>
      <c r="B11926" s="1" t="n">
        <v>45301</v>
      </c>
      <c r="C11926" s="1" t="n">
        <v>45657</v>
      </c>
      <c r="D11926" t="inlineStr">
        <is>
          <t>VÄSTERNORRLANDS LÄN</t>
        </is>
      </c>
      <c r="E11926" t="inlineStr">
        <is>
          <t>ÅNGE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1085-2024</t>
        </is>
      </c>
      <c r="B11927" s="1" t="n">
        <v>45301</v>
      </c>
      <c r="C11927" s="1" t="n">
        <v>45657</v>
      </c>
      <c r="D11927" t="inlineStr">
        <is>
          <t>VÄSTERNORRLANDS LÄN</t>
        </is>
      </c>
      <c r="E11927" t="inlineStr">
        <is>
          <t>ÖRNSKÖLDSVIK</t>
        </is>
      </c>
      <c r="F11927" t="inlineStr">
        <is>
          <t>Kyrkan</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1048-2024</t>
        </is>
      </c>
      <c r="B11928" s="1" t="n">
        <v>45301</v>
      </c>
      <c r="C11928" s="1" t="n">
        <v>45657</v>
      </c>
      <c r="D11928" t="inlineStr">
        <is>
          <t>VÄSTERNORRLANDS LÄN</t>
        </is>
      </c>
      <c r="E11928" t="inlineStr">
        <is>
          <t>SUNDSVALL</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1071-2024</t>
        </is>
      </c>
      <c r="B11929" s="1" t="n">
        <v>45301</v>
      </c>
      <c r="C11929" s="1" t="n">
        <v>45657</v>
      </c>
      <c r="D11929" t="inlineStr">
        <is>
          <t>VÄSTERNORRLANDS LÄN</t>
        </is>
      </c>
      <c r="E11929" t="inlineStr">
        <is>
          <t>KRAMFORS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1054-2024</t>
        </is>
      </c>
      <c r="B11930" s="1" t="n">
        <v>45302</v>
      </c>
      <c r="C11930" s="1" t="n">
        <v>45657</v>
      </c>
      <c r="D11930" t="inlineStr">
        <is>
          <t>VÄSTERNORRLANDS LÄN</t>
        </is>
      </c>
      <c r="E11930" t="inlineStr">
        <is>
          <t>SOLLEFTEÅ</t>
        </is>
      </c>
      <c r="F11930" t="inlineStr">
        <is>
          <t>SCA</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1075-2024</t>
        </is>
      </c>
      <c r="B11931" s="1" t="n">
        <v>45301</v>
      </c>
      <c r="C11931" s="1" t="n">
        <v>45657</v>
      </c>
      <c r="D11931" t="inlineStr">
        <is>
          <t>VÄSTERNORRLANDS LÄN</t>
        </is>
      </c>
      <c r="E11931" t="inlineStr">
        <is>
          <t>KRAMFORS</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1077-2024</t>
        </is>
      </c>
      <c r="B11932" s="1" t="n">
        <v>45302</v>
      </c>
      <c r="C11932" s="1" t="n">
        <v>45657</v>
      </c>
      <c r="D11932" t="inlineStr">
        <is>
          <t>VÄSTERNORRLANDS LÄN</t>
        </is>
      </c>
      <c r="E11932" t="inlineStr">
        <is>
          <t>KRAMFORS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1163-2024</t>
        </is>
      </c>
      <c r="B11933" s="1" t="n">
        <v>45302</v>
      </c>
      <c r="C11933" s="1" t="n">
        <v>45657</v>
      </c>
      <c r="D11933" t="inlineStr">
        <is>
          <t>VÄSTERNORRLANDS LÄN</t>
        </is>
      </c>
      <c r="E11933" t="inlineStr">
        <is>
          <t>ÖRNSKÖLDSVIK</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1078-2024</t>
        </is>
      </c>
      <c r="B11934" s="1" t="n">
        <v>45302</v>
      </c>
      <c r="C11934" s="1" t="n">
        <v>45657</v>
      </c>
      <c r="D11934" t="inlineStr">
        <is>
          <t>VÄSTERNORRLANDS LÄN</t>
        </is>
      </c>
      <c r="E11934" t="inlineStr">
        <is>
          <t>ÖRNSKÖLDSVIK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1161-2024</t>
        </is>
      </c>
      <c r="B11935" s="1" t="n">
        <v>45302</v>
      </c>
      <c r="C11935" s="1" t="n">
        <v>45657</v>
      </c>
      <c r="D11935" t="inlineStr">
        <is>
          <t>VÄSTERNORRLANDS LÄN</t>
        </is>
      </c>
      <c r="E11935" t="inlineStr">
        <is>
          <t>ÖRNSKÖLDSVIK</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1269-2024</t>
        </is>
      </c>
      <c r="B11936" s="1" t="n">
        <v>45302</v>
      </c>
      <c r="C11936" s="1" t="n">
        <v>45657</v>
      </c>
      <c r="D11936" t="inlineStr">
        <is>
          <t>VÄSTERNORRLANDS LÄN</t>
        </is>
      </c>
      <c r="E11936" t="inlineStr">
        <is>
          <t>SOLLEFTEÅ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1273-2024</t>
        </is>
      </c>
      <c r="B11937" s="1" t="n">
        <v>45302</v>
      </c>
      <c r="C11937" s="1" t="n">
        <v>45657</v>
      </c>
      <c r="D11937" t="inlineStr">
        <is>
          <t>VÄSTERNORRLANDS LÄN</t>
        </is>
      </c>
      <c r="E11937" t="inlineStr">
        <is>
          <t>TIMRÅ</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1140-2024</t>
        </is>
      </c>
      <c r="B11938" s="1" t="n">
        <v>45302</v>
      </c>
      <c r="C11938" s="1" t="n">
        <v>45657</v>
      </c>
      <c r="D11938" t="inlineStr">
        <is>
          <t>VÄSTERNORRLANDS LÄN</t>
        </is>
      </c>
      <c r="E11938" t="inlineStr">
        <is>
          <t>HÄRNÖSAND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1148-2024</t>
        </is>
      </c>
      <c r="B11939" s="1" t="n">
        <v>45302</v>
      </c>
      <c r="C11939" s="1" t="n">
        <v>45657</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1173-2024</t>
        </is>
      </c>
      <c r="B11940" s="1" t="n">
        <v>45302</v>
      </c>
      <c r="C11940" s="1" t="n">
        <v>45657</v>
      </c>
      <c r="D11940" t="inlineStr">
        <is>
          <t>VÄSTERNORRLANDS LÄN</t>
        </is>
      </c>
      <c r="E11940" t="inlineStr">
        <is>
          <t>SOLLEFTEÅ</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1185-2024</t>
        </is>
      </c>
      <c r="B11941" s="1" t="n">
        <v>45302</v>
      </c>
      <c r="C11941" s="1" t="n">
        <v>45657</v>
      </c>
      <c r="D11941" t="inlineStr">
        <is>
          <t>VÄSTERNORRLANDS LÄN</t>
        </is>
      </c>
      <c r="E11941" t="inlineStr">
        <is>
          <t>TIMRÅ</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1268-2024</t>
        </is>
      </c>
      <c r="B11942" s="1" t="n">
        <v>45302</v>
      </c>
      <c r="C11942" s="1" t="n">
        <v>45657</v>
      </c>
      <c r="D11942" t="inlineStr">
        <is>
          <t>VÄSTERNORRLANDS LÄN</t>
        </is>
      </c>
      <c r="E11942" t="inlineStr">
        <is>
          <t>SOLLEFTEÅ</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1272-2024</t>
        </is>
      </c>
      <c r="B11943" s="1" t="n">
        <v>45302</v>
      </c>
      <c r="C11943" s="1" t="n">
        <v>45657</v>
      </c>
      <c r="D11943" t="inlineStr">
        <is>
          <t>VÄSTERNORRLANDS LÄN</t>
        </is>
      </c>
      <c r="E11943" t="inlineStr">
        <is>
          <t>TIMRÅ</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1276-2024</t>
        </is>
      </c>
      <c r="B11944" s="1" t="n">
        <v>45302</v>
      </c>
      <c r="C11944" s="1" t="n">
        <v>45657</v>
      </c>
      <c r="D11944" t="inlineStr">
        <is>
          <t>VÄSTERNORRLANDS LÄN</t>
        </is>
      </c>
      <c r="E11944" t="inlineStr">
        <is>
          <t>KRAMFORS</t>
        </is>
      </c>
      <c r="F11944" t="inlineStr">
        <is>
          <t>SCA</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1410-2024</t>
        </is>
      </c>
      <c r="B11945" s="1" t="n">
        <v>45303</v>
      </c>
      <c r="C11945" s="1" t="n">
        <v>45657</v>
      </c>
      <c r="D11945" t="inlineStr">
        <is>
          <t>VÄSTERNORRLANDS LÄN</t>
        </is>
      </c>
      <c r="E11945" t="inlineStr">
        <is>
          <t>ÖRNSKÖLDSVIK</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1377-2024</t>
        </is>
      </c>
      <c r="B11946" s="1" t="n">
        <v>45303</v>
      </c>
      <c r="C11946" s="1" t="n">
        <v>45657</v>
      </c>
      <c r="D11946" t="inlineStr">
        <is>
          <t>VÄSTERNORRLANDS LÄN</t>
        </is>
      </c>
      <c r="E11946" t="inlineStr">
        <is>
          <t>SUNDSVALL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1438-2024</t>
        </is>
      </c>
      <c r="B11947" s="1" t="n">
        <v>45303</v>
      </c>
      <c r="C11947" s="1" t="n">
        <v>45657</v>
      </c>
      <c r="D11947" t="inlineStr">
        <is>
          <t>VÄSTERNORRLANDS LÄN</t>
        </is>
      </c>
      <c r="E11947" t="inlineStr">
        <is>
          <t>KRAMFORS</t>
        </is>
      </c>
      <c r="G11947" t="n">
        <v>10.3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1350-2024</t>
        </is>
      </c>
      <c r="B11948" s="1" t="n">
        <v>45303</v>
      </c>
      <c r="C11948" s="1" t="n">
        <v>45657</v>
      </c>
      <c r="D11948" t="inlineStr">
        <is>
          <t>VÄSTERNORRLANDS LÄN</t>
        </is>
      </c>
      <c r="E11948" t="inlineStr">
        <is>
          <t>SUNDSVALL</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1380-2024</t>
        </is>
      </c>
      <c r="B11949" s="1" t="n">
        <v>45303</v>
      </c>
      <c r="C11949" s="1" t="n">
        <v>45657</v>
      </c>
      <c r="D11949" t="inlineStr">
        <is>
          <t>VÄSTERNORRLANDS LÄN</t>
        </is>
      </c>
      <c r="E11949" t="inlineStr">
        <is>
          <t>SUNDSVALL</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1404-2024</t>
        </is>
      </c>
      <c r="B11950" s="1" t="n">
        <v>45303</v>
      </c>
      <c r="C11950" s="1" t="n">
        <v>45657</v>
      </c>
      <c r="D11950" t="inlineStr">
        <is>
          <t>VÄSTERNORRLANDS LÄN</t>
        </is>
      </c>
      <c r="E11950" t="inlineStr">
        <is>
          <t>ÖRNSKÖLDSVIK</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1416-2024</t>
        </is>
      </c>
      <c r="B11951" s="1" t="n">
        <v>45303</v>
      </c>
      <c r="C11951" s="1" t="n">
        <v>45657</v>
      </c>
      <c r="D11951" t="inlineStr">
        <is>
          <t>VÄSTERNORRLANDS LÄN</t>
        </is>
      </c>
      <c r="E11951" t="inlineStr">
        <is>
          <t>ÖRNSKÖLDSVIK</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1428-2024</t>
        </is>
      </c>
      <c r="B11952" s="1" t="n">
        <v>45303</v>
      </c>
      <c r="C11952" s="1" t="n">
        <v>45657</v>
      </c>
      <c r="D11952" t="inlineStr">
        <is>
          <t>VÄSTERNORRLANDS LÄN</t>
        </is>
      </c>
      <c r="E11952" t="inlineStr">
        <is>
          <t>SUNDSVALL</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1459-2024</t>
        </is>
      </c>
      <c r="B11953" s="1" t="n">
        <v>45303</v>
      </c>
      <c r="C11953" s="1" t="n">
        <v>45657</v>
      </c>
      <c r="D11953" t="inlineStr">
        <is>
          <t>VÄSTERNORRLANDS LÄN</t>
        </is>
      </c>
      <c r="E11953" t="inlineStr">
        <is>
          <t>SOLLEFTEÅ</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1467-2024</t>
        </is>
      </c>
      <c r="B11954" s="1" t="n">
        <v>45303</v>
      </c>
      <c r="C11954" s="1" t="n">
        <v>45657</v>
      </c>
      <c r="D11954" t="inlineStr">
        <is>
          <t>VÄSTERNORRLANDS LÄN</t>
        </is>
      </c>
      <c r="E11954" t="inlineStr">
        <is>
          <t>TIMRÅ</t>
        </is>
      </c>
      <c r="F11954" t="inlineStr">
        <is>
          <t>SCA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1487-2024</t>
        </is>
      </c>
      <c r="B11955" s="1" t="n">
        <v>45305</v>
      </c>
      <c r="C11955" s="1" t="n">
        <v>45657</v>
      </c>
      <c r="D11955" t="inlineStr">
        <is>
          <t>VÄSTERNORRLANDS LÄN</t>
        </is>
      </c>
      <c r="E11955" t="inlineStr">
        <is>
          <t>ÖRNSKÖLDSVIK</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1485-2024</t>
        </is>
      </c>
      <c r="B11956" s="1" t="n">
        <v>45305</v>
      </c>
      <c r="C11956" s="1" t="n">
        <v>45657</v>
      </c>
      <c r="D11956" t="inlineStr">
        <is>
          <t>VÄSTERNORRLANDS LÄN</t>
        </is>
      </c>
      <c r="E11956" t="inlineStr">
        <is>
          <t>ÖRNSKÖLDSVIK</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1559-2024</t>
        </is>
      </c>
      <c r="B11957" s="1" t="n">
        <v>45306</v>
      </c>
      <c r="C11957" s="1" t="n">
        <v>45657</v>
      </c>
      <c r="D11957" t="inlineStr">
        <is>
          <t>VÄSTERNORRLANDS LÄN</t>
        </is>
      </c>
      <c r="E11957" t="inlineStr">
        <is>
          <t>ÖRNSKÖLDSVIK</t>
        </is>
      </c>
      <c r="F11957" t="inlineStr">
        <is>
          <t>Holmen skog AB</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1563-2024</t>
        </is>
      </c>
      <c r="B11958" s="1" t="n">
        <v>45306</v>
      </c>
      <c r="C11958" s="1" t="n">
        <v>45657</v>
      </c>
      <c r="D11958" t="inlineStr">
        <is>
          <t>VÄSTERNORRLANDS LÄN</t>
        </is>
      </c>
      <c r="E11958" t="inlineStr">
        <is>
          <t>ÖRNSKÖLDSVIK</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1524-2024</t>
        </is>
      </c>
      <c r="B11959" s="1" t="n">
        <v>45306</v>
      </c>
      <c r="C11959" s="1" t="n">
        <v>45657</v>
      </c>
      <c r="D11959" t="inlineStr">
        <is>
          <t>VÄSTERNORRLANDS LÄN</t>
        </is>
      </c>
      <c r="E11959" t="inlineStr">
        <is>
          <t>ÅNGE</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1585-2024</t>
        </is>
      </c>
      <c r="B11960" s="1" t="n">
        <v>45306</v>
      </c>
      <c r="C11960" s="1" t="n">
        <v>45657</v>
      </c>
      <c r="D11960" t="inlineStr">
        <is>
          <t>VÄSTERNORRLANDS LÄN</t>
        </is>
      </c>
      <c r="E11960" t="inlineStr">
        <is>
          <t>KRAMFORS</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1589-2024</t>
        </is>
      </c>
      <c r="B11961" s="1" t="n">
        <v>45306</v>
      </c>
      <c r="C11961" s="1" t="n">
        <v>45657</v>
      </c>
      <c r="D11961" t="inlineStr">
        <is>
          <t>VÄSTERNORRLANDS LÄN</t>
        </is>
      </c>
      <c r="E11961" t="inlineStr">
        <is>
          <t>ÖRNSKÖLDSVIK</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1674-2024</t>
        </is>
      </c>
      <c r="B11962" s="1" t="n">
        <v>45306</v>
      </c>
      <c r="C11962" s="1" t="n">
        <v>45657</v>
      </c>
      <c r="D11962" t="inlineStr">
        <is>
          <t>VÄSTERNORRLANDS LÄN</t>
        </is>
      </c>
      <c r="E11962" t="inlineStr">
        <is>
          <t>SUNDSVALL</t>
        </is>
      </c>
      <c r="F11962" t="inlineStr">
        <is>
          <t>SCA</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1678-2024</t>
        </is>
      </c>
      <c r="B11963" s="1" t="n">
        <v>45307</v>
      </c>
      <c r="C11963" s="1" t="n">
        <v>45657</v>
      </c>
      <c r="D11963" t="inlineStr">
        <is>
          <t>VÄSTERNORRLANDS LÄN</t>
        </is>
      </c>
      <c r="E11963" t="inlineStr">
        <is>
          <t>SOLLEFTEÅ</t>
        </is>
      </c>
      <c r="F11963" t="inlineStr">
        <is>
          <t>SCA</t>
        </is>
      </c>
      <c r="G11963" t="n">
        <v>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1673-2024</t>
        </is>
      </c>
      <c r="B11964" s="1" t="n">
        <v>45307</v>
      </c>
      <c r="C11964" s="1" t="n">
        <v>45657</v>
      </c>
      <c r="D11964" t="inlineStr">
        <is>
          <t>VÄSTERNORRLANDS LÄN</t>
        </is>
      </c>
      <c r="E11964" t="inlineStr">
        <is>
          <t>SUNDSVALL</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1675-2024</t>
        </is>
      </c>
      <c r="B11965" s="1" t="n">
        <v>45306</v>
      </c>
      <c r="C11965" s="1" t="n">
        <v>45657</v>
      </c>
      <c r="D11965" t="inlineStr">
        <is>
          <t>VÄSTERNORRLANDS LÄN</t>
        </is>
      </c>
      <c r="E11965" t="inlineStr">
        <is>
          <t>TIMRÅ</t>
        </is>
      </c>
      <c r="F11965" t="inlineStr">
        <is>
          <t>SCA</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1679-2024</t>
        </is>
      </c>
      <c r="B11966" s="1" t="n">
        <v>45306</v>
      </c>
      <c r="C11966" s="1" t="n">
        <v>45657</v>
      </c>
      <c r="D11966" t="inlineStr">
        <is>
          <t>VÄSTERNORRLANDS LÄN</t>
        </is>
      </c>
      <c r="E11966" t="inlineStr">
        <is>
          <t>SOLLEFTEÅ</t>
        </is>
      </c>
      <c r="F11966" t="inlineStr">
        <is>
          <t>SCA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1683-2024</t>
        </is>
      </c>
      <c r="B11967" s="1" t="n">
        <v>45307</v>
      </c>
      <c r="C11967" s="1" t="n">
        <v>45657</v>
      </c>
      <c r="D11967" t="inlineStr">
        <is>
          <t>VÄSTERNORRLANDS LÄN</t>
        </is>
      </c>
      <c r="E11967" t="inlineStr">
        <is>
          <t>TIMRÅ</t>
        </is>
      </c>
      <c r="F11967" t="inlineStr">
        <is>
          <t>SCA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1703-2024</t>
        </is>
      </c>
      <c r="B11968" s="1" t="n">
        <v>45307</v>
      </c>
      <c r="C11968" s="1" t="n">
        <v>45657</v>
      </c>
      <c r="D11968" t="inlineStr">
        <is>
          <t>VÄSTERNORRLANDS LÄN</t>
        </is>
      </c>
      <c r="E11968" t="inlineStr">
        <is>
          <t>ÖRNSKÖLDSVIK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1819-2024</t>
        </is>
      </c>
      <c r="B11969" s="1" t="n">
        <v>45307</v>
      </c>
      <c r="C11969" s="1" t="n">
        <v>45657</v>
      </c>
      <c r="D11969" t="inlineStr">
        <is>
          <t>VÄSTERNORRLANDS LÄN</t>
        </is>
      </c>
      <c r="E11969" t="inlineStr">
        <is>
          <t>ÖRNSKÖLDSVIK</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1831-2024</t>
        </is>
      </c>
      <c r="B11970" s="1" t="n">
        <v>45307</v>
      </c>
      <c r="C11970" s="1" t="n">
        <v>45657</v>
      </c>
      <c r="D11970" t="inlineStr">
        <is>
          <t>VÄSTERNORRLANDS LÄN</t>
        </is>
      </c>
      <c r="E11970" t="inlineStr">
        <is>
          <t>ÖRNSKÖLDSVIK</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1783-2024</t>
        </is>
      </c>
      <c r="B11971" s="1" t="n">
        <v>45307</v>
      </c>
      <c r="C11971" s="1" t="n">
        <v>45657</v>
      </c>
      <c r="D11971" t="inlineStr">
        <is>
          <t>VÄSTERNORRLANDS LÄN</t>
        </is>
      </c>
      <c r="E11971" t="inlineStr">
        <is>
          <t>KRAMFORS</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1840-2024</t>
        </is>
      </c>
      <c r="B11972" s="1" t="n">
        <v>45307</v>
      </c>
      <c r="C11972" s="1" t="n">
        <v>45657</v>
      </c>
      <c r="D11972" t="inlineStr">
        <is>
          <t>VÄSTERNORRLANDS LÄN</t>
        </is>
      </c>
      <c r="E11972" t="inlineStr">
        <is>
          <t>SOLLEFTEÅ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1844-2024</t>
        </is>
      </c>
      <c r="B11973" s="1" t="n">
        <v>45307</v>
      </c>
      <c r="C11973" s="1" t="n">
        <v>45657</v>
      </c>
      <c r="D11973" t="inlineStr">
        <is>
          <t>VÄSTERNORRLANDS LÄN</t>
        </is>
      </c>
      <c r="E11973" t="inlineStr">
        <is>
          <t>SOLLEFTEÅ</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1848-2024</t>
        </is>
      </c>
      <c r="B11974" s="1" t="n">
        <v>45307</v>
      </c>
      <c r="C11974" s="1" t="n">
        <v>45657</v>
      </c>
      <c r="D11974" t="inlineStr">
        <is>
          <t>VÄSTERNORRLANDS LÄN</t>
        </is>
      </c>
      <c r="E11974" t="inlineStr">
        <is>
          <t>SOLLEFTEÅ</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1880-2024</t>
        </is>
      </c>
      <c r="B11975" s="1" t="n">
        <v>45307</v>
      </c>
      <c r="C11975" s="1" t="n">
        <v>45657</v>
      </c>
      <c r="D11975" t="inlineStr">
        <is>
          <t>VÄSTERNORRLANDS LÄN</t>
        </is>
      </c>
      <c r="E11975" t="inlineStr">
        <is>
          <t>SOLLEFTEÅ</t>
        </is>
      </c>
      <c r="F11975" t="inlineStr">
        <is>
          <t>SCA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1878-2024</t>
        </is>
      </c>
      <c r="B11976" s="1" t="n">
        <v>45307</v>
      </c>
      <c r="C11976" s="1" t="n">
        <v>45657</v>
      </c>
      <c r="D11976" t="inlineStr">
        <is>
          <t>VÄSTERNORRLANDS LÄN</t>
        </is>
      </c>
      <c r="E11976" t="inlineStr">
        <is>
          <t>SOLLEFTEÅ</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1886-2024</t>
        </is>
      </c>
      <c r="B11977" s="1" t="n">
        <v>45308</v>
      </c>
      <c r="C11977" s="1" t="n">
        <v>45657</v>
      </c>
      <c r="D11977" t="inlineStr">
        <is>
          <t>VÄSTERNORRLANDS LÄN</t>
        </is>
      </c>
      <c r="E11977" t="inlineStr">
        <is>
          <t>ÅNGE</t>
        </is>
      </c>
      <c r="F11977" t="inlineStr">
        <is>
          <t>SCA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1885-2024</t>
        </is>
      </c>
      <c r="B11978" s="1" t="n">
        <v>45308</v>
      </c>
      <c r="C11978" s="1" t="n">
        <v>45657</v>
      </c>
      <c r="D11978" t="inlineStr">
        <is>
          <t>VÄSTERNORRLANDS LÄN</t>
        </is>
      </c>
      <c r="E11978" t="inlineStr">
        <is>
          <t>SUNDSVALL</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1905-2024</t>
        </is>
      </c>
      <c r="B11979" s="1" t="n">
        <v>45308</v>
      </c>
      <c r="C11979" s="1" t="n">
        <v>45657</v>
      </c>
      <c r="D11979" t="inlineStr">
        <is>
          <t>VÄSTERNORRLANDS LÄN</t>
        </is>
      </c>
      <c r="E11979" t="inlineStr">
        <is>
          <t>ÖRNSKÖLDSVIK</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1941-2024</t>
        </is>
      </c>
      <c r="B11980" s="1" t="n">
        <v>45308</v>
      </c>
      <c r="C11980" s="1" t="n">
        <v>45657</v>
      </c>
      <c r="D11980" t="inlineStr">
        <is>
          <t>VÄSTERNORRLANDS LÄN</t>
        </is>
      </c>
      <c r="E11980" t="inlineStr">
        <is>
          <t>ÖRNSKÖLDSVIK</t>
        </is>
      </c>
      <c r="F11980" t="inlineStr">
        <is>
          <t>Holmen skog AB</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1901-2024</t>
        </is>
      </c>
      <c r="B11981" s="1" t="n">
        <v>45308</v>
      </c>
      <c r="C11981" s="1" t="n">
        <v>45657</v>
      </c>
      <c r="D11981" t="inlineStr">
        <is>
          <t>VÄSTERNORRLANDS LÄN</t>
        </is>
      </c>
      <c r="E11981" t="inlineStr">
        <is>
          <t>ÖRNSKÖLDSVIK</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1906-2024</t>
        </is>
      </c>
      <c r="B11982" s="1" t="n">
        <v>45308</v>
      </c>
      <c r="C11982" s="1" t="n">
        <v>45657</v>
      </c>
      <c r="D11982" t="inlineStr">
        <is>
          <t>VÄSTERNORRLANDS LÄN</t>
        </is>
      </c>
      <c r="E11982" t="inlineStr">
        <is>
          <t>ÖRNSKÖLDSVIK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1930-2024</t>
        </is>
      </c>
      <c r="B11983" s="1" t="n">
        <v>45308</v>
      </c>
      <c r="C11983" s="1" t="n">
        <v>45657</v>
      </c>
      <c r="D11983" t="inlineStr">
        <is>
          <t>VÄSTERNORRLANDS LÄN</t>
        </is>
      </c>
      <c r="E11983" t="inlineStr">
        <is>
          <t>SUNDSVALL</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1898-2024</t>
        </is>
      </c>
      <c r="B11984" s="1" t="n">
        <v>45308</v>
      </c>
      <c r="C11984" s="1" t="n">
        <v>45657</v>
      </c>
      <c r="D11984" t="inlineStr">
        <is>
          <t>VÄSTERNORRLANDS LÄN</t>
        </is>
      </c>
      <c r="E11984" t="inlineStr">
        <is>
          <t>ÖRNSKÖLDSVIK</t>
        </is>
      </c>
      <c r="F11984" t="inlineStr">
        <is>
          <t>Holmen skog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1959-2024</t>
        </is>
      </c>
      <c r="B11985" s="1" t="n">
        <v>45308</v>
      </c>
      <c r="C11985" s="1" t="n">
        <v>45657</v>
      </c>
      <c r="D11985" t="inlineStr">
        <is>
          <t>VÄSTERNORRLANDS LÄN</t>
        </is>
      </c>
      <c r="E11985" t="inlineStr">
        <is>
          <t>SUNDSVALL</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1989-2024</t>
        </is>
      </c>
      <c r="B11986" s="1" t="n">
        <v>45308</v>
      </c>
      <c r="C11986" s="1" t="n">
        <v>45657</v>
      </c>
      <c r="D11986" t="inlineStr">
        <is>
          <t>VÄSTERNORRLANDS LÄN</t>
        </is>
      </c>
      <c r="E11986" t="inlineStr">
        <is>
          <t>SUNDSVALL</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2062-2024</t>
        </is>
      </c>
      <c r="B11987" s="1" t="n">
        <v>45308</v>
      </c>
      <c r="C11987" s="1" t="n">
        <v>45657</v>
      </c>
      <c r="D11987" t="inlineStr">
        <is>
          <t>VÄSTERNORRLANDS LÄN</t>
        </is>
      </c>
      <c r="E11987" t="inlineStr">
        <is>
          <t>TIMRÅ</t>
        </is>
      </c>
      <c r="F11987" t="inlineStr">
        <is>
          <t>SCA</t>
        </is>
      </c>
      <c r="G11987" t="n">
        <v>8.1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2041-2024</t>
        </is>
      </c>
      <c r="B11988" s="1" t="n">
        <v>45308</v>
      </c>
      <c r="C11988" s="1" t="n">
        <v>45657</v>
      </c>
      <c r="D11988" t="inlineStr">
        <is>
          <t>VÄSTERNORRLANDS LÄN</t>
        </is>
      </c>
      <c r="E11988" t="inlineStr">
        <is>
          <t>ÖRNSKÖLDSVIK</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2053-2024</t>
        </is>
      </c>
      <c r="B11989" s="1" t="n">
        <v>45308</v>
      </c>
      <c r="C11989" s="1" t="n">
        <v>45657</v>
      </c>
      <c r="D11989" t="inlineStr">
        <is>
          <t>VÄSTERNORRLANDS LÄN</t>
        </is>
      </c>
      <c r="E11989" t="inlineStr">
        <is>
          <t>ÖRNSKÖLDSVIK</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2060-2024</t>
        </is>
      </c>
      <c r="B11990" s="1" t="n">
        <v>45309</v>
      </c>
      <c r="C11990" s="1" t="n">
        <v>45657</v>
      </c>
      <c r="D11990" t="inlineStr">
        <is>
          <t>VÄSTERNORRLANDS LÄN</t>
        </is>
      </c>
      <c r="E11990" t="inlineStr">
        <is>
          <t>ÅNGE</t>
        </is>
      </c>
      <c r="F11990" t="inlineStr">
        <is>
          <t>SCA</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2136-2024</t>
        </is>
      </c>
      <c r="B11991" s="1" t="n">
        <v>45309</v>
      </c>
      <c r="C11991" s="1" t="n">
        <v>45657</v>
      </c>
      <c r="D11991" t="inlineStr">
        <is>
          <t>VÄSTERNORRLANDS LÄN</t>
        </is>
      </c>
      <c r="E11991" t="inlineStr">
        <is>
          <t>ÖRNSKÖLDSVIK</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2124-2024</t>
        </is>
      </c>
      <c r="B11992" s="1" t="n">
        <v>45309</v>
      </c>
      <c r="C11992" s="1" t="n">
        <v>45657</v>
      </c>
      <c r="D11992" t="inlineStr">
        <is>
          <t>VÄSTERNORRLANDS LÄN</t>
        </is>
      </c>
      <c r="E11992" t="inlineStr">
        <is>
          <t>ÅNGE</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2122-2024</t>
        </is>
      </c>
      <c r="B11993" s="1" t="n">
        <v>45309</v>
      </c>
      <c r="C11993" s="1" t="n">
        <v>45657</v>
      </c>
      <c r="D11993" t="inlineStr">
        <is>
          <t>VÄSTERNORRLANDS LÄN</t>
        </is>
      </c>
      <c r="E11993" t="inlineStr">
        <is>
          <t>ÖRNSKÖLDSVIK</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2121-2024</t>
        </is>
      </c>
      <c r="B11994" s="1" t="n">
        <v>45309</v>
      </c>
      <c r="C11994" s="1" t="n">
        <v>45657</v>
      </c>
      <c r="D11994" t="inlineStr">
        <is>
          <t>VÄSTERNORRLANDS LÄN</t>
        </is>
      </c>
      <c r="E11994" t="inlineStr">
        <is>
          <t>ÅNGE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2129-2024</t>
        </is>
      </c>
      <c r="B11995" s="1" t="n">
        <v>45309</v>
      </c>
      <c r="C11995" s="1" t="n">
        <v>45657</v>
      </c>
      <c r="D11995" t="inlineStr">
        <is>
          <t>VÄSTERNORRLANDS LÄN</t>
        </is>
      </c>
      <c r="E11995" t="inlineStr">
        <is>
          <t>ÖRNSKÖLDSVIK</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2223-2024</t>
        </is>
      </c>
      <c r="B11996" s="1" t="n">
        <v>45309</v>
      </c>
      <c r="C11996" s="1" t="n">
        <v>45657</v>
      </c>
      <c r="D11996" t="inlineStr">
        <is>
          <t>VÄSTERNORRLANDS LÄN</t>
        </is>
      </c>
      <c r="E11996" t="inlineStr">
        <is>
          <t>SOLLEFTEÅ</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2232-2024</t>
        </is>
      </c>
      <c r="B11997" s="1" t="n">
        <v>45309</v>
      </c>
      <c r="C11997" s="1" t="n">
        <v>45657</v>
      </c>
      <c r="D11997" t="inlineStr">
        <is>
          <t>VÄSTERNORRLANDS LÄN</t>
        </is>
      </c>
      <c r="E11997" t="inlineStr">
        <is>
          <t>SOLLEFTEÅ</t>
        </is>
      </c>
      <c r="F11997" t="inlineStr">
        <is>
          <t>SCA</t>
        </is>
      </c>
      <c r="G11997" t="n">
        <v>58.3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2229-2024</t>
        </is>
      </c>
      <c r="B11998" s="1" t="n">
        <v>45309</v>
      </c>
      <c r="C11998" s="1" t="n">
        <v>45657</v>
      </c>
      <c r="D11998" t="inlineStr">
        <is>
          <t>VÄSTERNORRLANDS LÄN</t>
        </is>
      </c>
      <c r="E11998" t="inlineStr">
        <is>
          <t>SOLLEFTEÅ</t>
        </is>
      </c>
      <c r="F11998" t="inlineStr">
        <is>
          <t>SCA</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2233-2024</t>
        </is>
      </c>
      <c r="B11999" s="1" t="n">
        <v>45309</v>
      </c>
      <c r="C11999" s="1" t="n">
        <v>45657</v>
      </c>
      <c r="D11999" t="inlineStr">
        <is>
          <t>VÄSTERNORRLANDS LÄN</t>
        </is>
      </c>
      <c r="E11999" t="inlineStr">
        <is>
          <t>SOLLEFTEÅ</t>
        </is>
      </c>
      <c r="F11999" t="inlineStr">
        <is>
          <t>SCA</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2226-2024</t>
        </is>
      </c>
      <c r="B12000" s="1" t="n">
        <v>45309</v>
      </c>
      <c r="C12000" s="1" t="n">
        <v>45657</v>
      </c>
      <c r="D12000" t="inlineStr">
        <is>
          <t>VÄSTERNORRLANDS LÄN</t>
        </is>
      </c>
      <c r="E12000" t="inlineStr">
        <is>
          <t>ÖRNSKÖLDSVIK</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2230-2024</t>
        </is>
      </c>
      <c r="B12001" s="1" t="n">
        <v>45309</v>
      </c>
      <c r="C12001" s="1" t="n">
        <v>45657</v>
      </c>
      <c r="D12001" t="inlineStr">
        <is>
          <t>VÄSTERNORRLANDS LÄN</t>
        </is>
      </c>
      <c r="E12001" t="inlineStr">
        <is>
          <t>SUNDSVALL</t>
        </is>
      </c>
      <c r="F12001" t="inlineStr">
        <is>
          <t>SCA</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2239-2024</t>
        </is>
      </c>
      <c r="B12002" s="1" t="n">
        <v>45309</v>
      </c>
      <c r="C12002" s="1" t="n">
        <v>45657</v>
      </c>
      <c r="D12002" t="inlineStr">
        <is>
          <t>VÄSTERNORRLANDS LÄN</t>
        </is>
      </c>
      <c r="E12002" t="inlineStr">
        <is>
          <t>SUNDSVALL</t>
        </is>
      </c>
      <c r="F12002" t="inlineStr">
        <is>
          <t>SCA</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2313-2024</t>
        </is>
      </c>
      <c r="B12003" s="1" t="n">
        <v>45310</v>
      </c>
      <c r="C12003" s="1" t="n">
        <v>45657</v>
      </c>
      <c r="D12003" t="inlineStr">
        <is>
          <t>VÄSTERNORRLANDS LÄN</t>
        </is>
      </c>
      <c r="E12003" t="inlineStr">
        <is>
          <t>ÖRNSKÖLDSVIK</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2317-2024</t>
        </is>
      </c>
      <c r="B12004" s="1" t="n">
        <v>45310</v>
      </c>
      <c r="C12004" s="1" t="n">
        <v>45657</v>
      </c>
      <c r="D12004" t="inlineStr">
        <is>
          <t>VÄSTERNORRLANDS LÄN</t>
        </is>
      </c>
      <c r="E12004" t="inlineStr">
        <is>
          <t>ÖRNSKÖLDSVIK</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2334-2024</t>
        </is>
      </c>
      <c r="B12005" s="1" t="n">
        <v>45310</v>
      </c>
      <c r="C12005" s="1" t="n">
        <v>45657</v>
      </c>
      <c r="D12005" t="inlineStr">
        <is>
          <t>VÄSTERNORRLANDS LÄN</t>
        </is>
      </c>
      <c r="E12005" t="inlineStr">
        <is>
          <t>ÖRNSKÖLDSVIK</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2338-2024</t>
        </is>
      </c>
      <c r="B12006" s="1" t="n">
        <v>45310</v>
      </c>
      <c r="C12006" s="1" t="n">
        <v>45657</v>
      </c>
      <c r="D12006" t="inlineStr">
        <is>
          <t>VÄSTERNORRLANDS LÄN</t>
        </is>
      </c>
      <c r="E12006" t="inlineStr">
        <is>
          <t>ÖRNSKÖLDSVIK</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2372-2024</t>
        </is>
      </c>
      <c r="B12007" s="1" t="n">
        <v>45310</v>
      </c>
      <c r="C12007" s="1" t="n">
        <v>45657</v>
      </c>
      <c r="D12007" t="inlineStr">
        <is>
          <t>VÄSTERNORRLANDS LÄN</t>
        </is>
      </c>
      <c r="E12007" t="inlineStr">
        <is>
          <t>ÅNGE</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2365-2024</t>
        </is>
      </c>
      <c r="B12008" s="1" t="n">
        <v>45310</v>
      </c>
      <c r="C12008" s="1" t="n">
        <v>45657</v>
      </c>
      <c r="D12008" t="inlineStr">
        <is>
          <t>VÄSTERNORRLANDS LÄN</t>
        </is>
      </c>
      <c r="E12008" t="inlineStr">
        <is>
          <t>ÅNGE</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2373-2024</t>
        </is>
      </c>
      <c r="B12009" s="1" t="n">
        <v>45310</v>
      </c>
      <c r="C12009" s="1" t="n">
        <v>45657</v>
      </c>
      <c r="D12009" t="inlineStr">
        <is>
          <t>VÄSTERNORRLANDS LÄN</t>
        </is>
      </c>
      <c r="E12009" t="inlineStr">
        <is>
          <t>SUNDSVALL</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2403-2024</t>
        </is>
      </c>
      <c r="B12010" s="1" t="n">
        <v>45310</v>
      </c>
      <c r="C12010" s="1" t="n">
        <v>45657</v>
      </c>
      <c r="D12010" t="inlineStr">
        <is>
          <t>VÄSTERNORRLANDS LÄN</t>
        </is>
      </c>
      <c r="E12010" t="inlineStr">
        <is>
          <t>ÖRNSKÖLDSVIK</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2432-2024</t>
        </is>
      </c>
      <c r="B12011" s="1" t="n">
        <v>45310</v>
      </c>
      <c r="C12011" s="1" t="n">
        <v>45657</v>
      </c>
      <c r="D12011" t="inlineStr">
        <is>
          <t>VÄSTERNORRLANDS LÄN</t>
        </is>
      </c>
      <c r="E12011" t="inlineStr">
        <is>
          <t>ÅNGE</t>
        </is>
      </c>
      <c r="F12011" t="inlineStr">
        <is>
          <t>SCA</t>
        </is>
      </c>
      <c r="G12011" t="n">
        <v>12.5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2404-2024</t>
        </is>
      </c>
      <c r="B12012" s="1" t="n">
        <v>45310</v>
      </c>
      <c r="C12012" s="1" t="n">
        <v>45657</v>
      </c>
      <c r="D12012" t="inlineStr">
        <is>
          <t>VÄSTERNORRLANDS LÄN</t>
        </is>
      </c>
      <c r="E12012" t="inlineStr">
        <is>
          <t>ÖRNSKÖLDSVIK</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2415-2024</t>
        </is>
      </c>
      <c r="B12013" s="1" t="n">
        <v>45310</v>
      </c>
      <c r="C12013" s="1" t="n">
        <v>45657</v>
      </c>
      <c r="D12013" t="inlineStr">
        <is>
          <t>VÄSTERNORRLANDS LÄN</t>
        </is>
      </c>
      <c r="E12013" t="inlineStr">
        <is>
          <t>ÅNGE</t>
        </is>
      </c>
      <c r="F12013" t="inlineStr">
        <is>
          <t>Kyrkan</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2419-2024</t>
        </is>
      </c>
      <c r="B12014" s="1" t="n">
        <v>45310</v>
      </c>
      <c r="C12014" s="1" t="n">
        <v>45657</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2436-2024</t>
        </is>
      </c>
      <c r="B12015" s="1" t="n">
        <v>45310</v>
      </c>
      <c r="C12015" s="1" t="n">
        <v>45657</v>
      </c>
      <c r="D12015" t="inlineStr">
        <is>
          <t>VÄSTERNORRLANDS LÄN</t>
        </is>
      </c>
      <c r="E12015" t="inlineStr">
        <is>
          <t>ÅNGE</t>
        </is>
      </c>
      <c r="F12015" t="inlineStr">
        <is>
          <t>SCA</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2435-2024</t>
        </is>
      </c>
      <c r="B12016" s="1" t="n">
        <v>45310</v>
      </c>
      <c r="C12016" s="1" t="n">
        <v>45657</v>
      </c>
      <c r="D12016" t="inlineStr">
        <is>
          <t>VÄSTERNORRLANDS LÄN</t>
        </is>
      </c>
      <c r="E12016" t="inlineStr">
        <is>
          <t>ÅNGE</t>
        </is>
      </c>
      <c r="F12016" t="inlineStr">
        <is>
          <t>SCA</t>
        </is>
      </c>
      <c r="G12016" t="n">
        <v>12.8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2425-2024</t>
        </is>
      </c>
      <c r="B12017" s="1" t="n">
        <v>45310</v>
      </c>
      <c r="C12017" s="1" t="n">
        <v>45657</v>
      </c>
      <c r="D12017" t="inlineStr">
        <is>
          <t>VÄSTERNORRLANDS LÄN</t>
        </is>
      </c>
      <c r="E12017" t="inlineStr">
        <is>
          <t>SOLLEFTEÅ</t>
        </is>
      </c>
      <c r="F12017" t="inlineStr">
        <is>
          <t>SCA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2405-2024</t>
        </is>
      </c>
      <c r="B12018" s="1" t="n">
        <v>45310</v>
      </c>
      <c r="C12018" s="1" t="n">
        <v>45657</v>
      </c>
      <c r="D12018" t="inlineStr">
        <is>
          <t>VÄSTERNORRLANDS LÄN</t>
        </is>
      </c>
      <c r="E12018" t="inlineStr">
        <is>
          <t>ÖRNSKÖLDSVIK</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2434-2024</t>
        </is>
      </c>
      <c r="B12019" s="1" t="n">
        <v>45310</v>
      </c>
      <c r="C12019" s="1" t="n">
        <v>45657</v>
      </c>
      <c r="D12019" t="inlineStr">
        <is>
          <t>VÄSTERNORRLANDS LÄN</t>
        </is>
      </c>
      <c r="E12019" t="inlineStr">
        <is>
          <t>ÅNGE</t>
        </is>
      </c>
      <c r="F12019" t="inlineStr">
        <is>
          <t>SCA</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2433-2024</t>
        </is>
      </c>
      <c r="B12020" s="1" t="n">
        <v>45310</v>
      </c>
      <c r="C12020" s="1" t="n">
        <v>45657</v>
      </c>
      <c r="D12020" t="inlineStr">
        <is>
          <t>VÄSTERNORRLANDS LÄN</t>
        </is>
      </c>
      <c r="E12020" t="inlineStr">
        <is>
          <t>ÅNGE</t>
        </is>
      </c>
      <c r="F12020" t="inlineStr">
        <is>
          <t>SCA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2451-2024</t>
        </is>
      </c>
      <c r="B12021" s="1" t="n">
        <v>45312</v>
      </c>
      <c r="C12021" s="1" t="n">
        <v>45657</v>
      </c>
      <c r="D12021" t="inlineStr">
        <is>
          <t>VÄSTERNORRLANDS LÄN</t>
        </is>
      </c>
      <c r="E12021" t="inlineStr">
        <is>
          <t>ÅNGE</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2477-2024</t>
        </is>
      </c>
      <c r="B12022" s="1" t="n">
        <v>45313</v>
      </c>
      <c r="C12022" s="1" t="n">
        <v>45657</v>
      </c>
      <c r="D12022" t="inlineStr">
        <is>
          <t>VÄSTERNORRLANDS LÄN</t>
        </is>
      </c>
      <c r="E12022" t="inlineStr">
        <is>
          <t>ÖRNSKÖLDSVIK</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2492-2024</t>
        </is>
      </c>
      <c r="B12023" s="1" t="n">
        <v>45313</v>
      </c>
      <c r="C12023" s="1" t="n">
        <v>45657</v>
      </c>
      <c r="D12023" t="inlineStr">
        <is>
          <t>VÄSTERNORRLANDS LÄN</t>
        </is>
      </c>
      <c r="E12023" t="inlineStr">
        <is>
          <t>HÄRNÖSAND</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2500-2024</t>
        </is>
      </c>
      <c r="B12024" s="1" t="n">
        <v>45313</v>
      </c>
      <c r="C12024" s="1" t="n">
        <v>45657</v>
      </c>
      <c r="D12024" t="inlineStr">
        <is>
          <t>VÄSTERNORRLANDS LÄN</t>
        </is>
      </c>
      <c r="E12024" t="inlineStr">
        <is>
          <t>ÖRNSKÖLDSVIK</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2499-2024</t>
        </is>
      </c>
      <c r="B12025" s="1" t="n">
        <v>45313</v>
      </c>
      <c r="C12025" s="1" t="n">
        <v>45657</v>
      </c>
      <c r="D12025" t="inlineStr">
        <is>
          <t>VÄSTERNORRLANDS LÄN</t>
        </is>
      </c>
      <c r="E12025" t="inlineStr">
        <is>
          <t>ÖRNSKÖLDSVIK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2486-2024</t>
        </is>
      </c>
      <c r="B12026" s="1" t="n">
        <v>45313</v>
      </c>
      <c r="C12026" s="1" t="n">
        <v>45657</v>
      </c>
      <c r="D12026" t="inlineStr">
        <is>
          <t>VÄSTERNORRLANDS LÄN</t>
        </is>
      </c>
      <c r="E12026" t="inlineStr">
        <is>
          <t>HÄRNÖSAND</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2494-2024</t>
        </is>
      </c>
      <c r="B12027" s="1" t="n">
        <v>45313</v>
      </c>
      <c r="C12027" s="1" t="n">
        <v>45657</v>
      </c>
      <c r="D12027" t="inlineStr">
        <is>
          <t>VÄSTERNORRLANDS LÄN</t>
        </is>
      </c>
      <c r="E12027" t="inlineStr">
        <is>
          <t>HÄRNÖSAND</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2538-2024</t>
        </is>
      </c>
      <c r="B12028" s="1" t="n">
        <v>45313</v>
      </c>
      <c r="C12028" s="1" t="n">
        <v>45657</v>
      </c>
      <c r="D12028" t="inlineStr">
        <is>
          <t>VÄSTERNORRLANDS LÄN</t>
        </is>
      </c>
      <c r="E12028" t="inlineStr">
        <is>
          <t>ÖRNSKÖLDSVIK</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2581-2024</t>
        </is>
      </c>
      <c r="B12029" s="1" t="n">
        <v>45313</v>
      </c>
      <c r="C12029" s="1" t="n">
        <v>45657</v>
      </c>
      <c r="D12029" t="inlineStr">
        <is>
          <t>VÄSTERNORRLANDS LÄN</t>
        </is>
      </c>
      <c r="E12029" t="inlineStr">
        <is>
          <t>SUNDSVALL</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2587-2024</t>
        </is>
      </c>
      <c r="B12030" s="1" t="n">
        <v>45313</v>
      </c>
      <c r="C12030" s="1" t="n">
        <v>45657</v>
      </c>
      <c r="D12030" t="inlineStr">
        <is>
          <t>VÄSTERNORRLANDS LÄN</t>
        </is>
      </c>
      <c r="E12030" t="inlineStr">
        <is>
          <t>SUNDSVALL</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2622-2024</t>
        </is>
      </c>
      <c r="B12031" s="1" t="n">
        <v>45313</v>
      </c>
      <c r="C12031" s="1" t="n">
        <v>45657</v>
      </c>
      <c r="D12031" t="inlineStr">
        <is>
          <t>VÄSTERNORRLANDS LÄN</t>
        </is>
      </c>
      <c r="E12031" t="inlineStr">
        <is>
          <t>SUNDSVALL</t>
        </is>
      </c>
      <c r="G12031" t="n">
        <v>32.7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2620-2024</t>
        </is>
      </c>
      <c r="B12032" s="1" t="n">
        <v>45313</v>
      </c>
      <c r="C12032" s="1" t="n">
        <v>45657</v>
      </c>
      <c r="D12032" t="inlineStr">
        <is>
          <t>VÄSTERNORRLANDS LÄN</t>
        </is>
      </c>
      <c r="E12032" t="inlineStr">
        <is>
          <t>SUNDSVALL</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2541-2024</t>
        </is>
      </c>
      <c r="B12033" s="1" t="n">
        <v>45313</v>
      </c>
      <c r="C12033" s="1" t="n">
        <v>45657</v>
      </c>
      <c r="D12033" t="inlineStr">
        <is>
          <t>VÄSTERNORRLANDS LÄN</t>
        </is>
      </c>
      <c r="E12033" t="inlineStr">
        <is>
          <t>ÖRNSKÖLDSVIK</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2646-2024</t>
        </is>
      </c>
      <c r="B12034" s="1" t="n">
        <v>45314</v>
      </c>
      <c r="C12034" s="1" t="n">
        <v>45657</v>
      </c>
      <c r="D12034" t="inlineStr">
        <is>
          <t>VÄSTERNORRLANDS LÄN</t>
        </is>
      </c>
      <c r="E12034" t="inlineStr">
        <is>
          <t>ÖRNSKÖLDSVIK</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2703-2024</t>
        </is>
      </c>
      <c r="B12035" s="1" t="n">
        <v>45314</v>
      </c>
      <c r="C12035" s="1" t="n">
        <v>45657</v>
      </c>
      <c r="D12035" t="inlineStr">
        <is>
          <t>VÄSTERNORRLANDS LÄN</t>
        </is>
      </c>
      <c r="E12035" t="inlineStr">
        <is>
          <t>SOLLEFTEÅ</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2659-2024</t>
        </is>
      </c>
      <c r="B12036" s="1" t="n">
        <v>45314</v>
      </c>
      <c r="C12036" s="1" t="n">
        <v>45657</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2698-2024</t>
        </is>
      </c>
      <c r="B12037" s="1" t="n">
        <v>45314</v>
      </c>
      <c r="C12037" s="1" t="n">
        <v>45657</v>
      </c>
      <c r="D12037" t="inlineStr">
        <is>
          <t>VÄSTERNORRLANDS LÄN</t>
        </is>
      </c>
      <c r="E12037" t="inlineStr">
        <is>
          <t>HÄRNÖSAND</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2706-2024</t>
        </is>
      </c>
      <c r="B12038" s="1" t="n">
        <v>45314</v>
      </c>
      <c r="C12038" s="1" t="n">
        <v>45657</v>
      </c>
      <c r="D12038" t="inlineStr">
        <is>
          <t>VÄSTERNORRLANDS LÄN</t>
        </is>
      </c>
      <c r="E12038" t="inlineStr">
        <is>
          <t>ÖRNSKÖLDSVIK</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2788-2024</t>
        </is>
      </c>
      <c r="B12039" s="1" t="n">
        <v>45314</v>
      </c>
      <c r="C12039" s="1" t="n">
        <v>45657</v>
      </c>
      <c r="D12039" t="inlineStr">
        <is>
          <t>VÄSTERNORRLANDS LÄN</t>
        </is>
      </c>
      <c r="E12039" t="inlineStr">
        <is>
          <t>ÅNGE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2816-2024</t>
        </is>
      </c>
      <c r="B12040" s="1" t="n">
        <v>45314</v>
      </c>
      <c r="C12040" s="1" t="n">
        <v>45657</v>
      </c>
      <c r="D12040" t="inlineStr">
        <is>
          <t>VÄSTERNORRLANDS LÄN</t>
        </is>
      </c>
      <c r="E12040" t="inlineStr">
        <is>
          <t>SOLLEFTEÅ</t>
        </is>
      </c>
      <c r="F12040" t="inlineStr">
        <is>
          <t>Holmen skog AB</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2832-2024</t>
        </is>
      </c>
      <c r="B12041" s="1" t="n">
        <v>45314</v>
      </c>
      <c r="C12041" s="1" t="n">
        <v>45657</v>
      </c>
      <c r="D12041" t="inlineStr">
        <is>
          <t>VÄSTERNORRLANDS LÄN</t>
        </is>
      </c>
      <c r="E12041" t="inlineStr">
        <is>
          <t>SUNDSVALL</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2861-2024</t>
        </is>
      </c>
      <c r="B12042" s="1" t="n">
        <v>45315</v>
      </c>
      <c r="C12042" s="1" t="n">
        <v>45657</v>
      </c>
      <c r="D12042" t="inlineStr">
        <is>
          <t>VÄSTERNORRLANDS LÄN</t>
        </is>
      </c>
      <c r="E12042" t="inlineStr">
        <is>
          <t>KRAMFORS</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2903-2024</t>
        </is>
      </c>
      <c r="B12043" s="1" t="n">
        <v>45315</v>
      </c>
      <c r="C12043" s="1" t="n">
        <v>45657</v>
      </c>
      <c r="D12043" t="inlineStr">
        <is>
          <t>VÄSTERNORRLANDS LÄN</t>
        </is>
      </c>
      <c r="E12043" t="inlineStr">
        <is>
          <t>SUNDSVALL</t>
        </is>
      </c>
      <c r="G12043" t="n">
        <v>7.2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2949-2024</t>
        </is>
      </c>
      <c r="B12044" s="1" t="n">
        <v>45315</v>
      </c>
      <c r="C12044" s="1" t="n">
        <v>45657</v>
      </c>
      <c r="D12044" t="inlineStr">
        <is>
          <t>VÄSTERNORRLANDS LÄN</t>
        </is>
      </c>
      <c r="E12044" t="inlineStr">
        <is>
          <t>TIMRÅ</t>
        </is>
      </c>
      <c r="G12044" t="n">
        <v>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2850-2024</t>
        </is>
      </c>
      <c r="B12045" s="1" t="n">
        <v>45315</v>
      </c>
      <c r="C12045" s="1" t="n">
        <v>45657</v>
      </c>
      <c r="D12045" t="inlineStr">
        <is>
          <t>VÄSTERNORRLANDS LÄN</t>
        </is>
      </c>
      <c r="E12045" t="inlineStr">
        <is>
          <t>SOLLEFTEÅ</t>
        </is>
      </c>
      <c r="G12045" t="n">
        <v>15.1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2869-2024</t>
        </is>
      </c>
      <c r="B12046" s="1" t="n">
        <v>45315</v>
      </c>
      <c r="C12046" s="1" t="n">
        <v>45657</v>
      </c>
      <c r="D12046" t="inlineStr">
        <is>
          <t>VÄSTERNORRLANDS LÄN</t>
        </is>
      </c>
      <c r="E12046" t="inlineStr">
        <is>
          <t>SUNDSVALL</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3086-2024</t>
        </is>
      </c>
      <c r="B12047" s="1" t="n">
        <v>45316</v>
      </c>
      <c r="C12047" s="1" t="n">
        <v>45657</v>
      </c>
      <c r="D12047" t="inlineStr">
        <is>
          <t>VÄSTERNORRLANDS LÄN</t>
        </is>
      </c>
      <c r="E12047" t="inlineStr">
        <is>
          <t>ÖRNSKÖLDSVIK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3102-2024</t>
        </is>
      </c>
      <c r="B12048" s="1" t="n">
        <v>45316</v>
      </c>
      <c r="C12048" s="1" t="n">
        <v>45657</v>
      </c>
      <c r="D12048" t="inlineStr">
        <is>
          <t>VÄSTERNORRLANDS LÄN</t>
        </is>
      </c>
      <c r="E12048" t="inlineStr">
        <is>
          <t>SUNDSVALL</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3211-2024</t>
        </is>
      </c>
      <c r="B12049" s="1" t="n">
        <v>45316</v>
      </c>
      <c r="C12049" s="1" t="n">
        <v>45657</v>
      </c>
      <c r="D12049" t="inlineStr">
        <is>
          <t>VÄSTERNORRLANDS LÄN</t>
        </is>
      </c>
      <c r="E12049" t="inlineStr">
        <is>
          <t>SOLLEFTEÅ</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3231-2024</t>
        </is>
      </c>
      <c r="B12050" s="1" t="n">
        <v>45316</v>
      </c>
      <c r="C12050" s="1" t="n">
        <v>45657</v>
      </c>
      <c r="D12050" t="inlineStr">
        <is>
          <t>VÄSTERNORRLANDS LÄN</t>
        </is>
      </c>
      <c r="E12050" t="inlineStr">
        <is>
          <t>SOLLEFTEÅ</t>
        </is>
      </c>
      <c r="F12050" t="inlineStr">
        <is>
          <t>SCA</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3235-2024</t>
        </is>
      </c>
      <c r="B12051" s="1" t="n">
        <v>45316</v>
      </c>
      <c r="C12051" s="1" t="n">
        <v>45657</v>
      </c>
      <c r="D12051" t="inlineStr">
        <is>
          <t>VÄSTERNORRLANDS LÄN</t>
        </is>
      </c>
      <c r="E12051" t="inlineStr">
        <is>
          <t>SUNDSVALL</t>
        </is>
      </c>
      <c r="F12051" t="inlineStr">
        <is>
          <t>SCA</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3176-2024</t>
        </is>
      </c>
      <c r="B12052" s="1" t="n">
        <v>45316</v>
      </c>
      <c r="C12052" s="1" t="n">
        <v>45657</v>
      </c>
      <c r="D12052" t="inlineStr">
        <is>
          <t>VÄSTERNORRLANDS LÄN</t>
        </is>
      </c>
      <c r="E12052" t="inlineStr">
        <is>
          <t>ÖRNSKÖLDSVIK</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3197-2024</t>
        </is>
      </c>
      <c r="B12053" s="1" t="n">
        <v>45316</v>
      </c>
      <c r="C12053" s="1" t="n">
        <v>45657</v>
      </c>
      <c r="D12053" t="inlineStr">
        <is>
          <t>VÄSTERNORRLANDS LÄN</t>
        </is>
      </c>
      <c r="E12053" t="inlineStr">
        <is>
          <t>SUNDSVALL</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3109-2024</t>
        </is>
      </c>
      <c r="B12054" s="1" t="n">
        <v>45316</v>
      </c>
      <c r="C12054" s="1" t="n">
        <v>45657</v>
      </c>
      <c r="D12054" t="inlineStr">
        <is>
          <t>VÄSTERNORRLANDS LÄN</t>
        </is>
      </c>
      <c r="E12054" t="inlineStr">
        <is>
          <t>ÖRNSKÖLDSVIK</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3133-2024</t>
        </is>
      </c>
      <c r="B12055" s="1" t="n">
        <v>45316</v>
      </c>
      <c r="C12055" s="1" t="n">
        <v>45657</v>
      </c>
      <c r="D12055" t="inlineStr">
        <is>
          <t>VÄSTERNORRLANDS LÄN</t>
        </is>
      </c>
      <c r="E12055" t="inlineStr">
        <is>
          <t>ÅNGE</t>
        </is>
      </c>
      <c r="F12055" t="inlineStr">
        <is>
          <t>Holmen skog AB</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3229-2024</t>
        </is>
      </c>
      <c r="B12056" s="1" t="n">
        <v>45316</v>
      </c>
      <c r="C12056" s="1" t="n">
        <v>45657</v>
      </c>
      <c r="D12056" t="inlineStr">
        <is>
          <t>VÄSTERNORRLANDS LÄN</t>
        </is>
      </c>
      <c r="E12056" t="inlineStr">
        <is>
          <t>TIMRÅ</t>
        </is>
      </c>
      <c r="F12056" t="inlineStr">
        <is>
          <t>SCA</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3173-2024</t>
        </is>
      </c>
      <c r="B12057" s="1" t="n">
        <v>45316</v>
      </c>
      <c r="C12057" s="1" t="n">
        <v>45657</v>
      </c>
      <c r="D12057" t="inlineStr">
        <is>
          <t>VÄSTERNORRLANDS LÄN</t>
        </is>
      </c>
      <c r="E12057" t="inlineStr">
        <is>
          <t>ÖRNSKÖLDSVIK</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3185-2024</t>
        </is>
      </c>
      <c r="B12058" s="1" t="n">
        <v>45316</v>
      </c>
      <c r="C12058" s="1" t="n">
        <v>45657</v>
      </c>
      <c r="D12058" t="inlineStr">
        <is>
          <t>VÄSTERNORRLANDS LÄN</t>
        </is>
      </c>
      <c r="E12058" t="inlineStr">
        <is>
          <t>ÖRNSKÖLDSVIK</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3228-2024</t>
        </is>
      </c>
      <c r="B12059" s="1" t="n">
        <v>45316</v>
      </c>
      <c r="C12059" s="1" t="n">
        <v>45657</v>
      </c>
      <c r="D12059" t="inlineStr">
        <is>
          <t>VÄSTERNORRLANDS LÄN</t>
        </is>
      </c>
      <c r="E12059" t="inlineStr">
        <is>
          <t>SUNDSVALL</t>
        </is>
      </c>
      <c r="F12059" t="inlineStr">
        <is>
          <t>SCA</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3232-2024</t>
        </is>
      </c>
      <c r="B12060" s="1" t="n">
        <v>45316</v>
      </c>
      <c r="C12060" s="1" t="n">
        <v>45657</v>
      </c>
      <c r="D12060" t="inlineStr">
        <is>
          <t>VÄSTERNORRLANDS LÄN</t>
        </is>
      </c>
      <c r="E12060" t="inlineStr">
        <is>
          <t>SUNDSVALL</t>
        </is>
      </c>
      <c r="F12060" t="inlineStr">
        <is>
          <t>SCA</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3236-2024</t>
        </is>
      </c>
      <c r="B12061" s="1" t="n">
        <v>45316</v>
      </c>
      <c r="C12061" s="1" t="n">
        <v>45657</v>
      </c>
      <c r="D12061" t="inlineStr">
        <is>
          <t>VÄSTERNORRLANDS LÄN</t>
        </is>
      </c>
      <c r="E12061" t="inlineStr">
        <is>
          <t>SUNDSVALL</t>
        </is>
      </c>
      <c r="F12061" t="inlineStr">
        <is>
          <t>SCA</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3234-2024</t>
        </is>
      </c>
      <c r="B12062" s="1" t="n">
        <v>45316</v>
      </c>
      <c r="C12062" s="1" t="n">
        <v>45657</v>
      </c>
      <c r="D12062" t="inlineStr">
        <is>
          <t>VÄSTERNORRLANDS LÄN</t>
        </is>
      </c>
      <c r="E12062" t="inlineStr">
        <is>
          <t>SOLLEFTEÅ</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3238-2024</t>
        </is>
      </c>
      <c r="B12063" s="1" t="n">
        <v>45316</v>
      </c>
      <c r="C12063" s="1" t="n">
        <v>45657</v>
      </c>
      <c r="D12063" t="inlineStr">
        <is>
          <t>VÄSTERNORRLANDS LÄN</t>
        </is>
      </c>
      <c r="E12063" t="inlineStr">
        <is>
          <t>ÅNGE</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3253-2024</t>
        </is>
      </c>
      <c r="B12064" s="1" t="n">
        <v>45316</v>
      </c>
      <c r="C12064" s="1" t="n">
        <v>45657</v>
      </c>
      <c r="D12064" t="inlineStr">
        <is>
          <t>VÄSTERNORRLANDS LÄN</t>
        </is>
      </c>
      <c r="E12064" t="inlineStr">
        <is>
          <t>ÅNGE</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3249-2024</t>
        </is>
      </c>
      <c r="B12065" s="1" t="n">
        <v>45316</v>
      </c>
      <c r="C12065" s="1" t="n">
        <v>45657</v>
      </c>
      <c r="D12065" t="inlineStr">
        <is>
          <t>VÄSTERNORRLANDS LÄN</t>
        </is>
      </c>
      <c r="E12065" t="inlineStr">
        <is>
          <t>ÅNGE</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3256-2024</t>
        </is>
      </c>
      <c r="B12066" s="1" t="n">
        <v>45316</v>
      </c>
      <c r="C12066" s="1" t="n">
        <v>45657</v>
      </c>
      <c r="D12066" t="inlineStr">
        <is>
          <t>VÄSTERNORRLANDS LÄN</t>
        </is>
      </c>
      <c r="E12066" t="inlineStr">
        <is>
          <t>ÅNGE</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3241-2024</t>
        </is>
      </c>
      <c r="B12067" s="1" t="n">
        <v>45316</v>
      </c>
      <c r="C12067" s="1" t="n">
        <v>45657</v>
      </c>
      <c r="D12067" t="inlineStr">
        <is>
          <t>VÄSTERNORRLANDS LÄN</t>
        </is>
      </c>
      <c r="E12067" t="inlineStr">
        <is>
          <t>SOLLEFTEÅ</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3252-2024</t>
        </is>
      </c>
      <c r="B12068" s="1" t="n">
        <v>45316</v>
      </c>
      <c r="C12068" s="1" t="n">
        <v>45657</v>
      </c>
      <c r="D12068" t="inlineStr">
        <is>
          <t>VÄSTERNORRLANDS LÄN</t>
        </is>
      </c>
      <c r="E12068" t="inlineStr">
        <is>
          <t>SOLLEFTEÅ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3250-2024</t>
        </is>
      </c>
      <c r="B12069" s="1" t="n">
        <v>45317</v>
      </c>
      <c r="C12069" s="1" t="n">
        <v>45657</v>
      </c>
      <c r="D12069" t="inlineStr">
        <is>
          <t>VÄSTERNORRLANDS LÄN</t>
        </is>
      </c>
      <c r="E12069" t="inlineStr">
        <is>
          <t>SUNDSVALL</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3292-2024</t>
        </is>
      </c>
      <c r="B12070" s="1" t="n">
        <v>45317</v>
      </c>
      <c r="C12070" s="1" t="n">
        <v>45657</v>
      </c>
      <c r="D12070" t="inlineStr">
        <is>
          <t>VÄSTERNORRLANDS LÄN</t>
        </is>
      </c>
      <c r="E12070" t="inlineStr">
        <is>
          <t>ÖRNSKÖLDSVIK</t>
        </is>
      </c>
      <c r="F12070" t="inlineStr">
        <is>
          <t>Holmen skog AB</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3328-2024</t>
        </is>
      </c>
      <c r="B12071" s="1" t="n">
        <v>45317</v>
      </c>
      <c r="C12071" s="1" t="n">
        <v>45657</v>
      </c>
      <c r="D12071" t="inlineStr">
        <is>
          <t>VÄSTERNORRLANDS LÄN</t>
        </is>
      </c>
      <c r="E12071" t="inlineStr">
        <is>
          <t>ÖRNSKÖLDSVIK</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3339-2024</t>
        </is>
      </c>
      <c r="B12072" s="1" t="n">
        <v>45317</v>
      </c>
      <c r="C12072" s="1" t="n">
        <v>45657</v>
      </c>
      <c r="D12072" t="inlineStr">
        <is>
          <t>VÄSTERNORRLANDS LÄN</t>
        </is>
      </c>
      <c r="E12072" t="inlineStr">
        <is>
          <t>ÖRNSKÖLDSVIK</t>
        </is>
      </c>
      <c r="F12072" t="inlineStr">
        <is>
          <t>Holmen skog AB</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3347-2024</t>
        </is>
      </c>
      <c r="B12073" s="1" t="n">
        <v>45317</v>
      </c>
      <c r="C12073" s="1" t="n">
        <v>45657</v>
      </c>
      <c r="D12073" t="inlineStr">
        <is>
          <t>VÄSTERNORRLANDS LÄN</t>
        </is>
      </c>
      <c r="E12073" t="inlineStr">
        <is>
          <t>ÅNGE</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3354-2024</t>
        </is>
      </c>
      <c r="B12074" s="1" t="n">
        <v>45317</v>
      </c>
      <c r="C12074" s="1" t="n">
        <v>45657</v>
      </c>
      <c r="D12074" t="inlineStr">
        <is>
          <t>VÄSTERNORRLANDS LÄN</t>
        </is>
      </c>
      <c r="E12074" t="inlineStr">
        <is>
          <t>ÅNGE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3348-2024</t>
        </is>
      </c>
      <c r="B12075" s="1" t="n">
        <v>45317</v>
      </c>
      <c r="C12075" s="1" t="n">
        <v>45657</v>
      </c>
      <c r="D12075" t="inlineStr">
        <is>
          <t>VÄSTERNORRLANDS LÄN</t>
        </is>
      </c>
      <c r="E12075" t="inlineStr">
        <is>
          <t>SUNDSVALL</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3357-2024</t>
        </is>
      </c>
      <c r="B12076" s="1" t="n">
        <v>45317</v>
      </c>
      <c r="C12076" s="1" t="n">
        <v>45657</v>
      </c>
      <c r="D12076" t="inlineStr">
        <is>
          <t>VÄSTERNORRLANDS LÄN</t>
        </is>
      </c>
      <c r="E12076" t="inlineStr">
        <is>
          <t>ÅNGE</t>
        </is>
      </c>
      <c r="G12076" t="n">
        <v>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3388-2024</t>
        </is>
      </c>
      <c r="B12077" s="1" t="n">
        <v>45317</v>
      </c>
      <c r="C12077" s="1" t="n">
        <v>45657</v>
      </c>
      <c r="D12077" t="inlineStr">
        <is>
          <t>VÄSTERNORRLANDS LÄN</t>
        </is>
      </c>
      <c r="E12077" t="inlineStr">
        <is>
          <t>SOLLEFTEÅ</t>
        </is>
      </c>
      <c r="F12077" t="inlineStr">
        <is>
          <t>SCA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3444-2024</t>
        </is>
      </c>
      <c r="B12078" s="1" t="n">
        <v>45317</v>
      </c>
      <c r="C12078" s="1" t="n">
        <v>45657</v>
      </c>
      <c r="D12078" t="inlineStr">
        <is>
          <t>VÄSTERNORRLANDS LÄN</t>
        </is>
      </c>
      <c r="E12078" t="inlineStr">
        <is>
          <t>TIMRÅ</t>
        </is>
      </c>
      <c r="G12078" t="n">
        <v>10.5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3466-2024</t>
        </is>
      </c>
      <c r="B12079" s="1" t="n">
        <v>45317</v>
      </c>
      <c r="C12079" s="1" t="n">
        <v>45657</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3385-2024</t>
        </is>
      </c>
      <c r="B12080" s="1" t="n">
        <v>45317</v>
      </c>
      <c r="C12080" s="1" t="n">
        <v>45657</v>
      </c>
      <c r="D12080" t="inlineStr">
        <is>
          <t>VÄSTERNORRLANDS LÄN</t>
        </is>
      </c>
      <c r="E12080" t="inlineStr">
        <is>
          <t>HÄRNÖSAND</t>
        </is>
      </c>
      <c r="F12080" t="inlineStr">
        <is>
          <t>SCA</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3467-2024</t>
        </is>
      </c>
      <c r="B12081" s="1" t="n">
        <v>45317</v>
      </c>
      <c r="C12081" s="1" t="n">
        <v>45657</v>
      </c>
      <c r="D12081" t="inlineStr">
        <is>
          <t>VÄSTERNORRLANDS LÄN</t>
        </is>
      </c>
      <c r="E12081" t="inlineStr">
        <is>
          <t>SUNDSVALL</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3461-2024</t>
        </is>
      </c>
      <c r="B12082" s="1" t="n">
        <v>45317</v>
      </c>
      <c r="C12082" s="1" t="n">
        <v>45657</v>
      </c>
      <c r="D12082" t="inlineStr">
        <is>
          <t>VÄSTERNORRLANDS LÄN</t>
        </is>
      </c>
      <c r="E12082" t="inlineStr">
        <is>
          <t>SUNDSVALL</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3416-2024</t>
        </is>
      </c>
      <c r="B12083" s="1" t="n">
        <v>45319</v>
      </c>
      <c r="C12083" s="1" t="n">
        <v>45657</v>
      </c>
      <c r="D12083" t="inlineStr">
        <is>
          <t>VÄSTERNORRLANDS LÄN</t>
        </is>
      </c>
      <c r="E12083" t="inlineStr">
        <is>
          <t>ÖRNSKÖLDSVIK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3417-2024</t>
        </is>
      </c>
      <c r="B12084" s="1" t="n">
        <v>45319</v>
      </c>
      <c r="C12084" s="1" t="n">
        <v>45657</v>
      </c>
      <c r="D12084" t="inlineStr">
        <is>
          <t>VÄSTERNORRLANDS LÄN</t>
        </is>
      </c>
      <c r="E12084" t="inlineStr">
        <is>
          <t>ÖRNSKÖLDSVIK</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3452-2024</t>
        </is>
      </c>
      <c r="B12085" s="1" t="n">
        <v>45320</v>
      </c>
      <c r="C12085" s="1" t="n">
        <v>45657</v>
      </c>
      <c r="D12085" t="inlineStr">
        <is>
          <t>VÄSTERNORRLANDS LÄN</t>
        </is>
      </c>
      <c r="E12085" t="inlineStr">
        <is>
          <t>KRAMFORS</t>
        </is>
      </c>
      <c r="F12085" t="inlineStr">
        <is>
          <t>Kommuner</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3462-2024</t>
        </is>
      </c>
      <c r="B12086" s="1" t="n">
        <v>45320</v>
      </c>
      <c r="C12086" s="1" t="n">
        <v>45657</v>
      </c>
      <c r="D12086" t="inlineStr">
        <is>
          <t>VÄSTERNORRLANDS LÄN</t>
        </is>
      </c>
      <c r="E12086" t="inlineStr">
        <is>
          <t>KRAMFORS</t>
        </is>
      </c>
      <c r="F12086" t="inlineStr">
        <is>
          <t>Kommuner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3520-2024</t>
        </is>
      </c>
      <c r="B12087" s="1" t="n">
        <v>45320</v>
      </c>
      <c r="C12087" s="1" t="n">
        <v>45657</v>
      </c>
      <c r="D12087" t="inlineStr">
        <is>
          <t>VÄSTERNORRLANDS LÄN</t>
        </is>
      </c>
      <c r="E12087" t="inlineStr">
        <is>
          <t>ÖRNSKÖLDSVIK</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3476-2024</t>
        </is>
      </c>
      <c r="B12088" s="1" t="n">
        <v>45320</v>
      </c>
      <c r="C12088" s="1" t="n">
        <v>45657</v>
      </c>
      <c r="D12088" t="inlineStr">
        <is>
          <t>VÄSTERNORRLANDS LÄN</t>
        </is>
      </c>
      <c r="E12088" t="inlineStr">
        <is>
          <t>HÄRNÖSAND</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3539-2024</t>
        </is>
      </c>
      <c r="B12089" s="1" t="n">
        <v>45320</v>
      </c>
      <c r="C12089" s="1" t="n">
        <v>45657</v>
      </c>
      <c r="D12089" t="inlineStr">
        <is>
          <t>VÄSTERNORRLANDS LÄN</t>
        </is>
      </c>
      <c r="E12089" t="inlineStr">
        <is>
          <t>KRAMFORS</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3523-2024</t>
        </is>
      </c>
      <c r="B12090" s="1" t="n">
        <v>45320</v>
      </c>
      <c r="C12090" s="1" t="n">
        <v>45657</v>
      </c>
      <c r="D12090" t="inlineStr">
        <is>
          <t>VÄSTERNORRLANDS LÄN</t>
        </is>
      </c>
      <c r="E12090" t="inlineStr">
        <is>
          <t>ÅNGE</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3532-2024</t>
        </is>
      </c>
      <c r="B12091" s="1" t="n">
        <v>45320</v>
      </c>
      <c r="C12091" s="1" t="n">
        <v>45657</v>
      </c>
      <c r="D12091" t="inlineStr">
        <is>
          <t>VÄSTERNORRLANDS LÄN</t>
        </is>
      </c>
      <c r="E12091" t="inlineStr">
        <is>
          <t>ÅNGE</t>
        </is>
      </c>
      <c r="G12091" t="n">
        <v>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3564-2024</t>
        </is>
      </c>
      <c r="B12092" s="1" t="n">
        <v>45320</v>
      </c>
      <c r="C12092" s="1" t="n">
        <v>45657</v>
      </c>
      <c r="D12092" t="inlineStr">
        <is>
          <t>VÄSTERNORRLANDS LÄN</t>
        </is>
      </c>
      <c r="E12092" t="inlineStr">
        <is>
          <t>ÖRNSKÖLDSVIK</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3572-2024</t>
        </is>
      </c>
      <c r="B12093" s="1" t="n">
        <v>45320</v>
      </c>
      <c r="C12093" s="1" t="n">
        <v>45657</v>
      </c>
      <c r="D12093" t="inlineStr">
        <is>
          <t>VÄSTERNORRLANDS LÄN</t>
        </is>
      </c>
      <c r="E12093" t="inlineStr">
        <is>
          <t>ÖRNSKÖLDSVIK</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3580-2024</t>
        </is>
      </c>
      <c r="B12094" s="1" t="n">
        <v>45320</v>
      </c>
      <c r="C12094" s="1" t="n">
        <v>45657</v>
      </c>
      <c r="D12094" t="inlineStr">
        <is>
          <t>VÄSTERNORRLANDS LÄN</t>
        </is>
      </c>
      <c r="E12094" t="inlineStr">
        <is>
          <t>ÅNGE</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3613-2024</t>
        </is>
      </c>
      <c r="B12095" s="1" t="n">
        <v>45320</v>
      </c>
      <c r="C12095" s="1" t="n">
        <v>45657</v>
      </c>
      <c r="D12095" t="inlineStr">
        <is>
          <t>VÄSTERNORRLANDS LÄN</t>
        </is>
      </c>
      <c r="E12095" t="inlineStr">
        <is>
          <t>KRAMFORS</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3617-2024</t>
        </is>
      </c>
      <c r="B12096" s="1" t="n">
        <v>45320</v>
      </c>
      <c r="C12096" s="1" t="n">
        <v>45657</v>
      </c>
      <c r="D12096" t="inlineStr">
        <is>
          <t>VÄSTERNORRLANDS LÄN</t>
        </is>
      </c>
      <c r="E12096" t="inlineStr">
        <is>
          <t>SUNDSVALL</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3619-2024</t>
        </is>
      </c>
      <c r="B12097" s="1" t="n">
        <v>45320</v>
      </c>
      <c r="C12097" s="1" t="n">
        <v>45657</v>
      </c>
      <c r="D12097" t="inlineStr">
        <is>
          <t>VÄSTERNORRLANDS LÄN</t>
        </is>
      </c>
      <c r="E12097" t="inlineStr">
        <is>
          <t>SUNDSVALL</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3621-2024</t>
        </is>
      </c>
      <c r="B12098" s="1" t="n">
        <v>45320</v>
      </c>
      <c r="C12098" s="1" t="n">
        <v>45657</v>
      </c>
      <c r="D12098" t="inlineStr">
        <is>
          <t>VÄSTERNORRLANDS LÄN</t>
        </is>
      </c>
      <c r="E12098" t="inlineStr">
        <is>
          <t>SOLLEFTEÅ</t>
        </is>
      </c>
      <c r="F12098" t="inlineStr">
        <is>
          <t>SCA</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3633-2024</t>
        </is>
      </c>
      <c r="B12099" s="1" t="n">
        <v>45320</v>
      </c>
      <c r="C12099" s="1" t="n">
        <v>45657</v>
      </c>
      <c r="D12099" t="inlineStr">
        <is>
          <t>VÄSTERNORRLANDS LÄN</t>
        </is>
      </c>
      <c r="E12099" t="inlineStr">
        <is>
          <t>SOLLEFTEÅ</t>
        </is>
      </c>
      <c r="F12099" t="inlineStr">
        <is>
          <t>SCA</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3627-2024</t>
        </is>
      </c>
      <c r="B12100" s="1" t="n">
        <v>45320</v>
      </c>
      <c r="C12100" s="1" t="n">
        <v>45657</v>
      </c>
      <c r="D12100" t="inlineStr">
        <is>
          <t>VÄSTERNORRLANDS LÄN</t>
        </is>
      </c>
      <c r="E12100" t="inlineStr">
        <is>
          <t>SUNDSVALL</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3614-2024</t>
        </is>
      </c>
      <c r="B12101" s="1" t="n">
        <v>45320</v>
      </c>
      <c r="C12101" s="1" t="n">
        <v>45657</v>
      </c>
      <c r="D12101" t="inlineStr">
        <is>
          <t>VÄSTERNORRLANDS LÄN</t>
        </is>
      </c>
      <c r="E12101" t="inlineStr">
        <is>
          <t>KRAMFORS</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3618-2024</t>
        </is>
      </c>
      <c r="B12102" s="1" t="n">
        <v>45320</v>
      </c>
      <c r="C12102" s="1" t="n">
        <v>45657</v>
      </c>
      <c r="D12102" t="inlineStr">
        <is>
          <t>VÄSTERNORRLANDS LÄN</t>
        </is>
      </c>
      <c r="E12102" t="inlineStr">
        <is>
          <t>SUNDSVALL</t>
        </is>
      </c>
      <c r="F12102" t="inlineStr">
        <is>
          <t>Kyrkan</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3612-2024</t>
        </is>
      </c>
      <c r="B12103" s="1" t="n">
        <v>45320</v>
      </c>
      <c r="C12103" s="1" t="n">
        <v>45657</v>
      </c>
      <c r="D12103" t="inlineStr">
        <is>
          <t>VÄSTERNORRLANDS LÄN</t>
        </is>
      </c>
      <c r="E12103" t="inlineStr">
        <is>
          <t>KRAMFORS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3624-2024</t>
        </is>
      </c>
      <c r="B12104" s="1" t="n">
        <v>45320</v>
      </c>
      <c r="C12104" s="1" t="n">
        <v>45657</v>
      </c>
      <c r="D12104" t="inlineStr">
        <is>
          <t>VÄSTERNORRLANDS LÄN</t>
        </is>
      </c>
      <c r="E12104" t="inlineStr">
        <is>
          <t>ÅNGE</t>
        </is>
      </c>
      <c r="F12104" t="inlineStr">
        <is>
          <t>SCA</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3682-2024</t>
        </is>
      </c>
      <c r="B12105" s="1" t="n">
        <v>45321</v>
      </c>
      <c r="C12105" s="1" t="n">
        <v>45657</v>
      </c>
      <c r="D12105" t="inlineStr">
        <is>
          <t>VÄSTERNORRLANDS LÄN</t>
        </is>
      </c>
      <c r="E12105" t="inlineStr">
        <is>
          <t>ÖRNSKÖLDSVIK</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3436-2024</t>
        </is>
      </c>
      <c r="B12106" s="1" t="n">
        <v>45321</v>
      </c>
      <c r="C12106" s="1" t="n">
        <v>45657</v>
      </c>
      <c r="D12106" t="inlineStr">
        <is>
          <t>VÄSTERNORRLANDS LÄN</t>
        </is>
      </c>
      <c r="E12106" t="inlineStr">
        <is>
          <t>HÄRNÖSAND</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3669-2024</t>
        </is>
      </c>
      <c r="B12107" s="1" t="n">
        <v>45321</v>
      </c>
      <c r="C12107" s="1" t="n">
        <v>45657</v>
      </c>
      <c r="D12107" t="inlineStr">
        <is>
          <t>VÄSTERNORRLANDS LÄN</t>
        </is>
      </c>
      <c r="E12107" t="inlineStr">
        <is>
          <t>ÖRNSKÖLDSVIK</t>
        </is>
      </c>
      <c r="F12107" t="inlineStr">
        <is>
          <t>Holmen skog AB</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3837-2024</t>
        </is>
      </c>
      <c r="B12108" s="1" t="n">
        <v>45321</v>
      </c>
      <c r="C12108" s="1" t="n">
        <v>45657</v>
      </c>
      <c r="D12108" t="inlineStr">
        <is>
          <t>VÄSTERNORRLANDS LÄN</t>
        </is>
      </c>
      <c r="E12108" t="inlineStr">
        <is>
          <t>SUNDSVALL</t>
        </is>
      </c>
      <c r="F12108" t="inlineStr">
        <is>
          <t>SCA</t>
        </is>
      </c>
      <c r="G12108" t="n">
        <v>24.3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3804-2024</t>
        </is>
      </c>
      <c r="B12109" s="1" t="n">
        <v>45321</v>
      </c>
      <c r="C12109" s="1" t="n">
        <v>45657</v>
      </c>
      <c r="D12109" t="inlineStr">
        <is>
          <t>VÄSTERNORRLANDS LÄN</t>
        </is>
      </c>
      <c r="E12109" t="inlineStr">
        <is>
          <t>TIMRÅ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3832-2024</t>
        </is>
      </c>
      <c r="B12110" s="1" t="n">
        <v>45321</v>
      </c>
      <c r="C12110" s="1" t="n">
        <v>45657</v>
      </c>
      <c r="D12110" t="inlineStr">
        <is>
          <t>VÄSTERNORRLANDS LÄN</t>
        </is>
      </c>
      <c r="E12110" t="inlineStr">
        <is>
          <t>SOLLEFTEÅ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3836-2024</t>
        </is>
      </c>
      <c r="B12111" s="1" t="n">
        <v>45321</v>
      </c>
      <c r="C12111" s="1" t="n">
        <v>45657</v>
      </c>
      <c r="D12111" t="inlineStr">
        <is>
          <t>VÄSTERNORRLANDS LÄN</t>
        </is>
      </c>
      <c r="E12111" t="inlineStr">
        <is>
          <t>SUNDSVALL</t>
        </is>
      </c>
      <c r="F12111" t="inlineStr">
        <is>
          <t>SCA</t>
        </is>
      </c>
      <c r="G12111" t="n">
        <v>9.199999999999999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3847-2024</t>
        </is>
      </c>
      <c r="B12112" s="1" t="n">
        <v>45322</v>
      </c>
      <c r="C12112" s="1" t="n">
        <v>45657</v>
      </c>
      <c r="D12112" t="inlineStr">
        <is>
          <t>VÄSTERNORRLANDS LÄN</t>
        </is>
      </c>
      <c r="E12112" t="inlineStr">
        <is>
          <t>SOLLEFTEÅ</t>
        </is>
      </c>
      <c r="G12112" t="n">
        <v>8.199999999999999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3931-2024</t>
        </is>
      </c>
      <c r="B12113" s="1" t="n">
        <v>45322</v>
      </c>
      <c r="C12113" s="1" t="n">
        <v>45657</v>
      </c>
      <c r="D12113" t="inlineStr">
        <is>
          <t>VÄSTERNORRLANDS LÄN</t>
        </is>
      </c>
      <c r="E12113" t="inlineStr">
        <is>
          <t>ÖRNSKÖLDSVIK</t>
        </is>
      </c>
      <c r="F12113" t="inlineStr">
        <is>
          <t>Holmen skog AB</t>
        </is>
      </c>
      <c r="G12113" t="n">
        <v>7.8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3950-2024</t>
        </is>
      </c>
      <c r="B12114" s="1" t="n">
        <v>45322</v>
      </c>
      <c r="C12114" s="1" t="n">
        <v>45657</v>
      </c>
      <c r="D12114" t="inlineStr">
        <is>
          <t>VÄSTERNORRLANDS LÄN</t>
        </is>
      </c>
      <c r="E12114" t="inlineStr">
        <is>
          <t>SUNDSVALL</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3958-2024</t>
        </is>
      </c>
      <c r="B12115" s="1" t="n">
        <v>45322</v>
      </c>
      <c r="C12115" s="1" t="n">
        <v>45657</v>
      </c>
      <c r="D12115" t="inlineStr">
        <is>
          <t>VÄSTERNORRLANDS LÄN</t>
        </is>
      </c>
      <c r="E12115" t="inlineStr">
        <is>
          <t>SUNDSVALL</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3990-2024</t>
        </is>
      </c>
      <c r="B12116" s="1" t="n">
        <v>45322</v>
      </c>
      <c r="C12116" s="1" t="n">
        <v>45657</v>
      </c>
      <c r="D12116" t="inlineStr">
        <is>
          <t>VÄSTERNORRLANDS LÄN</t>
        </is>
      </c>
      <c r="E12116" t="inlineStr">
        <is>
          <t>SOLLEFTEÅ</t>
        </is>
      </c>
      <c r="F12116" t="inlineStr">
        <is>
          <t>SCA</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3998-2024</t>
        </is>
      </c>
      <c r="B12117" s="1" t="n">
        <v>45322</v>
      </c>
      <c r="C12117" s="1" t="n">
        <v>45657</v>
      </c>
      <c r="D12117" t="inlineStr">
        <is>
          <t>VÄSTERNORRLANDS LÄN</t>
        </is>
      </c>
      <c r="E12117" t="inlineStr">
        <is>
          <t>SOLLEFTEÅ</t>
        </is>
      </c>
      <c r="F12117" t="inlineStr">
        <is>
          <t>SCA</t>
        </is>
      </c>
      <c r="G12117" t="n">
        <v>23.9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3928-2024</t>
        </is>
      </c>
      <c r="B12118" s="1" t="n">
        <v>45322</v>
      </c>
      <c r="C12118" s="1" t="n">
        <v>45657</v>
      </c>
      <c r="D12118" t="inlineStr">
        <is>
          <t>VÄSTERNORRLANDS LÄN</t>
        </is>
      </c>
      <c r="E12118" t="inlineStr">
        <is>
          <t>SUNDSVALL</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3936-2024</t>
        </is>
      </c>
      <c r="B12119" s="1" t="n">
        <v>45322</v>
      </c>
      <c r="C12119" s="1" t="n">
        <v>45657</v>
      </c>
      <c r="D12119" t="inlineStr">
        <is>
          <t>VÄSTERNORRLANDS LÄN</t>
        </is>
      </c>
      <c r="E12119" t="inlineStr">
        <is>
          <t>SUNDSVALL</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3944-2024</t>
        </is>
      </c>
      <c r="B12120" s="1" t="n">
        <v>45322</v>
      </c>
      <c r="C12120" s="1" t="n">
        <v>45657</v>
      </c>
      <c r="D12120" t="inlineStr">
        <is>
          <t>VÄSTERNORRLANDS LÄN</t>
        </is>
      </c>
      <c r="E12120" t="inlineStr">
        <is>
          <t>SUNDSVALL</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3956-2024</t>
        </is>
      </c>
      <c r="B12121" s="1" t="n">
        <v>45322</v>
      </c>
      <c r="C12121" s="1" t="n">
        <v>45657</v>
      </c>
      <c r="D12121" t="inlineStr">
        <is>
          <t>VÄSTERNORRLANDS LÄN</t>
        </is>
      </c>
      <c r="E12121" t="inlineStr">
        <is>
          <t>SUNDSVALL</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3960-2024</t>
        </is>
      </c>
      <c r="B12122" s="1" t="n">
        <v>45322</v>
      </c>
      <c r="C12122" s="1" t="n">
        <v>45657</v>
      </c>
      <c r="D12122" t="inlineStr">
        <is>
          <t>VÄSTERNORRLANDS LÄN</t>
        </is>
      </c>
      <c r="E12122" t="inlineStr">
        <is>
          <t>SUNDSVALL</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3996-2024</t>
        </is>
      </c>
      <c r="B12123" s="1" t="n">
        <v>45322</v>
      </c>
      <c r="C12123" s="1" t="n">
        <v>45657</v>
      </c>
      <c r="D12123" t="inlineStr">
        <is>
          <t>VÄSTERNORRLANDS LÄN</t>
        </is>
      </c>
      <c r="E12123" t="inlineStr">
        <is>
          <t>ÅNGE</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3921-2024</t>
        </is>
      </c>
      <c r="B12124" s="1" t="n">
        <v>45322</v>
      </c>
      <c r="C12124" s="1" t="n">
        <v>45657</v>
      </c>
      <c r="D12124" t="inlineStr">
        <is>
          <t>VÄSTERNORRLANDS LÄN</t>
        </is>
      </c>
      <c r="E12124" t="inlineStr">
        <is>
          <t>KRAMFORS</t>
        </is>
      </c>
      <c r="G12124" t="n">
        <v>11.3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3941-2024</t>
        </is>
      </c>
      <c r="B12125" s="1" t="n">
        <v>45322</v>
      </c>
      <c r="C12125" s="1" t="n">
        <v>45657</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3953-2024</t>
        </is>
      </c>
      <c r="B12126" s="1" t="n">
        <v>45322</v>
      </c>
      <c r="C12126" s="1" t="n">
        <v>45657</v>
      </c>
      <c r="D12126" t="inlineStr">
        <is>
          <t>VÄSTERNORRLANDS LÄN</t>
        </is>
      </c>
      <c r="E12126" t="inlineStr">
        <is>
          <t>HÄRNÖSAND</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3989-2024</t>
        </is>
      </c>
      <c r="B12127" s="1" t="n">
        <v>45322</v>
      </c>
      <c r="C12127" s="1" t="n">
        <v>45657</v>
      </c>
      <c r="D12127" t="inlineStr">
        <is>
          <t>VÄSTERNORRLANDS LÄN</t>
        </is>
      </c>
      <c r="E12127" t="inlineStr">
        <is>
          <t>TIMRÅ</t>
        </is>
      </c>
      <c r="F12127" t="inlineStr">
        <is>
          <t>SCA</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3993-2024</t>
        </is>
      </c>
      <c r="B12128" s="1" t="n">
        <v>45322</v>
      </c>
      <c r="C12128" s="1" t="n">
        <v>45657</v>
      </c>
      <c r="D12128" t="inlineStr">
        <is>
          <t>VÄSTERNORRLANDS LÄN</t>
        </is>
      </c>
      <c r="E12128" t="inlineStr">
        <is>
          <t>SUNDSVALL</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3991-2024</t>
        </is>
      </c>
      <c r="B12129" s="1" t="n">
        <v>45322</v>
      </c>
      <c r="C12129" s="1" t="n">
        <v>45657</v>
      </c>
      <c r="D12129" t="inlineStr">
        <is>
          <t>VÄSTERNORRLANDS LÄN</t>
        </is>
      </c>
      <c r="E12129" t="inlineStr">
        <is>
          <t>SOLLEFTEÅ</t>
        </is>
      </c>
      <c r="F12129" t="inlineStr">
        <is>
          <t>SCA</t>
        </is>
      </c>
      <c r="G12129" t="n">
        <v>9.6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3999-2024</t>
        </is>
      </c>
      <c r="B12130" s="1" t="n">
        <v>45322</v>
      </c>
      <c r="C12130" s="1" t="n">
        <v>45657</v>
      </c>
      <c r="D12130" t="inlineStr">
        <is>
          <t>VÄSTERNORRLANDS LÄN</t>
        </is>
      </c>
      <c r="E12130" t="inlineStr">
        <is>
          <t>SUNDSVALL</t>
        </is>
      </c>
      <c r="F12130" t="inlineStr">
        <is>
          <t>SCA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4054-2024</t>
        </is>
      </c>
      <c r="B12131" s="1" t="n">
        <v>45323</v>
      </c>
      <c r="C12131" s="1" t="n">
        <v>45657</v>
      </c>
      <c r="D12131" t="inlineStr">
        <is>
          <t>VÄSTERNORRLANDS LÄN</t>
        </is>
      </c>
      <c r="E12131" t="inlineStr">
        <is>
          <t>SUNDSVALL</t>
        </is>
      </c>
      <c r="F12131" t="inlineStr">
        <is>
          <t>Kommuner</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4103-2024</t>
        </is>
      </c>
      <c r="B12132" s="1" t="n">
        <v>45323</v>
      </c>
      <c r="C12132" s="1" t="n">
        <v>45657</v>
      </c>
      <c r="D12132" t="inlineStr">
        <is>
          <t>VÄSTERNORRLANDS LÄN</t>
        </is>
      </c>
      <c r="E12132" t="inlineStr">
        <is>
          <t>ÖRNSKÖLDSVIK</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4001-2024</t>
        </is>
      </c>
      <c r="B12133" s="1" t="n">
        <v>45323</v>
      </c>
      <c r="C12133" s="1" t="n">
        <v>45657</v>
      </c>
      <c r="D12133" t="inlineStr">
        <is>
          <t>VÄSTERNORRLANDS LÄN</t>
        </is>
      </c>
      <c r="E12133" t="inlineStr">
        <is>
          <t>KRAMFORS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4045-2024</t>
        </is>
      </c>
      <c r="B12134" s="1" t="n">
        <v>45323</v>
      </c>
      <c r="C12134" s="1" t="n">
        <v>45657</v>
      </c>
      <c r="D12134" t="inlineStr">
        <is>
          <t>VÄSTERNORRLANDS LÄN</t>
        </is>
      </c>
      <c r="E12134" t="inlineStr">
        <is>
          <t>SUNDSVALL</t>
        </is>
      </c>
      <c r="F12134" t="inlineStr">
        <is>
          <t>Kommuner</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4061-2024</t>
        </is>
      </c>
      <c r="B12135" s="1" t="n">
        <v>45323</v>
      </c>
      <c r="C12135" s="1" t="n">
        <v>45657</v>
      </c>
      <c r="D12135" t="inlineStr">
        <is>
          <t>VÄSTERNORRLANDS LÄN</t>
        </is>
      </c>
      <c r="E12135" t="inlineStr">
        <is>
          <t>SOLLEFTEÅ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4098-2024</t>
        </is>
      </c>
      <c r="B12136" s="1" t="n">
        <v>45323</v>
      </c>
      <c r="C12136" s="1" t="n">
        <v>45657</v>
      </c>
      <c r="D12136" t="inlineStr">
        <is>
          <t>VÄSTERNORRLANDS LÄN</t>
        </is>
      </c>
      <c r="E12136" t="inlineStr">
        <is>
          <t>SUNDSVALL</t>
        </is>
      </c>
      <c r="F12136" t="inlineStr">
        <is>
          <t>Kommuner</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4142-2024</t>
        </is>
      </c>
      <c r="B12137" s="1" t="n">
        <v>45323</v>
      </c>
      <c r="C12137" s="1" t="n">
        <v>45657</v>
      </c>
      <c r="D12137" t="inlineStr">
        <is>
          <t>VÄSTERNORRLANDS LÄN</t>
        </is>
      </c>
      <c r="E12137" t="inlineStr">
        <is>
          <t>ÅNGE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4052-2024</t>
        </is>
      </c>
      <c r="B12138" s="1" t="n">
        <v>45323</v>
      </c>
      <c r="C12138" s="1" t="n">
        <v>45657</v>
      </c>
      <c r="D12138" t="inlineStr">
        <is>
          <t>VÄSTERNORRLANDS LÄN</t>
        </is>
      </c>
      <c r="E12138" t="inlineStr">
        <is>
          <t>SUNDSVALL</t>
        </is>
      </c>
      <c r="F12138" t="inlineStr">
        <is>
          <t>Kommuner</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4092-2024</t>
        </is>
      </c>
      <c r="B12139" s="1" t="n">
        <v>45323</v>
      </c>
      <c r="C12139" s="1" t="n">
        <v>45657</v>
      </c>
      <c r="D12139" t="inlineStr">
        <is>
          <t>VÄSTERNORRLANDS LÄN</t>
        </is>
      </c>
      <c r="E12139" t="inlineStr">
        <is>
          <t>HÄRNÖSAND</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4116-2024</t>
        </is>
      </c>
      <c r="B12140" s="1" t="n">
        <v>45323</v>
      </c>
      <c r="C12140" s="1" t="n">
        <v>45657</v>
      </c>
      <c r="D12140" t="inlineStr">
        <is>
          <t>VÄSTERNORRLANDS LÄN</t>
        </is>
      </c>
      <c r="E12140" t="inlineStr">
        <is>
          <t>SUNDSVALL</t>
        </is>
      </c>
      <c r="F12140" t="inlineStr">
        <is>
          <t>Kommuner</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4140-2024</t>
        </is>
      </c>
      <c r="B12141" s="1" t="n">
        <v>45323</v>
      </c>
      <c r="C12141" s="1" t="n">
        <v>45657</v>
      </c>
      <c r="D12141" t="inlineStr">
        <is>
          <t>VÄSTERNORRLANDS LÄN</t>
        </is>
      </c>
      <c r="E12141" t="inlineStr">
        <is>
          <t>ÅNGE</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4056-2024</t>
        </is>
      </c>
      <c r="B12142" s="1" t="n">
        <v>45323</v>
      </c>
      <c r="C12142" s="1" t="n">
        <v>45657</v>
      </c>
      <c r="D12142" t="inlineStr">
        <is>
          <t>VÄSTERNORRLANDS LÄN</t>
        </is>
      </c>
      <c r="E12142" t="inlineStr">
        <is>
          <t>SUNDSVALL</t>
        </is>
      </c>
      <c r="F12142" t="inlineStr">
        <is>
          <t>Kommuner</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4064-2024</t>
        </is>
      </c>
      <c r="B12143" s="1" t="n">
        <v>45323</v>
      </c>
      <c r="C12143" s="1" t="n">
        <v>45657</v>
      </c>
      <c r="D12143" t="inlineStr">
        <is>
          <t>VÄSTERNORRLANDS LÄN</t>
        </is>
      </c>
      <c r="E12143" t="inlineStr">
        <is>
          <t>SOLLEFTEÅ</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4167-2024</t>
        </is>
      </c>
      <c r="B12144" s="1" t="n">
        <v>45323</v>
      </c>
      <c r="C12144" s="1" t="n">
        <v>45657</v>
      </c>
      <c r="D12144" t="inlineStr">
        <is>
          <t>VÄSTERNORRLANDS LÄN</t>
        </is>
      </c>
      <c r="E12144" t="inlineStr">
        <is>
          <t>SOLLEFTEÅ</t>
        </is>
      </c>
      <c r="F12144" t="inlineStr">
        <is>
          <t>SCA</t>
        </is>
      </c>
      <c r="G12144" t="n">
        <v>13.7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4166-2024</t>
        </is>
      </c>
      <c r="B12145" s="1" t="n">
        <v>45323</v>
      </c>
      <c r="C12145" s="1" t="n">
        <v>45657</v>
      </c>
      <c r="D12145" t="inlineStr">
        <is>
          <t>VÄSTERNORRLANDS LÄN</t>
        </is>
      </c>
      <c r="E12145" t="inlineStr">
        <is>
          <t>ÅNGE</t>
        </is>
      </c>
      <c r="G12145" t="n">
        <v>10.6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4174-2024</t>
        </is>
      </c>
      <c r="B12146" s="1" t="n">
        <v>45323</v>
      </c>
      <c r="C12146" s="1" t="n">
        <v>45657</v>
      </c>
      <c r="D12146" t="inlineStr">
        <is>
          <t>VÄSTERNORRLANDS LÄN</t>
        </is>
      </c>
      <c r="E12146" t="inlineStr">
        <is>
          <t>SUNDSVALL</t>
        </is>
      </c>
      <c r="F12146" t="inlineStr">
        <is>
          <t>SCA</t>
        </is>
      </c>
      <c r="G12146" t="n">
        <v>9.300000000000001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4165-2024</t>
        </is>
      </c>
      <c r="B12147" s="1" t="n">
        <v>45323</v>
      </c>
      <c r="C12147" s="1" t="n">
        <v>45657</v>
      </c>
      <c r="D12147" t="inlineStr">
        <is>
          <t>VÄSTERNORRLANDS LÄN</t>
        </is>
      </c>
      <c r="E12147" t="inlineStr">
        <is>
          <t>ÅNGE</t>
        </is>
      </c>
      <c r="G12147" t="n">
        <v>15.3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4169-2024</t>
        </is>
      </c>
      <c r="B12148" s="1" t="n">
        <v>45323</v>
      </c>
      <c r="C12148" s="1" t="n">
        <v>45657</v>
      </c>
      <c r="D12148" t="inlineStr">
        <is>
          <t>VÄSTERNORRLANDS LÄN</t>
        </is>
      </c>
      <c r="E12148" t="inlineStr">
        <is>
          <t>ÅNGE</t>
        </is>
      </c>
      <c r="F12148" t="inlineStr">
        <is>
          <t>SCA</t>
        </is>
      </c>
      <c r="G12148" t="n">
        <v>23.2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4175-2024</t>
        </is>
      </c>
      <c r="B12149" s="1" t="n">
        <v>45323</v>
      </c>
      <c r="C12149" s="1" t="n">
        <v>45657</v>
      </c>
      <c r="D12149" t="inlineStr">
        <is>
          <t>VÄSTERNORRLANDS LÄN</t>
        </is>
      </c>
      <c r="E12149" t="inlineStr">
        <is>
          <t>SUNDSVALL</t>
        </is>
      </c>
      <c r="F12149" t="inlineStr">
        <is>
          <t>SCA</t>
        </is>
      </c>
      <c r="G12149" t="n">
        <v>18.2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4168-2024</t>
        </is>
      </c>
      <c r="B12150" s="1" t="n">
        <v>45323</v>
      </c>
      <c r="C12150" s="1" t="n">
        <v>45657</v>
      </c>
      <c r="D12150" t="inlineStr">
        <is>
          <t>VÄSTERNORRLANDS LÄN</t>
        </is>
      </c>
      <c r="E12150" t="inlineStr">
        <is>
          <t>SOLLEFTEÅ</t>
        </is>
      </c>
      <c r="F12150" t="inlineStr">
        <is>
          <t>SCA</t>
        </is>
      </c>
      <c r="G12150" t="n">
        <v>22.1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4192-2024</t>
        </is>
      </c>
      <c r="B12151" s="1" t="n">
        <v>45324</v>
      </c>
      <c r="C12151" s="1" t="n">
        <v>45657</v>
      </c>
      <c r="D12151" t="inlineStr">
        <is>
          <t>VÄSTERNORRLANDS LÄN</t>
        </is>
      </c>
      <c r="E12151" t="inlineStr">
        <is>
          <t>SUNDSVALL</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4189-2024</t>
        </is>
      </c>
      <c r="B12152" s="1" t="n">
        <v>45324</v>
      </c>
      <c r="C12152" s="1" t="n">
        <v>45657</v>
      </c>
      <c r="D12152" t="inlineStr">
        <is>
          <t>VÄSTERNORRLANDS LÄN</t>
        </is>
      </c>
      <c r="E12152" t="inlineStr">
        <is>
          <t>KRAMFORS</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4250-2024</t>
        </is>
      </c>
      <c r="B12153" s="1" t="n">
        <v>45324</v>
      </c>
      <c r="C12153" s="1" t="n">
        <v>45657</v>
      </c>
      <c r="D12153" t="inlineStr">
        <is>
          <t>VÄSTERNORRLANDS LÄN</t>
        </is>
      </c>
      <c r="E12153" t="inlineStr">
        <is>
          <t>KRAMFORS</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4275-2024</t>
        </is>
      </c>
      <c r="B12154" s="1" t="n">
        <v>45324</v>
      </c>
      <c r="C12154" s="1" t="n">
        <v>45657</v>
      </c>
      <c r="D12154" t="inlineStr">
        <is>
          <t>VÄSTERNORRLANDS LÄN</t>
        </is>
      </c>
      <c r="E12154" t="inlineStr">
        <is>
          <t>KRAMFORS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4272-2024</t>
        </is>
      </c>
      <c r="B12155" s="1" t="n">
        <v>45324</v>
      </c>
      <c r="C12155" s="1" t="n">
        <v>45657</v>
      </c>
      <c r="D12155" t="inlineStr">
        <is>
          <t>VÄSTERNORRLANDS LÄN</t>
        </is>
      </c>
      <c r="E12155" t="inlineStr">
        <is>
          <t>KRAMFORS</t>
        </is>
      </c>
      <c r="G12155" t="n">
        <v>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4340-2024</t>
        </is>
      </c>
      <c r="B12156" s="1" t="n">
        <v>45324</v>
      </c>
      <c r="C12156" s="1" t="n">
        <v>45657</v>
      </c>
      <c r="D12156" t="inlineStr">
        <is>
          <t>VÄSTERNORRLANDS LÄN</t>
        </is>
      </c>
      <c r="E12156" t="inlineStr">
        <is>
          <t>ÖRNSKÖLDSVIK</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4344-2024</t>
        </is>
      </c>
      <c r="B12157" s="1" t="n">
        <v>45324</v>
      </c>
      <c r="C12157" s="1" t="n">
        <v>45657</v>
      </c>
      <c r="D12157" t="inlineStr">
        <is>
          <t>VÄSTERNORRLANDS LÄN</t>
        </is>
      </c>
      <c r="E12157" t="inlineStr">
        <is>
          <t>ÖRNSKÖLDSVIK</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4348-2024</t>
        </is>
      </c>
      <c r="B12158" s="1" t="n">
        <v>45324</v>
      </c>
      <c r="C12158" s="1" t="n">
        <v>45657</v>
      </c>
      <c r="D12158" t="inlineStr">
        <is>
          <t>VÄSTERNORRLANDS LÄN</t>
        </is>
      </c>
      <c r="E12158" t="inlineStr">
        <is>
          <t>SOLLEFTEÅ</t>
        </is>
      </c>
      <c r="F12158" t="inlineStr">
        <is>
          <t>SCA</t>
        </is>
      </c>
      <c r="G12158" t="n">
        <v>14.4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4352-2024</t>
        </is>
      </c>
      <c r="B12159" s="1" t="n">
        <v>45324</v>
      </c>
      <c r="C12159" s="1" t="n">
        <v>45657</v>
      </c>
      <c r="D12159" t="inlineStr">
        <is>
          <t>VÄSTERNORRLANDS LÄN</t>
        </is>
      </c>
      <c r="E12159" t="inlineStr">
        <is>
          <t>SOLLEFTEÅ</t>
        </is>
      </c>
      <c r="F12159" t="inlineStr">
        <is>
          <t>SCA</t>
        </is>
      </c>
      <c r="G12159" t="n">
        <v>24.7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4343-2024</t>
        </is>
      </c>
      <c r="B12160" s="1" t="n">
        <v>45324</v>
      </c>
      <c r="C12160" s="1" t="n">
        <v>45657</v>
      </c>
      <c r="D12160" t="inlineStr">
        <is>
          <t>VÄSTERNORRLANDS LÄN</t>
        </is>
      </c>
      <c r="E12160" t="inlineStr">
        <is>
          <t>ÖRNSKÖLDSVIK</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4342-2024</t>
        </is>
      </c>
      <c r="B12161" s="1" t="n">
        <v>45324</v>
      </c>
      <c r="C12161" s="1" t="n">
        <v>45657</v>
      </c>
      <c r="D12161" t="inlineStr">
        <is>
          <t>VÄSTERNORRLANDS LÄN</t>
        </is>
      </c>
      <c r="E12161" t="inlineStr">
        <is>
          <t>ÖRNSKÖLDSVIK</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4346-2024</t>
        </is>
      </c>
      <c r="B12162" s="1" t="n">
        <v>45324</v>
      </c>
      <c r="C12162" s="1" t="n">
        <v>45657</v>
      </c>
      <c r="D12162" t="inlineStr">
        <is>
          <t>VÄSTERNORRLANDS LÄN</t>
        </is>
      </c>
      <c r="E12162" t="inlineStr">
        <is>
          <t>SUNDSVALL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4347-2024</t>
        </is>
      </c>
      <c r="B12163" s="1" t="n">
        <v>45324</v>
      </c>
      <c r="C12163" s="1" t="n">
        <v>45657</v>
      </c>
      <c r="D12163" t="inlineStr">
        <is>
          <t>VÄSTERNORRLANDS LÄN</t>
        </is>
      </c>
      <c r="E12163" t="inlineStr">
        <is>
          <t>SOLLEFTEÅ</t>
        </is>
      </c>
      <c r="F12163" t="inlineStr">
        <is>
          <t>SCA</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4341-2024</t>
        </is>
      </c>
      <c r="B12164" s="1" t="n">
        <v>45324</v>
      </c>
      <c r="C12164" s="1" t="n">
        <v>45657</v>
      </c>
      <c r="D12164" t="inlineStr">
        <is>
          <t>VÄSTERNORRLANDS LÄN</t>
        </is>
      </c>
      <c r="E12164" t="inlineStr">
        <is>
          <t>ÖRNSKÖLDSVIK</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4345-2024</t>
        </is>
      </c>
      <c r="B12165" s="1" t="n">
        <v>45324</v>
      </c>
      <c r="C12165" s="1" t="n">
        <v>45657</v>
      </c>
      <c r="D12165" t="inlineStr">
        <is>
          <t>VÄSTERNORRLANDS LÄN</t>
        </is>
      </c>
      <c r="E12165" t="inlineStr">
        <is>
          <t>ÖRNSKÖLDSVIK</t>
        </is>
      </c>
      <c r="G12165" t="n">
        <v>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4349-2024</t>
        </is>
      </c>
      <c r="B12166" s="1" t="n">
        <v>45324</v>
      </c>
      <c r="C12166" s="1" t="n">
        <v>45657</v>
      </c>
      <c r="D12166" t="inlineStr">
        <is>
          <t>VÄSTERNORRLANDS LÄN</t>
        </is>
      </c>
      <c r="E12166" t="inlineStr">
        <is>
          <t>SOLLEFTEÅ</t>
        </is>
      </c>
      <c r="F12166" t="inlineStr">
        <is>
          <t>SCA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4361-2024</t>
        </is>
      </c>
      <c r="B12167" s="1" t="n">
        <v>45325</v>
      </c>
      <c r="C12167" s="1" t="n">
        <v>45657</v>
      </c>
      <c r="D12167" t="inlineStr">
        <is>
          <t>VÄSTERNORRLANDS LÄN</t>
        </is>
      </c>
      <c r="E12167" t="inlineStr">
        <is>
          <t>ÅNGE</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4484-2024</t>
        </is>
      </c>
      <c r="B12168" s="1" t="n">
        <v>45327</v>
      </c>
      <c r="C12168" s="1" t="n">
        <v>45657</v>
      </c>
      <c r="D12168" t="inlineStr">
        <is>
          <t>VÄSTERNORRLANDS LÄN</t>
        </is>
      </c>
      <c r="E12168" t="inlineStr">
        <is>
          <t>KRAMFORS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4546-2024</t>
        </is>
      </c>
      <c r="B12169" s="1" t="n">
        <v>45327</v>
      </c>
      <c r="C12169" s="1" t="n">
        <v>45657</v>
      </c>
      <c r="D12169" t="inlineStr">
        <is>
          <t>VÄSTERNORRLANDS LÄN</t>
        </is>
      </c>
      <c r="E12169" t="inlineStr">
        <is>
          <t>SOLLEFTEÅ</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4575-2024</t>
        </is>
      </c>
      <c r="B12170" s="1" t="n">
        <v>45327</v>
      </c>
      <c r="C12170" s="1" t="n">
        <v>45657</v>
      </c>
      <c r="D12170" t="inlineStr">
        <is>
          <t>VÄSTERNORRLANDS LÄN</t>
        </is>
      </c>
      <c r="E12170" t="inlineStr">
        <is>
          <t>ÖRNSKÖLDSVIK</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4593-2024</t>
        </is>
      </c>
      <c r="B12171" s="1" t="n">
        <v>45327</v>
      </c>
      <c r="C12171" s="1" t="n">
        <v>45657</v>
      </c>
      <c r="D12171" t="inlineStr">
        <is>
          <t>VÄSTERNORRLANDS LÄN</t>
        </is>
      </c>
      <c r="E12171" t="inlineStr">
        <is>
          <t>SUNDSVALL</t>
        </is>
      </c>
      <c r="F12171" t="inlineStr">
        <is>
          <t>Naturvårdsverket</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4589-2024</t>
        </is>
      </c>
      <c r="B12172" s="1" t="n">
        <v>45327</v>
      </c>
      <c r="C12172" s="1" t="n">
        <v>45657</v>
      </c>
      <c r="D12172" t="inlineStr">
        <is>
          <t>VÄSTERNORRLANDS LÄN</t>
        </is>
      </c>
      <c r="E12172" t="inlineStr">
        <is>
          <t>ÅNGE</t>
        </is>
      </c>
      <c r="F12172" t="inlineStr">
        <is>
          <t>SCA</t>
        </is>
      </c>
      <c r="G12172" t="n">
        <v>23.5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4576-2024</t>
        </is>
      </c>
      <c r="B12173" s="1" t="n">
        <v>45327</v>
      </c>
      <c r="C12173" s="1" t="n">
        <v>45657</v>
      </c>
      <c r="D12173" t="inlineStr">
        <is>
          <t>VÄSTERNORRLANDS LÄN</t>
        </is>
      </c>
      <c r="E12173" t="inlineStr">
        <is>
          <t>ÖRNSKÖLDSVIK</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4596-2024</t>
        </is>
      </c>
      <c r="B12174" s="1" t="n">
        <v>45327</v>
      </c>
      <c r="C12174" s="1" t="n">
        <v>45657</v>
      </c>
      <c r="D12174" t="inlineStr">
        <is>
          <t>VÄSTERNORRLANDS LÄN</t>
        </is>
      </c>
      <c r="E12174" t="inlineStr">
        <is>
          <t>TIMRÅ</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4584-2024</t>
        </is>
      </c>
      <c r="B12175" s="1" t="n">
        <v>45327</v>
      </c>
      <c r="C12175" s="1" t="n">
        <v>45657</v>
      </c>
      <c r="D12175" t="inlineStr">
        <is>
          <t>VÄSTERNORRLANDS LÄN</t>
        </is>
      </c>
      <c r="E12175" t="inlineStr">
        <is>
          <t>SUNDSVALL</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4583-2024</t>
        </is>
      </c>
      <c r="B12176" s="1" t="n">
        <v>45327</v>
      </c>
      <c r="C12176" s="1" t="n">
        <v>45657</v>
      </c>
      <c r="D12176" t="inlineStr">
        <is>
          <t>VÄSTERNORRLANDS LÄN</t>
        </is>
      </c>
      <c r="E12176" t="inlineStr">
        <is>
          <t>SUNDSVALL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4587-2024</t>
        </is>
      </c>
      <c r="B12177" s="1" t="n">
        <v>45327</v>
      </c>
      <c r="C12177" s="1" t="n">
        <v>45657</v>
      </c>
      <c r="D12177" t="inlineStr">
        <is>
          <t>VÄSTERNORRLANDS LÄN</t>
        </is>
      </c>
      <c r="E12177" t="inlineStr">
        <is>
          <t>HÄRNÖSAND</t>
        </is>
      </c>
      <c r="F12177" t="inlineStr">
        <is>
          <t>SCA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4595-2024</t>
        </is>
      </c>
      <c r="B12178" s="1" t="n">
        <v>45327</v>
      </c>
      <c r="C12178" s="1" t="n">
        <v>45657</v>
      </c>
      <c r="D12178" t="inlineStr">
        <is>
          <t>VÄSTERNORRLANDS LÄN</t>
        </is>
      </c>
      <c r="E12178" t="inlineStr">
        <is>
          <t>SOLLEFTEÅ</t>
        </is>
      </c>
      <c r="F12178" t="inlineStr">
        <is>
          <t>SCA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4635-2024</t>
        </is>
      </c>
      <c r="B12179" s="1" t="n">
        <v>45328</v>
      </c>
      <c r="C12179" s="1" t="n">
        <v>45657</v>
      </c>
      <c r="D12179" t="inlineStr">
        <is>
          <t>VÄSTERNORRLANDS LÄN</t>
        </is>
      </c>
      <c r="E12179" t="inlineStr">
        <is>
          <t>SUNDSVALL</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4746-2024</t>
        </is>
      </c>
      <c r="B12180" s="1" t="n">
        <v>45328</v>
      </c>
      <c r="C12180" s="1" t="n">
        <v>45657</v>
      </c>
      <c r="D12180" t="inlineStr">
        <is>
          <t>VÄSTERNORRLANDS LÄN</t>
        </is>
      </c>
      <c r="E12180" t="inlineStr">
        <is>
          <t>KRAMFORS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4752-2024</t>
        </is>
      </c>
      <c r="B12181" s="1" t="n">
        <v>45328</v>
      </c>
      <c r="C12181" s="1" t="n">
        <v>45657</v>
      </c>
      <c r="D12181" t="inlineStr">
        <is>
          <t>VÄSTERNORRLANDS LÄN</t>
        </is>
      </c>
      <c r="E12181" t="inlineStr">
        <is>
          <t>KRAMFORS</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4809-2024</t>
        </is>
      </c>
      <c r="B12182" s="1" t="n">
        <v>45328</v>
      </c>
      <c r="C12182" s="1" t="n">
        <v>45657</v>
      </c>
      <c r="D12182" t="inlineStr">
        <is>
          <t>VÄSTERNORRLANDS LÄN</t>
        </is>
      </c>
      <c r="E12182" t="inlineStr">
        <is>
          <t>SOLLEFTEÅ</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4813-2024</t>
        </is>
      </c>
      <c r="B12183" s="1" t="n">
        <v>45328</v>
      </c>
      <c r="C12183" s="1" t="n">
        <v>45657</v>
      </c>
      <c r="D12183" t="inlineStr">
        <is>
          <t>VÄSTERNORRLANDS LÄN</t>
        </is>
      </c>
      <c r="E12183" t="inlineStr">
        <is>
          <t>SOLLEFTEÅ</t>
        </is>
      </c>
      <c r="F12183" t="inlineStr">
        <is>
          <t>SCA</t>
        </is>
      </c>
      <c r="G12183" t="n">
        <v>26.6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4821-2024</t>
        </is>
      </c>
      <c r="B12184" s="1" t="n">
        <v>45328</v>
      </c>
      <c r="C12184" s="1" t="n">
        <v>45657</v>
      </c>
      <c r="D12184" t="inlineStr">
        <is>
          <t>VÄSTERNORRLANDS LÄN</t>
        </is>
      </c>
      <c r="E12184" t="inlineStr">
        <is>
          <t>TIMRÅ</t>
        </is>
      </c>
      <c r="F12184" t="inlineStr">
        <is>
          <t>SCA</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4775-2024</t>
        </is>
      </c>
      <c r="B12185" s="1" t="n">
        <v>45328</v>
      </c>
      <c r="C12185" s="1" t="n">
        <v>45657</v>
      </c>
      <c r="D12185" t="inlineStr">
        <is>
          <t>VÄSTERNORRLANDS LÄN</t>
        </is>
      </c>
      <c r="E12185" t="inlineStr">
        <is>
          <t>KRAMFORS</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4808-2024</t>
        </is>
      </c>
      <c r="B12186" s="1" t="n">
        <v>45328</v>
      </c>
      <c r="C12186" s="1" t="n">
        <v>45657</v>
      </c>
      <c r="D12186" t="inlineStr">
        <is>
          <t>VÄSTERNORRLANDS LÄN</t>
        </is>
      </c>
      <c r="E12186" t="inlineStr">
        <is>
          <t>SOLLEFTEÅ</t>
        </is>
      </c>
      <c r="F12186" t="inlineStr">
        <is>
          <t>SCA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4812-2024</t>
        </is>
      </c>
      <c r="B12187" s="1" t="n">
        <v>45328</v>
      </c>
      <c r="C12187" s="1" t="n">
        <v>45657</v>
      </c>
      <c r="D12187" t="inlineStr">
        <is>
          <t>VÄSTERNORRLANDS LÄN</t>
        </is>
      </c>
      <c r="E12187" t="inlineStr">
        <is>
          <t>SOLLEFTEÅ</t>
        </is>
      </c>
      <c r="F12187" t="inlineStr">
        <is>
          <t>SCA</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4794-2024</t>
        </is>
      </c>
      <c r="B12188" s="1" t="n">
        <v>45328</v>
      </c>
      <c r="C12188" s="1" t="n">
        <v>45657</v>
      </c>
      <c r="D12188" t="inlineStr">
        <is>
          <t>VÄSTERNORRLANDS LÄN</t>
        </is>
      </c>
      <c r="E12188" t="inlineStr">
        <is>
          <t>ÖRNSKÖLDSVIK</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4806-2024</t>
        </is>
      </c>
      <c r="B12189" s="1" t="n">
        <v>45328</v>
      </c>
      <c r="C12189" s="1" t="n">
        <v>45657</v>
      </c>
      <c r="D12189" t="inlineStr">
        <is>
          <t>VÄSTERNORRLANDS LÄN</t>
        </is>
      </c>
      <c r="E12189" t="inlineStr">
        <is>
          <t>HÄRNÖSAND</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4810-2024</t>
        </is>
      </c>
      <c r="B12190" s="1" t="n">
        <v>45328</v>
      </c>
      <c r="C12190" s="1" t="n">
        <v>45657</v>
      </c>
      <c r="D12190" t="inlineStr">
        <is>
          <t>VÄSTERNORRLANDS LÄN</t>
        </is>
      </c>
      <c r="E12190" t="inlineStr">
        <is>
          <t>ÅNGE</t>
        </is>
      </c>
      <c r="F12190" t="inlineStr">
        <is>
          <t>SCA</t>
        </is>
      </c>
      <c r="G12190" t="n">
        <v>15.8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4818-2024</t>
        </is>
      </c>
      <c r="B12191" s="1" t="n">
        <v>45328</v>
      </c>
      <c r="C12191" s="1" t="n">
        <v>45657</v>
      </c>
      <c r="D12191" t="inlineStr">
        <is>
          <t>VÄSTERNORRLANDS LÄN</t>
        </is>
      </c>
      <c r="E12191" t="inlineStr">
        <is>
          <t>HÄRNÖSAND</t>
        </is>
      </c>
      <c r="F12191" t="inlineStr">
        <is>
          <t>SCA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4807-2024</t>
        </is>
      </c>
      <c r="B12192" s="1" t="n">
        <v>45328</v>
      </c>
      <c r="C12192" s="1" t="n">
        <v>45657</v>
      </c>
      <c r="D12192" t="inlineStr">
        <is>
          <t>VÄSTERNORRLANDS LÄN</t>
        </is>
      </c>
      <c r="E12192" t="inlineStr">
        <is>
          <t>ÅNGE</t>
        </is>
      </c>
      <c r="F12192" t="inlineStr">
        <is>
          <t>SCA</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4815-2024</t>
        </is>
      </c>
      <c r="B12193" s="1" t="n">
        <v>45328</v>
      </c>
      <c r="C12193" s="1" t="n">
        <v>45657</v>
      </c>
      <c r="D12193" t="inlineStr">
        <is>
          <t>VÄSTERNORRLANDS LÄN</t>
        </is>
      </c>
      <c r="E12193" t="inlineStr">
        <is>
          <t>KRAMFORS</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4819-2024</t>
        </is>
      </c>
      <c r="B12194" s="1" t="n">
        <v>45328</v>
      </c>
      <c r="C12194" s="1" t="n">
        <v>45657</v>
      </c>
      <c r="D12194" t="inlineStr">
        <is>
          <t>VÄSTERNORRLANDS LÄN</t>
        </is>
      </c>
      <c r="E12194" t="inlineStr">
        <is>
          <t>HÄRNÖSAND</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4852-2024</t>
        </is>
      </c>
      <c r="B12195" s="1" t="n">
        <v>45329</v>
      </c>
      <c r="C12195" s="1" t="n">
        <v>45657</v>
      </c>
      <c r="D12195" t="inlineStr">
        <is>
          <t>VÄSTERNORRLANDS LÄN</t>
        </is>
      </c>
      <c r="E12195" t="inlineStr">
        <is>
          <t>HÄRNÖSAND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4854-2024</t>
        </is>
      </c>
      <c r="B12196" s="1" t="n">
        <v>45329</v>
      </c>
      <c r="C12196" s="1" t="n">
        <v>45657</v>
      </c>
      <c r="D12196" t="inlineStr">
        <is>
          <t>VÄSTERNORRLANDS LÄN</t>
        </is>
      </c>
      <c r="E12196" t="inlineStr">
        <is>
          <t>HÄRNÖSAND</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4853-2024</t>
        </is>
      </c>
      <c r="B12197" s="1" t="n">
        <v>45329</v>
      </c>
      <c r="C12197" s="1" t="n">
        <v>45657</v>
      </c>
      <c r="D12197" t="inlineStr">
        <is>
          <t>VÄSTERNORRLANDS LÄN</t>
        </is>
      </c>
      <c r="E12197" t="inlineStr">
        <is>
          <t>HÄRNÖSAND</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4857-2024</t>
        </is>
      </c>
      <c r="B12198" s="1" t="n">
        <v>45329</v>
      </c>
      <c r="C12198" s="1" t="n">
        <v>45657</v>
      </c>
      <c r="D12198" t="inlineStr">
        <is>
          <t>VÄSTERNORRLANDS LÄN</t>
        </is>
      </c>
      <c r="E12198" t="inlineStr">
        <is>
          <t>SOLLEFTEÅ</t>
        </is>
      </c>
      <c r="G12198" t="n">
        <v>8.699999999999999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4891-2024</t>
        </is>
      </c>
      <c r="B12199" s="1" t="n">
        <v>45329</v>
      </c>
      <c r="C12199" s="1" t="n">
        <v>45657</v>
      </c>
      <c r="D12199" t="inlineStr">
        <is>
          <t>VÄSTERNORRLANDS LÄN</t>
        </is>
      </c>
      <c r="E12199" t="inlineStr">
        <is>
          <t>SUNDSVALL</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4904-2024</t>
        </is>
      </c>
      <c r="B12200" s="1" t="n">
        <v>45329</v>
      </c>
      <c r="C12200" s="1" t="n">
        <v>45657</v>
      </c>
      <c r="D12200" t="inlineStr">
        <is>
          <t>VÄSTERNORRLANDS LÄN</t>
        </is>
      </c>
      <c r="E12200" t="inlineStr">
        <is>
          <t>ÅNGE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4898-2024</t>
        </is>
      </c>
      <c r="B12201" s="1" t="n">
        <v>45329</v>
      </c>
      <c r="C12201" s="1" t="n">
        <v>45657</v>
      </c>
      <c r="D12201" t="inlineStr">
        <is>
          <t>VÄSTERNORRLANDS LÄN</t>
        </is>
      </c>
      <c r="E12201" t="inlineStr">
        <is>
          <t>ÅNGE</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4942-2024</t>
        </is>
      </c>
      <c r="B12202" s="1" t="n">
        <v>45329</v>
      </c>
      <c r="C12202" s="1" t="n">
        <v>45657</v>
      </c>
      <c r="D12202" t="inlineStr">
        <is>
          <t>VÄSTERNORRLANDS LÄN</t>
        </is>
      </c>
      <c r="E12202" t="inlineStr">
        <is>
          <t>SUNDSVALL</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4835-2024</t>
        </is>
      </c>
      <c r="B12203" s="1" t="n">
        <v>45329</v>
      </c>
      <c r="C12203" s="1" t="n">
        <v>45657</v>
      </c>
      <c r="D12203" t="inlineStr">
        <is>
          <t>VÄSTERNORRLANDS LÄN</t>
        </is>
      </c>
      <c r="E12203" t="inlineStr">
        <is>
          <t>ÖRNSKÖLDSVIK</t>
        </is>
      </c>
      <c r="F12203" t="inlineStr">
        <is>
          <t>Holmen skog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4859-2024</t>
        </is>
      </c>
      <c r="B12204" s="1" t="n">
        <v>45329</v>
      </c>
      <c r="C12204" s="1" t="n">
        <v>45657</v>
      </c>
      <c r="D12204" t="inlineStr">
        <is>
          <t>VÄSTERNORRLANDS LÄN</t>
        </is>
      </c>
      <c r="E12204" t="inlineStr">
        <is>
          <t>HÄRNÖSAND</t>
        </is>
      </c>
      <c r="G12204" t="n">
        <v>5.6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4957-2024</t>
        </is>
      </c>
      <c r="B12205" s="1" t="n">
        <v>45329</v>
      </c>
      <c r="C12205" s="1" t="n">
        <v>45657</v>
      </c>
      <c r="D12205" t="inlineStr">
        <is>
          <t>VÄSTERNORRLANDS LÄN</t>
        </is>
      </c>
      <c r="E12205" t="inlineStr">
        <is>
          <t>KRAMFORS</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4951-2024</t>
        </is>
      </c>
      <c r="B12206" s="1" t="n">
        <v>45329</v>
      </c>
      <c r="C12206" s="1" t="n">
        <v>45657</v>
      </c>
      <c r="D12206" t="inlineStr">
        <is>
          <t>VÄSTERNORRLANDS LÄN</t>
        </is>
      </c>
      <c r="E12206" t="inlineStr">
        <is>
          <t>KRAMFORS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4955-2024</t>
        </is>
      </c>
      <c r="B12207" s="1" t="n">
        <v>45329</v>
      </c>
      <c r="C12207" s="1" t="n">
        <v>45657</v>
      </c>
      <c r="D12207" t="inlineStr">
        <is>
          <t>VÄSTERNORRLANDS LÄN</t>
        </is>
      </c>
      <c r="E12207" t="inlineStr">
        <is>
          <t>KRAMFORS</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4979-2024</t>
        </is>
      </c>
      <c r="B12208" s="1" t="n">
        <v>45329</v>
      </c>
      <c r="C12208" s="1" t="n">
        <v>45657</v>
      </c>
      <c r="D12208" t="inlineStr">
        <is>
          <t>VÄSTERNORRLANDS LÄN</t>
        </is>
      </c>
      <c r="E12208" t="inlineStr">
        <is>
          <t>SUNDSVALL</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5035-2024</t>
        </is>
      </c>
      <c r="B12209" s="1" t="n">
        <v>45329</v>
      </c>
      <c r="C12209" s="1" t="n">
        <v>45657</v>
      </c>
      <c r="D12209" t="inlineStr">
        <is>
          <t>VÄSTERNORRLANDS LÄN</t>
        </is>
      </c>
      <c r="E12209" t="inlineStr">
        <is>
          <t>SOLLEFTEÅ</t>
        </is>
      </c>
      <c r="F12209" t="inlineStr">
        <is>
          <t>Övriga Aktiebolag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5057-2024</t>
        </is>
      </c>
      <c r="B12210" s="1" t="n">
        <v>45329</v>
      </c>
      <c r="C12210" s="1" t="n">
        <v>45657</v>
      </c>
      <c r="D12210" t="inlineStr">
        <is>
          <t>VÄSTERNORRLANDS LÄN</t>
        </is>
      </c>
      <c r="E12210" t="inlineStr">
        <is>
          <t>SOLLEFTEÅ</t>
        </is>
      </c>
      <c r="F12210" t="inlineStr">
        <is>
          <t>SCA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5065-2024</t>
        </is>
      </c>
      <c r="B12211" s="1" t="n">
        <v>45329</v>
      </c>
      <c r="C12211" s="1" t="n">
        <v>45657</v>
      </c>
      <c r="D12211" t="inlineStr">
        <is>
          <t>VÄSTERNORRLANDS LÄN</t>
        </is>
      </c>
      <c r="E12211" t="inlineStr">
        <is>
          <t>SUNDSVALL</t>
        </is>
      </c>
      <c r="F12211" t="inlineStr">
        <is>
          <t>SCA</t>
        </is>
      </c>
      <c r="G12211" t="n">
        <v>31.2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5036-2024</t>
        </is>
      </c>
      <c r="B12212" s="1" t="n">
        <v>45329</v>
      </c>
      <c r="C12212" s="1" t="n">
        <v>45657</v>
      </c>
      <c r="D12212" t="inlineStr">
        <is>
          <t>VÄSTERNORRLANDS LÄN</t>
        </is>
      </c>
      <c r="E12212" t="inlineStr">
        <is>
          <t>SOLLEFTEÅ</t>
        </is>
      </c>
      <c r="F12212" t="inlineStr">
        <is>
          <t>Övriga Aktiebolag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5040-2024</t>
        </is>
      </c>
      <c r="B12213" s="1" t="n">
        <v>45329</v>
      </c>
      <c r="C12213" s="1" t="n">
        <v>45657</v>
      </c>
      <c r="D12213" t="inlineStr">
        <is>
          <t>VÄSTERNORRLANDS LÄN</t>
        </is>
      </c>
      <c r="E12213" t="inlineStr">
        <is>
          <t>SOLLEFTEÅ</t>
        </is>
      </c>
      <c r="F12213" t="inlineStr">
        <is>
          <t>Övriga Aktiebolag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5060-2024</t>
        </is>
      </c>
      <c r="B12214" s="1" t="n">
        <v>45329</v>
      </c>
      <c r="C12214" s="1" t="n">
        <v>45657</v>
      </c>
      <c r="D12214" t="inlineStr">
        <is>
          <t>VÄSTERNORRLANDS LÄN</t>
        </is>
      </c>
      <c r="E12214" t="inlineStr">
        <is>
          <t>HÄRNÖSAND</t>
        </is>
      </c>
      <c r="F12214" t="inlineStr">
        <is>
          <t>SCA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5084-2024</t>
        </is>
      </c>
      <c r="B12215" s="1" t="n">
        <v>45329</v>
      </c>
      <c r="C12215" s="1" t="n">
        <v>45657</v>
      </c>
      <c r="D12215" t="inlineStr">
        <is>
          <t>VÄSTERNORRLANDS LÄN</t>
        </is>
      </c>
      <c r="E12215" t="inlineStr">
        <is>
          <t>ÖRNSKÖLDSVIK</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5072-2024</t>
        </is>
      </c>
      <c r="B12216" s="1" t="n">
        <v>45330</v>
      </c>
      <c r="C12216" s="1" t="n">
        <v>45657</v>
      </c>
      <c r="D12216" t="inlineStr">
        <is>
          <t>VÄSTERNORRLANDS LÄN</t>
        </is>
      </c>
      <c r="E12216" t="inlineStr">
        <is>
          <t>SOLLEFTEÅ</t>
        </is>
      </c>
      <c r="F12216" t="inlineStr">
        <is>
          <t>Övriga Aktiebolag</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5064-2024</t>
        </is>
      </c>
      <c r="B12217" s="1" t="n">
        <v>45329</v>
      </c>
      <c r="C12217" s="1" t="n">
        <v>45657</v>
      </c>
      <c r="D12217" t="inlineStr">
        <is>
          <t>VÄSTERNORRLANDS LÄN</t>
        </is>
      </c>
      <c r="E12217" t="inlineStr">
        <is>
          <t>SOLLEFTEÅ</t>
        </is>
      </c>
      <c r="F12217" t="inlineStr">
        <is>
          <t>SCA</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5061-2024</t>
        </is>
      </c>
      <c r="B12218" s="1" t="n">
        <v>45329</v>
      </c>
      <c r="C12218" s="1" t="n">
        <v>45657</v>
      </c>
      <c r="D12218" t="inlineStr">
        <is>
          <t>VÄSTERNORRLANDS LÄN</t>
        </is>
      </c>
      <c r="E12218" t="inlineStr">
        <is>
          <t>SOLLEFTEÅ</t>
        </is>
      </c>
      <c r="F12218" t="inlineStr">
        <is>
          <t>SCA</t>
        </is>
      </c>
      <c r="G12218" t="n">
        <v>34.1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5049-2024</t>
        </is>
      </c>
      <c r="B12219" s="1" t="n">
        <v>45329</v>
      </c>
      <c r="C12219" s="1" t="n">
        <v>45657</v>
      </c>
      <c r="D12219" t="inlineStr">
        <is>
          <t>VÄSTERNORRLANDS LÄN</t>
        </is>
      </c>
      <c r="E12219" t="inlineStr">
        <is>
          <t>KRAMFORS</t>
        </is>
      </c>
      <c r="G12219" t="n">
        <v>6.1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5073-2024</t>
        </is>
      </c>
      <c r="B12220" s="1" t="n">
        <v>45330</v>
      </c>
      <c r="C12220" s="1" t="n">
        <v>45657</v>
      </c>
      <c r="D12220" t="inlineStr">
        <is>
          <t>VÄSTERNORRLANDS LÄN</t>
        </is>
      </c>
      <c r="E12220" t="inlineStr">
        <is>
          <t>SOLLEFTEÅ</t>
        </is>
      </c>
      <c r="F12220" t="inlineStr">
        <is>
          <t>Övriga Aktiebolag</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5034-2024</t>
        </is>
      </c>
      <c r="B12221" s="1" t="n">
        <v>45329</v>
      </c>
      <c r="C12221" s="1" t="n">
        <v>45657</v>
      </c>
      <c r="D12221" t="inlineStr">
        <is>
          <t>VÄSTERNORRLANDS LÄN</t>
        </is>
      </c>
      <c r="E12221" t="inlineStr">
        <is>
          <t>SOLLEFTEÅ</t>
        </is>
      </c>
      <c r="F12221" t="inlineStr">
        <is>
          <t>Övriga Aktiebolag</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5038-2024</t>
        </is>
      </c>
      <c r="B12222" s="1" t="n">
        <v>45329</v>
      </c>
      <c r="C12222" s="1" t="n">
        <v>45657</v>
      </c>
      <c r="D12222" t="inlineStr">
        <is>
          <t>VÄSTERNORRLANDS LÄN</t>
        </is>
      </c>
      <c r="E12222" t="inlineStr">
        <is>
          <t>SOLLEFTEÅ</t>
        </is>
      </c>
      <c r="F12222" t="inlineStr">
        <is>
          <t>Övriga Aktiebolag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5066-2024</t>
        </is>
      </c>
      <c r="B12223" s="1" t="n">
        <v>45329</v>
      </c>
      <c r="C12223" s="1" t="n">
        <v>45657</v>
      </c>
      <c r="D12223" t="inlineStr">
        <is>
          <t>VÄSTERNORRLANDS LÄN</t>
        </is>
      </c>
      <c r="E12223" t="inlineStr">
        <is>
          <t>SUNDSVALL</t>
        </is>
      </c>
      <c r="F12223" t="inlineStr">
        <is>
          <t>SCA</t>
        </is>
      </c>
      <c r="G12223" t="n">
        <v>42.3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5062-2024</t>
        </is>
      </c>
      <c r="B12224" s="1" t="n">
        <v>45329</v>
      </c>
      <c r="C12224" s="1" t="n">
        <v>45657</v>
      </c>
      <c r="D12224" t="inlineStr">
        <is>
          <t>VÄSTERNORRLANDS LÄN</t>
        </is>
      </c>
      <c r="E12224" t="inlineStr">
        <is>
          <t>SOLLEFTEÅ</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5050-2024</t>
        </is>
      </c>
      <c r="B12225" s="1" t="n">
        <v>45329</v>
      </c>
      <c r="C12225" s="1" t="n">
        <v>45657</v>
      </c>
      <c r="D12225" t="inlineStr">
        <is>
          <t>VÄSTERNORRLANDS LÄN</t>
        </is>
      </c>
      <c r="E12225" t="inlineStr">
        <is>
          <t>HÄRNÖSAND</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5070-2024</t>
        </is>
      </c>
      <c r="B12226" s="1" t="n">
        <v>45329</v>
      </c>
      <c r="C12226" s="1" t="n">
        <v>45657</v>
      </c>
      <c r="D12226" t="inlineStr">
        <is>
          <t>VÄSTERNORRLANDS LÄN</t>
        </is>
      </c>
      <c r="E12226" t="inlineStr">
        <is>
          <t>KRAMFORS</t>
        </is>
      </c>
      <c r="G12226" t="n">
        <v>14.4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5058-2024</t>
        </is>
      </c>
      <c r="B12227" s="1" t="n">
        <v>45329</v>
      </c>
      <c r="C12227" s="1" t="n">
        <v>45657</v>
      </c>
      <c r="D12227" t="inlineStr">
        <is>
          <t>VÄSTERNORRLANDS LÄN</t>
        </is>
      </c>
      <c r="E12227" t="inlineStr">
        <is>
          <t>SOLLEFTEÅ</t>
        </is>
      </c>
      <c r="F12227" t="inlineStr">
        <is>
          <t>SCA</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5074-2024</t>
        </is>
      </c>
      <c r="B12228" s="1" t="n">
        <v>45330</v>
      </c>
      <c r="C12228" s="1" t="n">
        <v>45657</v>
      </c>
      <c r="D12228" t="inlineStr">
        <is>
          <t>VÄSTERNORRLANDS LÄN</t>
        </is>
      </c>
      <c r="E12228" t="inlineStr">
        <is>
          <t>SOLLEFTEÅ</t>
        </is>
      </c>
      <c r="F12228" t="inlineStr">
        <is>
          <t>Övriga Aktiebolag</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5059-2024</t>
        </is>
      </c>
      <c r="B12229" s="1" t="n">
        <v>45329</v>
      </c>
      <c r="C12229" s="1" t="n">
        <v>45657</v>
      </c>
      <c r="D12229" t="inlineStr">
        <is>
          <t>VÄSTERNORRLANDS LÄN</t>
        </is>
      </c>
      <c r="E12229" t="inlineStr">
        <is>
          <t>SOLLEFTEÅ</t>
        </is>
      </c>
      <c r="F12229" t="inlineStr">
        <is>
          <t>SCA</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5051-2024</t>
        </is>
      </c>
      <c r="B12230" s="1" t="n">
        <v>45329</v>
      </c>
      <c r="C12230" s="1" t="n">
        <v>45657</v>
      </c>
      <c r="D12230" t="inlineStr">
        <is>
          <t>VÄSTERNORRLANDS LÄN</t>
        </is>
      </c>
      <c r="E12230" t="inlineStr">
        <is>
          <t>HÄRNÖSAND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5075-2024</t>
        </is>
      </c>
      <c r="B12231" s="1" t="n">
        <v>45329</v>
      </c>
      <c r="C12231" s="1" t="n">
        <v>45657</v>
      </c>
      <c r="D12231" t="inlineStr">
        <is>
          <t>VÄSTERNORRLANDS LÄN</t>
        </is>
      </c>
      <c r="E12231" t="inlineStr">
        <is>
          <t>SOLLEFTEÅ</t>
        </is>
      </c>
      <c r="F12231" t="inlineStr">
        <is>
          <t>Övriga Aktiebolag</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5071-2024</t>
        </is>
      </c>
      <c r="B12232" s="1" t="n">
        <v>45329</v>
      </c>
      <c r="C12232" s="1" t="n">
        <v>45657</v>
      </c>
      <c r="D12232" t="inlineStr">
        <is>
          <t>VÄSTERNORRLANDS LÄN</t>
        </is>
      </c>
      <c r="E12232" t="inlineStr">
        <is>
          <t>KRAMFORS</t>
        </is>
      </c>
      <c r="G12232" t="n">
        <v>25.2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5063-2024</t>
        </is>
      </c>
      <c r="B12233" s="1" t="n">
        <v>45329</v>
      </c>
      <c r="C12233" s="1" t="n">
        <v>45657</v>
      </c>
      <c r="D12233" t="inlineStr">
        <is>
          <t>VÄSTERNORRLANDS LÄN</t>
        </is>
      </c>
      <c r="E12233" t="inlineStr">
        <is>
          <t>SOLLEFTEÅ</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5091-2024</t>
        </is>
      </c>
      <c r="B12234" s="1" t="n">
        <v>45330</v>
      </c>
      <c r="C12234" s="1" t="n">
        <v>45657</v>
      </c>
      <c r="D12234" t="inlineStr">
        <is>
          <t>VÄSTERNORRLANDS LÄN</t>
        </is>
      </c>
      <c r="E12234" t="inlineStr">
        <is>
          <t>KRAMFORS</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5103-2024</t>
        </is>
      </c>
      <c r="B12235" s="1" t="n">
        <v>45330</v>
      </c>
      <c r="C12235" s="1" t="n">
        <v>45657</v>
      </c>
      <c r="D12235" t="inlineStr">
        <is>
          <t>VÄSTERNORRLANDS LÄN</t>
        </is>
      </c>
      <c r="E12235" t="inlineStr">
        <is>
          <t>ÖRNSKÖLDSVIK</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5087-2024</t>
        </is>
      </c>
      <c r="B12236" s="1" t="n">
        <v>45330</v>
      </c>
      <c r="C12236" s="1" t="n">
        <v>45657</v>
      </c>
      <c r="D12236" t="inlineStr">
        <is>
          <t>VÄSTERNORRLANDS LÄN</t>
        </is>
      </c>
      <c r="E12236" t="inlineStr">
        <is>
          <t>ÖRNSKÖLDSVIK</t>
        </is>
      </c>
      <c r="G12236" t="n">
        <v>6.2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5120-2024</t>
        </is>
      </c>
      <c r="B12237" s="1" t="n">
        <v>45330</v>
      </c>
      <c r="C12237" s="1" t="n">
        <v>45657</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5114-2024</t>
        </is>
      </c>
      <c r="B12238" s="1" t="n">
        <v>45330</v>
      </c>
      <c r="C12238" s="1" t="n">
        <v>45657</v>
      </c>
      <c r="D12238" t="inlineStr">
        <is>
          <t>VÄSTERNORRLANDS LÄN</t>
        </is>
      </c>
      <c r="E12238" t="inlineStr">
        <is>
          <t>KRAMFORS</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5256-2024</t>
        </is>
      </c>
      <c r="B12239" s="1" t="n">
        <v>45330</v>
      </c>
      <c r="C12239" s="1" t="n">
        <v>45657</v>
      </c>
      <c r="D12239" t="inlineStr">
        <is>
          <t>VÄSTERNORRLANDS LÄN</t>
        </is>
      </c>
      <c r="E12239" t="inlineStr">
        <is>
          <t>SOLLEFTEÅ</t>
        </is>
      </c>
      <c r="F12239" t="inlineStr">
        <is>
          <t>SCA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5268-2024</t>
        </is>
      </c>
      <c r="B12240" s="1" t="n">
        <v>45330</v>
      </c>
      <c r="C12240" s="1" t="n">
        <v>45657</v>
      </c>
      <c r="D12240" t="inlineStr">
        <is>
          <t>VÄSTERNORRLANDS LÄN</t>
        </is>
      </c>
      <c r="E12240" t="inlineStr">
        <is>
          <t>ÅNGE</t>
        </is>
      </c>
      <c r="F12240" t="inlineStr">
        <is>
          <t>SCA</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5272-2024</t>
        </is>
      </c>
      <c r="B12241" s="1" t="n">
        <v>45330</v>
      </c>
      <c r="C12241" s="1" t="n">
        <v>45657</v>
      </c>
      <c r="D12241" t="inlineStr">
        <is>
          <t>VÄSTERNORRLANDS LÄN</t>
        </is>
      </c>
      <c r="E12241" t="inlineStr">
        <is>
          <t>HÄRNÖSAND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5255-2024</t>
        </is>
      </c>
      <c r="B12242" s="1" t="n">
        <v>45330</v>
      </c>
      <c r="C12242" s="1" t="n">
        <v>45657</v>
      </c>
      <c r="D12242" t="inlineStr">
        <is>
          <t>VÄSTERNORRLANDS LÄN</t>
        </is>
      </c>
      <c r="E12242" t="inlineStr">
        <is>
          <t>SOLLEFTEÅ</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5254-2024</t>
        </is>
      </c>
      <c r="B12243" s="1" t="n">
        <v>45330</v>
      </c>
      <c r="C12243" s="1" t="n">
        <v>45657</v>
      </c>
      <c r="D12243" t="inlineStr">
        <is>
          <t>VÄSTERNORRLANDS LÄN</t>
        </is>
      </c>
      <c r="E12243" t="inlineStr">
        <is>
          <t>SOLLEFTEÅ</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5274-2024</t>
        </is>
      </c>
      <c r="B12244" s="1" t="n">
        <v>45330</v>
      </c>
      <c r="C12244" s="1" t="n">
        <v>45657</v>
      </c>
      <c r="D12244" t="inlineStr">
        <is>
          <t>VÄSTERNORRLANDS LÄN</t>
        </is>
      </c>
      <c r="E12244" t="inlineStr">
        <is>
          <t>HÄRNÖSAND</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5271-2024</t>
        </is>
      </c>
      <c r="B12245" s="1" t="n">
        <v>45330</v>
      </c>
      <c r="C12245" s="1" t="n">
        <v>45657</v>
      </c>
      <c r="D12245" t="inlineStr">
        <is>
          <t>VÄSTERNORRLANDS LÄN</t>
        </is>
      </c>
      <c r="E12245" t="inlineStr">
        <is>
          <t>TIMRÅ</t>
        </is>
      </c>
      <c r="F12245" t="inlineStr">
        <is>
          <t>SCA</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5275-2024</t>
        </is>
      </c>
      <c r="B12246" s="1" t="n">
        <v>45330</v>
      </c>
      <c r="C12246" s="1" t="n">
        <v>45657</v>
      </c>
      <c r="D12246" t="inlineStr">
        <is>
          <t>VÄSTERNORRLANDS LÄN</t>
        </is>
      </c>
      <c r="E12246" t="inlineStr">
        <is>
          <t>HÄRNÖSAND</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5253-2024</t>
        </is>
      </c>
      <c r="B12247" s="1" t="n">
        <v>45330</v>
      </c>
      <c r="C12247" s="1" t="n">
        <v>45657</v>
      </c>
      <c r="D12247" t="inlineStr">
        <is>
          <t>VÄSTERNORRLANDS LÄN</t>
        </is>
      </c>
      <c r="E12247" t="inlineStr">
        <is>
          <t>SOLLEFTEÅ</t>
        </is>
      </c>
      <c r="G12247" t="n">
        <v>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5265-2024</t>
        </is>
      </c>
      <c r="B12248" s="1" t="n">
        <v>45330</v>
      </c>
      <c r="C12248" s="1" t="n">
        <v>45657</v>
      </c>
      <c r="D12248" t="inlineStr">
        <is>
          <t>VÄSTERNORRLANDS LÄN</t>
        </is>
      </c>
      <c r="E12248" t="inlineStr">
        <is>
          <t>TIMRÅ</t>
        </is>
      </c>
      <c r="F12248" t="inlineStr">
        <is>
          <t>SCA</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5273-2024</t>
        </is>
      </c>
      <c r="B12249" s="1" t="n">
        <v>45330</v>
      </c>
      <c r="C12249" s="1" t="n">
        <v>45657</v>
      </c>
      <c r="D12249" t="inlineStr">
        <is>
          <t>VÄSTERNORRLANDS LÄN</t>
        </is>
      </c>
      <c r="E12249" t="inlineStr">
        <is>
          <t>HÄRNÖSAND</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5421-2024</t>
        </is>
      </c>
      <c r="B12250" s="1" t="n">
        <v>45331</v>
      </c>
      <c r="C12250" s="1" t="n">
        <v>45657</v>
      </c>
      <c r="D12250" t="inlineStr">
        <is>
          <t>VÄSTERNORRLANDS LÄN</t>
        </is>
      </c>
      <c r="E12250" t="inlineStr">
        <is>
          <t>SUNDSVALL</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5381-2024</t>
        </is>
      </c>
      <c r="B12251" s="1" t="n">
        <v>45331</v>
      </c>
      <c r="C12251" s="1" t="n">
        <v>45657</v>
      </c>
      <c r="D12251" t="inlineStr">
        <is>
          <t>VÄSTERNORRLANDS LÄN</t>
        </is>
      </c>
      <c r="E12251" t="inlineStr">
        <is>
          <t>SUNDSVALL</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5418-2024</t>
        </is>
      </c>
      <c r="B12252" s="1" t="n">
        <v>45331</v>
      </c>
      <c r="C12252" s="1" t="n">
        <v>45657</v>
      </c>
      <c r="D12252" t="inlineStr">
        <is>
          <t>VÄSTERNORRLANDS LÄN</t>
        </is>
      </c>
      <c r="E12252" t="inlineStr">
        <is>
          <t>SUNDSVALL</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5316-2024</t>
        </is>
      </c>
      <c r="B12253" s="1" t="n">
        <v>45331</v>
      </c>
      <c r="C12253" s="1" t="n">
        <v>45657</v>
      </c>
      <c r="D12253" t="inlineStr">
        <is>
          <t>VÄSTERNORRLANDS LÄN</t>
        </is>
      </c>
      <c r="E12253" t="inlineStr">
        <is>
          <t>SUNDSVALL</t>
        </is>
      </c>
      <c r="G12253" t="n">
        <v>12.9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5422-2024</t>
        </is>
      </c>
      <c r="B12254" s="1" t="n">
        <v>45331</v>
      </c>
      <c r="C12254" s="1" t="n">
        <v>45657</v>
      </c>
      <c r="D12254" t="inlineStr">
        <is>
          <t>VÄSTERNORRLANDS LÄN</t>
        </is>
      </c>
      <c r="E12254" t="inlineStr">
        <is>
          <t>SUNDSVALL</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5433-2024</t>
        </is>
      </c>
      <c r="B12255" s="1" t="n">
        <v>45331</v>
      </c>
      <c r="C12255" s="1" t="n">
        <v>45657</v>
      </c>
      <c r="D12255" t="inlineStr">
        <is>
          <t>VÄSTERNORRLANDS LÄN</t>
        </is>
      </c>
      <c r="E12255" t="inlineStr">
        <is>
          <t>ÅNGE</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5446-2024</t>
        </is>
      </c>
      <c r="B12256" s="1" t="n">
        <v>45331</v>
      </c>
      <c r="C12256" s="1" t="n">
        <v>45657</v>
      </c>
      <c r="D12256" t="inlineStr">
        <is>
          <t>VÄSTERNORRLANDS LÄN</t>
        </is>
      </c>
      <c r="E12256" t="inlineStr">
        <is>
          <t>SOLLEFTEÅ</t>
        </is>
      </c>
      <c r="F12256" t="inlineStr">
        <is>
          <t>SCA</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5452-2024</t>
        </is>
      </c>
      <c r="B12257" s="1" t="n">
        <v>45331</v>
      </c>
      <c r="C12257" s="1" t="n">
        <v>45657</v>
      </c>
      <c r="D12257" t="inlineStr">
        <is>
          <t>VÄSTERNORRLANDS LÄN</t>
        </is>
      </c>
      <c r="E12257" t="inlineStr">
        <is>
          <t>SOLLEFTEÅ</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5456-2024</t>
        </is>
      </c>
      <c r="B12258" s="1" t="n">
        <v>45331</v>
      </c>
      <c r="C12258" s="1" t="n">
        <v>45657</v>
      </c>
      <c r="D12258" t="inlineStr">
        <is>
          <t>VÄSTERNORRLANDS LÄN</t>
        </is>
      </c>
      <c r="E12258" t="inlineStr">
        <is>
          <t>ÅNGE</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5609-2024</t>
        </is>
      </c>
      <c r="B12259" s="1" t="n">
        <v>45334</v>
      </c>
      <c r="C12259" s="1" t="n">
        <v>45657</v>
      </c>
      <c r="D12259" t="inlineStr">
        <is>
          <t>VÄSTERNORRLANDS LÄN</t>
        </is>
      </c>
      <c r="E12259" t="inlineStr">
        <is>
          <t>HÄRNÖSAND</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5613-2024</t>
        </is>
      </c>
      <c r="B12260" s="1" t="n">
        <v>45334</v>
      </c>
      <c r="C12260" s="1" t="n">
        <v>45657</v>
      </c>
      <c r="D12260" t="inlineStr">
        <is>
          <t>VÄSTERNORRLANDS LÄN</t>
        </is>
      </c>
      <c r="E12260" t="inlineStr">
        <is>
          <t>ÅNGE</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5648-2024</t>
        </is>
      </c>
      <c r="B12261" s="1" t="n">
        <v>45334</v>
      </c>
      <c r="C12261" s="1" t="n">
        <v>45657</v>
      </c>
      <c r="D12261" t="inlineStr">
        <is>
          <t>VÄSTERNORRLANDS LÄN</t>
        </is>
      </c>
      <c r="E12261" t="inlineStr">
        <is>
          <t>ÖRNSKÖLDSVIK</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5647-2024</t>
        </is>
      </c>
      <c r="B12262" s="1" t="n">
        <v>45334</v>
      </c>
      <c r="C12262" s="1" t="n">
        <v>45657</v>
      </c>
      <c r="D12262" t="inlineStr">
        <is>
          <t>VÄSTERNORRLANDS LÄN</t>
        </is>
      </c>
      <c r="E12262" t="inlineStr">
        <is>
          <t>ÅNGE</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5659-2024</t>
        </is>
      </c>
      <c r="B12263" s="1" t="n">
        <v>45334</v>
      </c>
      <c r="C12263" s="1" t="n">
        <v>45657</v>
      </c>
      <c r="D12263" t="inlineStr">
        <is>
          <t>VÄSTERNORRLANDS LÄN</t>
        </is>
      </c>
      <c r="E12263" t="inlineStr">
        <is>
          <t>ÅNGE</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5728-2024</t>
        </is>
      </c>
      <c r="B12264" s="1" t="n">
        <v>45334</v>
      </c>
      <c r="C12264" s="1" t="n">
        <v>45657</v>
      </c>
      <c r="D12264" t="inlineStr">
        <is>
          <t>VÄSTERNORRLANDS LÄN</t>
        </is>
      </c>
      <c r="E12264" t="inlineStr">
        <is>
          <t>SUNDSVALL</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5721-2024</t>
        </is>
      </c>
      <c r="B12265" s="1" t="n">
        <v>45334</v>
      </c>
      <c r="C12265" s="1" t="n">
        <v>45657</v>
      </c>
      <c r="D12265" t="inlineStr">
        <is>
          <t>VÄSTERNORRLANDS LÄN</t>
        </is>
      </c>
      <c r="E12265" t="inlineStr">
        <is>
          <t>SUNDSVALL</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5738-2024</t>
        </is>
      </c>
      <c r="B12266" s="1" t="n">
        <v>45334</v>
      </c>
      <c r="C12266" s="1" t="n">
        <v>45657</v>
      </c>
      <c r="D12266" t="inlineStr">
        <is>
          <t>VÄSTERNORRLANDS LÄN</t>
        </is>
      </c>
      <c r="E12266" t="inlineStr">
        <is>
          <t>SUNDSVALL</t>
        </is>
      </c>
      <c r="F12266" t="inlineStr">
        <is>
          <t>Naturvårdsverket</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5722-2024</t>
        </is>
      </c>
      <c r="B12267" s="1" t="n">
        <v>45334</v>
      </c>
      <c r="C12267" s="1" t="n">
        <v>45657</v>
      </c>
      <c r="D12267" t="inlineStr">
        <is>
          <t>VÄSTERNORRLANDS LÄN</t>
        </is>
      </c>
      <c r="E12267" t="inlineStr">
        <is>
          <t>TIMRÅ</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5727-2024</t>
        </is>
      </c>
      <c r="B12268" s="1" t="n">
        <v>45334</v>
      </c>
      <c r="C12268" s="1" t="n">
        <v>45657</v>
      </c>
      <c r="D12268" t="inlineStr">
        <is>
          <t>VÄSTERNORRLANDS LÄN</t>
        </is>
      </c>
      <c r="E12268" t="inlineStr">
        <is>
          <t>KRAMFORS</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5765-2024</t>
        </is>
      </c>
      <c r="B12269" s="1" t="n">
        <v>45335</v>
      </c>
      <c r="C12269" s="1" t="n">
        <v>45657</v>
      </c>
      <c r="D12269" t="inlineStr">
        <is>
          <t>VÄSTERNORRLANDS LÄN</t>
        </is>
      </c>
      <c r="E12269" t="inlineStr">
        <is>
          <t>SUNDSVALL</t>
        </is>
      </c>
      <c r="G12269" t="n">
        <v>20.9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5754-2024</t>
        </is>
      </c>
      <c r="B12270" s="1" t="n">
        <v>45335</v>
      </c>
      <c r="C12270" s="1" t="n">
        <v>45657</v>
      </c>
      <c r="D12270" t="inlineStr">
        <is>
          <t>VÄSTERNORRLANDS LÄN</t>
        </is>
      </c>
      <c r="E12270" t="inlineStr">
        <is>
          <t>SUNDSVALL</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5772-2024</t>
        </is>
      </c>
      <c r="B12271" s="1" t="n">
        <v>45335</v>
      </c>
      <c r="C12271" s="1" t="n">
        <v>45657</v>
      </c>
      <c r="D12271" t="inlineStr">
        <is>
          <t>VÄSTERNORRLANDS LÄN</t>
        </is>
      </c>
      <c r="E12271" t="inlineStr">
        <is>
          <t>ÖRNSKÖLDSVIK</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5776-2024</t>
        </is>
      </c>
      <c r="B12272" s="1" t="n">
        <v>45335</v>
      </c>
      <c r="C12272" s="1" t="n">
        <v>45657</v>
      </c>
      <c r="D12272" t="inlineStr">
        <is>
          <t>VÄSTERNORRLANDS LÄN</t>
        </is>
      </c>
      <c r="E12272" t="inlineStr">
        <is>
          <t>ÖRNSKÖLDSVIK</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5854-2024</t>
        </is>
      </c>
      <c r="B12273" s="1" t="n">
        <v>45335</v>
      </c>
      <c r="C12273" s="1" t="n">
        <v>45657</v>
      </c>
      <c r="D12273" t="inlineStr">
        <is>
          <t>VÄSTERNORRLANDS LÄN</t>
        </is>
      </c>
      <c r="E12273" t="inlineStr">
        <is>
          <t>SOLLEFTEÅ</t>
        </is>
      </c>
      <c r="F12273" t="inlineStr">
        <is>
          <t>Övriga Aktiebolag</t>
        </is>
      </c>
      <c r="G12273" t="n">
        <v>24.9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5874-2024</t>
        </is>
      </c>
      <c r="B12274" s="1" t="n">
        <v>45335</v>
      </c>
      <c r="C12274" s="1" t="n">
        <v>45657</v>
      </c>
      <c r="D12274" t="inlineStr">
        <is>
          <t>VÄSTERNORRLANDS LÄN</t>
        </is>
      </c>
      <c r="E12274" t="inlineStr">
        <is>
          <t>SOLLEFTEÅ</t>
        </is>
      </c>
      <c r="F12274" t="inlineStr">
        <is>
          <t>Övriga Aktiebolag</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5849-2024</t>
        </is>
      </c>
      <c r="B12275" s="1" t="n">
        <v>45335</v>
      </c>
      <c r="C12275" s="1" t="n">
        <v>45657</v>
      </c>
      <c r="D12275" t="inlineStr">
        <is>
          <t>VÄSTERNORRLANDS LÄN</t>
        </is>
      </c>
      <c r="E12275" t="inlineStr">
        <is>
          <t>ÖRNSKÖLDSVIK</t>
        </is>
      </c>
      <c r="F12275" t="inlineStr">
        <is>
          <t>Holmen skog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5867-2024</t>
        </is>
      </c>
      <c r="B12276" s="1" t="n">
        <v>45335</v>
      </c>
      <c r="C12276" s="1" t="n">
        <v>45657</v>
      </c>
      <c r="D12276" t="inlineStr">
        <is>
          <t>VÄSTERNORRLANDS LÄN</t>
        </is>
      </c>
      <c r="E12276" t="inlineStr">
        <is>
          <t>SOLLEFTEÅ</t>
        </is>
      </c>
      <c r="F12276" t="inlineStr">
        <is>
          <t>Övriga Aktiebolag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5871-2024</t>
        </is>
      </c>
      <c r="B12277" s="1" t="n">
        <v>45335</v>
      </c>
      <c r="C12277" s="1" t="n">
        <v>45657</v>
      </c>
      <c r="D12277" t="inlineStr">
        <is>
          <t>VÄSTERNORRLANDS LÄN</t>
        </is>
      </c>
      <c r="E12277" t="inlineStr">
        <is>
          <t>SOLLEFTEÅ</t>
        </is>
      </c>
      <c r="F12277" t="inlineStr">
        <is>
          <t>Övriga Aktiebolag</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5882-2024</t>
        </is>
      </c>
      <c r="B12278" s="1" t="n">
        <v>45335</v>
      </c>
      <c r="C12278" s="1" t="n">
        <v>45657</v>
      </c>
      <c r="D12278" t="inlineStr">
        <is>
          <t>VÄSTERNORRLANDS LÄN</t>
        </is>
      </c>
      <c r="E12278" t="inlineStr">
        <is>
          <t>SOLLEFTEÅ</t>
        </is>
      </c>
      <c r="F12278" t="inlineStr">
        <is>
          <t>Övriga Aktiebolag</t>
        </is>
      </c>
      <c r="G12278" t="n">
        <v>13.2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5918-2024</t>
        </is>
      </c>
      <c r="B12279" s="1" t="n">
        <v>45335</v>
      </c>
      <c r="C12279" s="1" t="n">
        <v>45657</v>
      </c>
      <c r="D12279" t="inlineStr">
        <is>
          <t>VÄSTERNORRLANDS LÄN</t>
        </is>
      </c>
      <c r="E12279" t="inlineStr">
        <is>
          <t>SUNDSVALL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5919-2024</t>
        </is>
      </c>
      <c r="B12280" s="1" t="n">
        <v>45335</v>
      </c>
      <c r="C12280" s="1" t="n">
        <v>45657</v>
      </c>
      <c r="D12280" t="inlineStr">
        <is>
          <t>VÄSTERNORRLANDS LÄN</t>
        </is>
      </c>
      <c r="E12280" t="inlineStr">
        <is>
          <t>SOLLEFTEÅ</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5909-2024</t>
        </is>
      </c>
      <c r="B12281" s="1" t="n">
        <v>45335</v>
      </c>
      <c r="C12281" s="1" t="n">
        <v>45657</v>
      </c>
      <c r="D12281" t="inlineStr">
        <is>
          <t>VÄSTERNORRLANDS LÄN</t>
        </is>
      </c>
      <c r="E12281" t="inlineStr">
        <is>
          <t>SOLLEFTEÅ</t>
        </is>
      </c>
      <c r="F12281" t="inlineStr">
        <is>
          <t>SCA</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5917-2024</t>
        </is>
      </c>
      <c r="B12282" s="1" t="n">
        <v>45335</v>
      </c>
      <c r="C12282" s="1" t="n">
        <v>45657</v>
      </c>
      <c r="D12282" t="inlineStr">
        <is>
          <t>VÄSTERNORRLANDS LÄN</t>
        </is>
      </c>
      <c r="E12282" t="inlineStr">
        <is>
          <t>SOLLEFTEÅ</t>
        </is>
      </c>
      <c r="F12282" t="inlineStr">
        <is>
          <t>SCA</t>
        </is>
      </c>
      <c r="G12282" t="n">
        <v>21.2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5921-2024</t>
        </is>
      </c>
      <c r="B12283" s="1" t="n">
        <v>45335</v>
      </c>
      <c r="C12283" s="1" t="n">
        <v>45657</v>
      </c>
      <c r="D12283" t="inlineStr">
        <is>
          <t>VÄSTERNORRLANDS LÄN</t>
        </is>
      </c>
      <c r="E12283" t="inlineStr">
        <is>
          <t>TIMRÅ</t>
        </is>
      </c>
      <c r="F12283" t="inlineStr">
        <is>
          <t>SCA</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5934-2024</t>
        </is>
      </c>
      <c r="B12284" s="1" t="n">
        <v>45336</v>
      </c>
      <c r="C12284" s="1" t="n">
        <v>45657</v>
      </c>
      <c r="D12284" t="inlineStr">
        <is>
          <t>VÄSTERNORRLANDS LÄN</t>
        </is>
      </c>
      <c r="E12284" t="inlineStr">
        <is>
          <t>SOLLEFTEÅ</t>
        </is>
      </c>
      <c r="F12284" t="inlineStr">
        <is>
          <t>Holmen skog AB</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6059-2024</t>
        </is>
      </c>
      <c r="B12285" s="1" t="n">
        <v>45336</v>
      </c>
      <c r="C12285" s="1" t="n">
        <v>45657</v>
      </c>
      <c r="D12285" t="inlineStr">
        <is>
          <t>VÄSTERNORRLANDS LÄN</t>
        </is>
      </c>
      <c r="E12285" t="inlineStr">
        <is>
          <t>SOLLEFTEÅ</t>
        </is>
      </c>
      <c r="F12285" t="inlineStr">
        <is>
          <t>Övriga Aktiebolag</t>
        </is>
      </c>
      <c r="G12285" t="n">
        <v>12.2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6063-2024</t>
        </is>
      </c>
      <c r="B12286" s="1" t="n">
        <v>45336</v>
      </c>
      <c r="C12286" s="1" t="n">
        <v>45657</v>
      </c>
      <c r="D12286" t="inlineStr">
        <is>
          <t>VÄSTERNORRLANDS LÄN</t>
        </is>
      </c>
      <c r="E12286" t="inlineStr">
        <is>
          <t>SOLLEFTEÅ</t>
        </is>
      </c>
      <c r="F12286" t="inlineStr">
        <is>
          <t>Övriga Aktiebolag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6067-2024</t>
        </is>
      </c>
      <c r="B12287" s="1" t="n">
        <v>45336</v>
      </c>
      <c r="C12287" s="1" t="n">
        <v>45657</v>
      </c>
      <c r="D12287" t="inlineStr">
        <is>
          <t>VÄSTERNORRLANDS LÄN</t>
        </is>
      </c>
      <c r="E12287" t="inlineStr">
        <is>
          <t>SOLLEFTEÅ</t>
        </is>
      </c>
      <c r="F12287" t="inlineStr">
        <is>
          <t>Övriga Aktiebolag</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6058-2024</t>
        </is>
      </c>
      <c r="B12288" s="1" t="n">
        <v>45336</v>
      </c>
      <c r="C12288" s="1" t="n">
        <v>45657</v>
      </c>
      <c r="D12288" t="inlineStr">
        <is>
          <t>VÄSTERNORRLANDS LÄN</t>
        </is>
      </c>
      <c r="E12288" t="inlineStr">
        <is>
          <t>SOLLEFTEÅ</t>
        </is>
      </c>
      <c r="F12288" t="inlineStr">
        <is>
          <t>Övriga Aktiebolag</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6060-2024</t>
        </is>
      </c>
      <c r="B12289" s="1" t="n">
        <v>45336</v>
      </c>
      <c r="C12289" s="1" t="n">
        <v>45657</v>
      </c>
      <c r="D12289" t="inlineStr">
        <is>
          <t>VÄSTERNORRLANDS LÄN</t>
        </is>
      </c>
      <c r="E12289" t="inlineStr">
        <is>
          <t>KRAMFORS</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6064-2024</t>
        </is>
      </c>
      <c r="B12290" s="1" t="n">
        <v>45336</v>
      </c>
      <c r="C12290" s="1" t="n">
        <v>45657</v>
      </c>
      <c r="D12290" t="inlineStr">
        <is>
          <t>VÄSTERNORRLANDS LÄN</t>
        </is>
      </c>
      <c r="E12290" t="inlineStr">
        <is>
          <t>SOLLEFTEÅ</t>
        </is>
      </c>
      <c r="F12290" t="inlineStr">
        <is>
          <t>Övriga Aktiebolag</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6028-2024</t>
        </is>
      </c>
      <c r="B12291" s="1" t="n">
        <v>45336</v>
      </c>
      <c r="C12291" s="1" t="n">
        <v>45657</v>
      </c>
      <c r="D12291" t="inlineStr">
        <is>
          <t>VÄSTERNORRLANDS LÄN</t>
        </is>
      </c>
      <c r="E12291" t="inlineStr">
        <is>
          <t>ÅNGE</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6066-2024</t>
        </is>
      </c>
      <c r="B12292" s="1" t="n">
        <v>45336</v>
      </c>
      <c r="C12292" s="1" t="n">
        <v>45657</v>
      </c>
      <c r="D12292" t="inlineStr">
        <is>
          <t>VÄSTERNORRLANDS LÄN</t>
        </is>
      </c>
      <c r="E12292" t="inlineStr">
        <is>
          <t>SOLLEFTEÅ</t>
        </is>
      </c>
      <c r="F12292" t="inlineStr">
        <is>
          <t>Övriga Aktiebolag</t>
        </is>
      </c>
      <c r="G12292" t="n">
        <v>14.8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6082-2024</t>
        </is>
      </c>
      <c r="B12293" s="1" t="n">
        <v>45336</v>
      </c>
      <c r="C12293" s="1" t="n">
        <v>45657</v>
      </c>
      <c r="D12293" t="inlineStr">
        <is>
          <t>VÄSTERNORRLANDS LÄN</t>
        </is>
      </c>
      <c r="E12293" t="inlineStr">
        <is>
          <t>SUNDSVALL</t>
        </is>
      </c>
      <c r="F12293" t="inlineStr">
        <is>
          <t>SCA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6068-2024</t>
        </is>
      </c>
      <c r="B12294" s="1" t="n">
        <v>45336</v>
      </c>
      <c r="C12294" s="1" t="n">
        <v>45657</v>
      </c>
      <c r="D12294" t="inlineStr">
        <is>
          <t>VÄSTERNORRLANDS LÄN</t>
        </is>
      </c>
      <c r="E12294" t="inlineStr">
        <is>
          <t>SOLLEFTEÅ</t>
        </is>
      </c>
      <c r="F12294" t="inlineStr">
        <is>
          <t>Övriga Aktiebolag</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6080-2024</t>
        </is>
      </c>
      <c r="B12295" s="1" t="n">
        <v>45336</v>
      </c>
      <c r="C12295" s="1" t="n">
        <v>45657</v>
      </c>
      <c r="D12295" t="inlineStr">
        <is>
          <t>VÄSTERNORRLANDS LÄN</t>
        </is>
      </c>
      <c r="E12295" t="inlineStr">
        <is>
          <t>HÄRNÖSAND</t>
        </is>
      </c>
      <c r="F12295" t="inlineStr">
        <is>
          <t>SCA</t>
        </is>
      </c>
      <c r="G12295" t="n">
        <v>10.3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6088-2024</t>
        </is>
      </c>
      <c r="B12296" s="1" t="n">
        <v>45336</v>
      </c>
      <c r="C12296" s="1" t="n">
        <v>45657</v>
      </c>
      <c r="D12296" t="inlineStr">
        <is>
          <t>VÄSTERNORRLANDS LÄN</t>
        </is>
      </c>
      <c r="E12296" t="inlineStr">
        <is>
          <t>TIMRÅ</t>
        </is>
      </c>
      <c r="F12296" t="inlineStr">
        <is>
          <t>SCA</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6057-2024</t>
        </is>
      </c>
      <c r="B12297" s="1" t="n">
        <v>45336</v>
      </c>
      <c r="C12297" s="1" t="n">
        <v>45657</v>
      </c>
      <c r="D12297" t="inlineStr">
        <is>
          <t>VÄSTERNORRLANDS LÄN</t>
        </is>
      </c>
      <c r="E12297" t="inlineStr">
        <is>
          <t>SOLLEFTEÅ</t>
        </is>
      </c>
      <c r="F12297" t="inlineStr">
        <is>
          <t>Övriga Aktiebolag</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6061-2024</t>
        </is>
      </c>
      <c r="B12298" s="1" t="n">
        <v>45336</v>
      </c>
      <c r="C12298" s="1" t="n">
        <v>45657</v>
      </c>
      <c r="D12298" t="inlineStr">
        <is>
          <t>VÄSTERNORRLANDS LÄN</t>
        </is>
      </c>
      <c r="E12298" t="inlineStr">
        <is>
          <t>KRAMFORS</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6065-2024</t>
        </is>
      </c>
      <c r="B12299" s="1" t="n">
        <v>45336</v>
      </c>
      <c r="C12299" s="1" t="n">
        <v>45657</v>
      </c>
      <c r="D12299" t="inlineStr">
        <is>
          <t>VÄSTERNORRLANDS LÄN</t>
        </is>
      </c>
      <c r="E12299" t="inlineStr">
        <is>
          <t>SOLLEFTEÅ</t>
        </is>
      </c>
      <c r="F12299" t="inlineStr">
        <is>
          <t>Övriga Aktiebolag</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6119-2024</t>
        </is>
      </c>
      <c r="B12300" s="1" t="n">
        <v>45337</v>
      </c>
      <c r="C12300" s="1" t="n">
        <v>45657</v>
      </c>
      <c r="D12300" t="inlineStr">
        <is>
          <t>VÄSTERNORRLANDS LÄN</t>
        </is>
      </c>
      <c r="E12300" t="inlineStr">
        <is>
          <t>ÖRNSKÖLDSVIK</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6139-2024</t>
        </is>
      </c>
      <c r="B12301" s="1" t="n">
        <v>45337</v>
      </c>
      <c r="C12301" s="1" t="n">
        <v>45657</v>
      </c>
      <c r="D12301" t="inlineStr">
        <is>
          <t>VÄSTERNORRLANDS LÄN</t>
        </is>
      </c>
      <c r="E12301" t="inlineStr">
        <is>
          <t>SOLLEFTEÅ</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6279-2024</t>
        </is>
      </c>
      <c r="B12302" s="1" t="n">
        <v>45337</v>
      </c>
      <c r="C12302" s="1" t="n">
        <v>45657</v>
      </c>
      <c r="D12302" t="inlineStr">
        <is>
          <t>VÄSTERNORRLANDS LÄN</t>
        </is>
      </c>
      <c r="E12302" t="inlineStr">
        <is>
          <t>SOLLEFTEÅ</t>
        </is>
      </c>
      <c r="F12302" t="inlineStr">
        <is>
          <t>SCA</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6270-2024</t>
        </is>
      </c>
      <c r="B12303" s="1" t="n">
        <v>45337</v>
      </c>
      <c r="C12303" s="1" t="n">
        <v>45657</v>
      </c>
      <c r="D12303" t="inlineStr">
        <is>
          <t>VÄSTERNORRLANDS LÄN</t>
        </is>
      </c>
      <c r="E12303" t="inlineStr">
        <is>
          <t>SUNDSVALL</t>
        </is>
      </c>
      <c r="G12303" t="n">
        <v>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6274-2024</t>
        </is>
      </c>
      <c r="B12304" s="1" t="n">
        <v>45337</v>
      </c>
      <c r="C12304" s="1" t="n">
        <v>45657</v>
      </c>
      <c r="D12304" t="inlineStr">
        <is>
          <t>VÄSTERNORRLANDS LÄN</t>
        </is>
      </c>
      <c r="E12304" t="inlineStr">
        <is>
          <t>ÖRNSKÖLDSVIK</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6150-2024</t>
        </is>
      </c>
      <c r="B12305" s="1" t="n">
        <v>45337</v>
      </c>
      <c r="C12305" s="1" t="n">
        <v>45657</v>
      </c>
      <c r="D12305" t="inlineStr">
        <is>
          <t>VÄSTERNORRLANDS LÄN</t>
        </is>
      </c>
      <c r="E12305" t="inlineStr">
        <is>
          <t>ÖRNSKÖLDSVIK</t>
        </is>
      </c>
      <c r="F12305" t="inlineStr">
        <is>
          <t>Holmen skog AB</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6125-2024</t>
        </is>
      </c>
      <c r="B12306" s="1" t="n">
        <v>45337</v>
      </c>
      <c r="C12306" s="1" t="n">
        <v>45657</v>
      </c>
      <c r="D12306" t="inlineStr">
        <is>
          <t>VÄSTERNORRLANDS LÄN</t>
        </is>
      </c>
      <c r="E12306" t="inlineStr">
        <is>
          <t>SOLLEFTEÅ</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6269-2024</t>
        </is>
      </c>
      <c r="B12307" s="1" t="n">
        <v>45337</v>
      </c>
      <c r="C12307" s="1" t="n">
        <v>45657</v>
      </c>
      <c r="D12307" t="inlineStr">
        <is>
          <t>VÄSTERNORRLANDS LÄN</t>
        </is>
      </c>
      <c r="E12307" t="inlineStr">
        <is>
          <t>SUNDSVALL</t>
        </is>
      </c>
      <c r="G12307" t="n">
        <v>9.699999999999999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6273-2024</t>
        </is>
      </c>
      <c r="B12308" s="1" t="n">
        <v>45337</v>
      </c>
      <c r="C12308" s="1" t="n">
        <v>45657</v>
      </c>
      <c r="D12308" t="inlineStr">
        <is>
          <t>VÄSTERNORRLANDS LÄN</t>
        </is>
      </c>
      <c r="E12308" t="inlineStr">
        <is>
          <t>ÖRNSKÖLDSVIK</t>
        </is>
      </c>
      <c r="F12308" t="inlineStr">
        <is>
          <t>SCA</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6282-2024</t>
        </is>
      </c>
      <c r="B12309" s="1" t="n">
        <v>45337</v>
      </c>
      <c r="C12309" s="1" t="n">
        <v>45657</v>
      </c>
      <c r="D12309" t="inlineStr">
        <is>
          <t>VÄSTERNORRLANDS LÄN</t>
        </is>
      </c>
      <c r="E12309" t="inlineStr">
        <is>
          <t>SOLLEFTEÅ</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6359-2024</t>
        </is>
      </c>
      <c r="B12310" s="1" t="n">
        <v>45338</v>
      </c>
      <c r="C12310" s="1" t="n">
        <v>45657</v>
      </c>
      <c r="D12310" t="inlineStr">
        <is>
          <t>VÄSTERNORRLANDS LÄN</t>
        </is>
      </c>
      <c r="E12310" t="inlineStr">
        <is>
          <t>ÖRNSKÖLDSVIK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6383-2024</t>
        </is>
      </c>
      <c r="B12311" s="1" t="n">
        <v>45338</v>
      </c>
      <c r="C12311" s="1" t="n">
        <v>45657</v>
      </c>
      <c r="D12311" t="inlineStr">
        <is>
          <t>VÄSTERNORRLANDS LÄN</t>
        </is>
      </c>
      <c r="E12311" t="inlineStr">
        <is>
          <t>ÖRNSKÖLDSVIK</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6424-2024</t>
        </is>
      </c>
      <c r="B12312" s="1" t="n">
        <v>45338</v>
      </c>
      <c r="C12312" s="1" t="n">
        <v>45657</v>
      </c>
      <c r="D12312" t="inlineStr">
        <is>
          <t>VÄSTERNORRLANDS LÄN</t>
        </is>
      </c>
      <c r="E12312" t="inlineStr">
        <is>
          <t>ÖRNSKÖLDSVIK</t>
        </is>
      </c>
      <c r="F12312" t="inlineStr">
        <is>
          <t>Holmen skog AB</t>
        </is>
      </c>
      <c r="G12312" t="n">
        <v>7.9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6352-2024</t>
        </is>
      </c>
      <c r="B12313" s="1" t="n">
        <v>45338</v>
      </c>
      <c r="C12313" s="1" t="n">
        <v>45657</v>
      </c>
      <c r="D12313" t="inlineStr">
        <is>
          <t>VÄSTERNORRLANDS LÄN</t>
        </is>
      </c>
      <c r="E12313" t="inlineStr">
        <is>
          <t>SOLLEFTEÅ</t>
        </is>
      </c>
      <c r="F12313" t="inlineStr">
        <is>
          <t>Holmen skog AB</t>
        </is>
      </c>
      <c r="G12313" t="n">
        <v>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6380-2024</t>
        </is>
      </c>
      <c r="B12314" s="1" t="n">
        <v>45338</v>
      </c>
      <c r="C12314" s="1" t="n">
        <v>45657</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6419-2024</t>
        </is>
      </c>
      <c r="B12315" s="1" t="n">
        <v>45338</v>
      </c>
      <c r="C12315" s="1" t="n">
        <v>45657</v>
      </c>
      <c r="D12315" t="inlineStr">
        <is>
          <t>VÄSTERNORRLANDS LÄN</t>
        </is>
      </c>
      <c r="E12315" t="inlineStr">
        <is>
          <t>ÖRNSKÖLDSVIK</t>
        </is>
      </c>
      <c r="F12315" t="inlineStr">
        <is>
          <t>Holmen skog AB</t>
        </is>
      </c>
      <c r="G12315" t="n">
        <v>1.5</v>
      </c>
      <c r="H12315" t="n">
        <v>0</v>
      </c>
      <c r="I12315" t="n">
        <v>0</v>
      </c>
      <c r="J12315" t="n">
        <v>0</v>
      </c>
      <c r="K12315" t="n">
        <v>0</v>
      </c>
      <c r="L12315" t="n">
        <v>0</v>
      </c>
      <c r="M12315" t="n">
        <v>0</v>
      </c>
      <c r="N12315" t="n">
        <v>0</v>
      </c>
      <c r="O12315" t="n">
        <v>0</v>
      </c>
      <c r="P12315" t="n">
        <v>0</v>
      </c>
      <c r="Q12315" t="n">
        <v>0</v>
      </c>
      <c r="R12315" s="2" t="inlineStr"/>
      <c r="U12315">
        <f>HYPERLINK("https://klasma.github.io/Logging_2284/knärot/A 6419-2024 karta knärot.png", "A 6419-2024")</f>
        <v/>
      </c>
      <c r="V12315">
        <f>HYPERLINK("https://klasma.github.io/Logging_2284/klagomål/A 6419-2024 FSC-klagomål.docx", "A 6419-2024")</f>
        <v/>
      </c>
      <c r="W12315">
        <f>HYPERLINK("https://klasma.github.io/Logging_2284/klagomålsmail/A 6419-2024 FSC-klagomål mail.docx", "A 6419-2024")</f>
        <v/>
      </c>
      <c r="X12315">
        <f>HYPERLINK("https://klasma.github.io/Logging_2284/tillsyn/A 6419-2024 tillsynsbegäran.docx", "A 6419-2024")</f>
        <v/>
      </c>
      <c r="Y12315">
        <f>HYPERLINK("https://klasma.github.io/Logging_2284/tillsynsmail/A 6419-2024 tillsynsbegäran mail.docx", "A 6419-2024")</f>
        <v/>
      </c>
    </row>
    <row r="12316" ht="15" customHeight="1">
      <c r="A12316" t="inlineStr">
        <is>
          <t>A 6390-2024</t>
        </is>
      </c>
      <c r="B12316" s="1" t="n">
        <v>45338</v>
      </c>
      <c r="C12316" s="1" t="n">
        <v>45657</v>
      </c>
      <c r="D12316" t="inlineStr">
        <is>
          <t>VÄSTERNORRLANDS LÄN</t>
        </is>
      </c>
      <c r="E12316" t="inlineStr">
        <is>
          <t>ÖRNSKÖLDSVIK</t>
        </is>
      </c>
      <c r="F12316" t="inlineStr">
        <is>
          <t>Holmen skog AB</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6462-2024</t>
        </is>
      </c>
      <c r="B12317" s="1" t="n">
        <v>45338</v>
      </c>
      <c r="C12317" s="1" t="n">
        <v>45657</v>
      </c>
      <c r="D12317" t="inlineStr">
        <is>
          <t>VÄSTERNORRLANDS LÄN</t>
        </is>
      </c>
      <c r="E12317" t="inlineStr">
        <is>
          <t>ÅNGE</t>
        </is>
      </c>
      <c r="F12317" t="inlineStr">
        <is>
          <t>Kyrkan</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6468-2024</t>
        </is>
      </c>
      <c r="B12318" s="1" t="n">
        <v>45338</v>
      </c>
      <c r="C12318" s="1" t="n">
        <v>45657</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6480-2024</t>
        </is>
      </c>
      <c r="B12319" s="1" t="n">
        <v>45338</v>
      </c>
      <c r="C12319" s="1" t="n">
        <v>45657</v>
      </c>
      <c r="D12319" t="inlineStr">
        <is>
          <t>VÄSTERNORRLANDS LÄN</t>
        </is>
      </c>
      <c r="E12319" t="inlineStr">
        <is>
          <t>SOLLEFTEÅ</t>
        </is>
      </c>
      <c r="F12319" t="inlineStr">
        <is>
          <t>SCA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6528-2024</t>
        </is>
      </c>
      <c r="B12320" s="1" t="n">
        <v>45341</v>
      </c>
      <c r="C12320" s="1" t="n">
        <v>45657</v>
      </c>
      <c r="D12320" t="inlineStr">
        <is>
          <t>VÄSTERNORRLANDS LÄN</t>
        </is>
      </c>
      <c r="E12320" t="inlineStr">
        <is>
          <t>ÖRNSKÖLDSVIK</t>
        </is>
      </c>
      <c r="F12320" t="inlineStr">
        <is>
          <t>Holmen skog AB</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6655-2024</t>
        </is>
      </c>
      <c r="B12321" s="1" t="n">
        <v>45341</v>
      </c>
      <c r="C12321" s="1" t="n">
        <v>45657</v>
      </c>
      <c r="D12321" t="inlineStr">
        <is>
          <t>VÄSTERNORRLANDS LÄN</t>
        </is>
      </c>
      <c r="E12321" t="inlineStr">
        <is>
          <t>ÖRNSKÖLDSVIK</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6658-2024</t>
        </is>
      </c>
      <c r="B12322" s="1" t="n">
        <v>45341</v>
      </c>
      <c r="C12322" s="1" t="n">
        <v>45657</v>
      </c>
      <c r="D12322" t="inlineStr">
        <is>
          <t>VÄSTERNORRLANDS LÄN</t>
        </is>
      </c>
      <c r="E12322" t="inlineStr">
        <is>
          <t>ÖRNSKÖLDSVIK</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6633-2024</t>
        </is>
      </c>
      <c r="B12323" s="1" t="n">
        <v>45341</v>
      </c>
      <c r="C12323" s="1" t="n">
        <v>45657</v>
      </c>
      <c r="D12323" t="inlineStr">
        <is>
          <t>VÄSTERNORRLANDS LÄN</t>
        </is>
      </c>
      <c r="E12323" t="inlineStr">
        <is>
          <t>SOLLEFTEÅ</t>
        </is>
      </c>
      <c r="G12323" t="n">
        <v>6.9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6653-2024</t>
        </is>
      </c>
      <c r="B12324" s="1" t="n">
        <v>45341</v>
      </c>
      <c r="C12324" s="1" t="n">
        <v>45657</v>
      </c>
      <c r="D12324" t="inlineStr">
        <is>
          <t>VÄSTERNORRLANDS LÄN</t>
        </is>
      </c>
      <c r="E12324" t="inlineStr">
        <is>
          <t>ÖRNSKÖLDSVIK</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6685-2024</t>
        </is>
      </c>
      <c r="B12325" s="1" t="n">
        <v>45341</v>
      </c>
      <c r="C12325" s="1" t="n">
        <v>45657</v>
      </c>
      <c r="D12325" t="inlineStr">
        <is>
          <t>VÄSTERNORRLANDS LÄN</t>
        </is>
      </c>
      <c r="E12325" t="inlineStr">
        <is>
          <t>ÅNGE</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6689-2024</t>
        </is>
      </c>
      <c r="B12326" s="1" t="n">
        <v>45341</v>
      </c>
      <c r="C12326" s="1" t="n">
        <v>45657</v>
      </c>
      <c r="D12326" t="inlineStr">
        <is>
          <t>VÄSTERNORRLANDS LÄN</t>
        </is>
      </c>
      <c r="E12326" t="inlineStr">
        <is>
          <t>ÅNGE</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6686-2024</t>
        </is>
      </c>
      <c r="B12327" s="1" t="n">
        <v>45341</v>
      </c>
      <c r="C12327" s="1" t="n">
        <v>45657</v>
      </c>
      <c r="D12327" t="inlineStr">
        <is>
          <t>VÄSTERNORRLANDS LÄN</t>
        </is>
      </c>
      <c r="E12327" t="inlineStr">
        <is>
          <t>ÅNGE</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6690-2024</t>
        </is>
      </c>
      <c r="B12328" s="1" t="n">
        <v>45341</v>
      </c>
      <c r="C12328" s="1" t="n">
        <v>45657</v>
      </c>
      <c r="D12328" t="inlineStr">
        <is>
          <t>VÄSTERNORRLANDS LÄN</t>
        </is>
      </c>
      <c r="E12328" t="inlineStr">
        <is>
          <t>ÅNGE</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6680-2024</t>
        </is>
      </c>
      <c r="B12329" s="1" t="n">
        <v>45341</v>
      </c>
      <c r="C12329" s="1" t="n">
        <v>45657</v>
      </c>
      <c r="D12329" t="inlineStr">
        <is>
          <t>VÄSTERNORRLANDS LÄN</t>
        </is>
      </c>
      <c r="E12329" t="inlineStr">
        <is>
          <t>ÅNGE</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6684-2024</t>
        </is>
      </c>
      <c r="B12330" s="1" t="n">
        <v>45341</v>
      </c>
      <c r="C12330" s="1" t="n">
        <v>45657</v>
      </c>
      <c r="D12330" t="inlineStr">
        <is>
          <t>VÄSTERNORRLANDS LÄN</t>
        </is>
      </c>
      <c r="E12330" t="inlineStr">
        <is>
          <t>ÅNGE</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6692-2024</t>
        </is>
      </c>
      <c r="B12331" s="1" t="n">
        <v>45341</v>
      </c>
      <c r="C12331" s="1" t="n">
        <v>45657</v>
      </c>
      <c r="D12331" t="inlineStr">
        <is>
          <t>VÄSTERNORRLANDS LÄN</t>
        </is>
      </c>
      <c r="E12331" t="inlineStr">
        <is>
          <t>SOLLEFTEÅ</t>
        </is>
      </c>
      <c r="F12331" t="inlineStr">
        <is>
          <t>SCA</t>
        </is>
      </c>
      <c r="G12331" t="n">
        <v>15.4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6702-2024</t>
        </is>
      </c>
      <c r="B12332" s="1" t="n">
        <v>45341</v>
      </c>
      <c r="C12332" s="1" t="n">
        <v>45657</v>
      </c>
      <c r="D12332" t="inlineStr">
        <is>
          <t>VÄSTERNORRLANDS LÄN</t>
        </is>
      </c>
      <c r="E12332" t="inlineStr">
        <is>
          <t>ÅNGE</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6701-2024</t>
        </is>
      </c>
      <c r="B12333" s="1" t="n">
        <v>45341</v>
      </c>
      <c r="C12333" s="1" t="n">
        <v>45657</v>
      </c>
      <c r="D12333" t="inlineStr">
        <is>
          <t>VÄSTERNORRLANDS LÄN</t>
        </is>
      </c>
      <c r="E12333" t="inlineStr">
        <is>
          <t>ÅNGE</t>
        </is>
      </c>
      <c r="F12333" t="inlineStr">
        <is>
          <t>SCA</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6699-2024</t>
        </is>
      </c>
      <c r="B12334" s="1" t="n">
        <v>45341</v>
      </c>
      <c r="C12334" s="1" t="n">
        <v>45657</v>
      </c>
      <c r="D12334" t="inlineStr">
        <is>
          <t>VÄSTERNORRLANDS LÄN</t>
        </is>
      </c>
      <c r="E12334" t="inlineStr">
        <is>
          <t>SUNDSVALL</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6691-2024</t>
        </is>
      </c>
      <c r="B12335" s="1" t="n">
        <v>45341</v>
      </c>
      <c r="C12335" s="1" t="n">
        <v>45657</v>
      </c>
      <c r="D12335" t="inlineStr">
        <is>
          <t>VÄSTERNORRLANDS LÄN</t>
        </is>
      </c>
      <c r="E12335" t="inlineStr">
        <is>
          <t>ÅNGE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6700-2024</t>
        </is>
      </c>
      <c r="B12336" s="1" t="n">
        <v>45341</v>
      </c>
      <c r="C12336" s="1" t="n">
        <v>45657</v>
      </c>
      <c r="D12336" t="inlineStr">
        <is>
          <t>VÄSTERNORRLANDS LÄN</t>
        </is>
      </c>
      <c r="E12336" t="inlineStr">
        <is>
          <t>SOLLEFTEÅ</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6735-2024</t>
        </is>
      </c>
      <c r="B12337" s="1" t="n">
        <v>45342</v>
      </c>
      <c r="C12337" s="1" t="n">
        <v>45657</v>
      </c>
      <c r="D12337" t="inlineStr">
        <is>
          <t>VÄSTERNORRLANDS LÄN</t>
        </is>
      </c>
      <c r="E12337" t="inlineStr">
        <is>
          <t>ÅNGE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6824-2024</t>
        </is>
      </c>
      <c r="B12338" s="1" t="n">
        <v>45342</v>
      </c>
      <c r="C12338" s="1" t="n">
        <v>45657</v>
      </c>
      <c r="D12338" t="inlineStr">
        <is>
          <t>VÄSTERNORRLANDS LÄN</t>
        </is>
      </c>
      <c r="E12338" t="inlineStr">
        <is>
          <t>HÄRNÖSAND</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6799-2024</t>
        </is>
      </c>
      <c r="B12339" s="1" t="n">
        <v>45342</v>
      </c>
      <c r="C12339" s="1" t="n">
        <v>45657</v>
      </c>
      <c r="D12339" t="inlineStr">
        <is>
          <t>VÄSTERNORRLANDS LÄN</t>
        </is>
      </c>
      <c r="E12339" t="inlineStr">
        <is>
          <t>SOLLEFTEÅ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6834-2024</t>
        </is>
      </c>
      <c r="B12340" s="1" t="n">
        <v>45342</v>
      </c>
      <c r="C12340" s="1" t="n">
        <v>45657</v>
      </c>
      <c r="D12340" t="inlineStr">
        <is>
          <t>VÄSTERNORRLANDS LÄN</t>
        </is>
      </c>
      <c r="E12340" t="inlineStr">
        <is>
          <t>HÄRNÖSAND</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6857-2024</t>
        </is>
      </c>
      <c r="B12341" s="1" t="n">
        <v>45342</v>
      </c>
      <c r="C12341" s="1" t="n">
        <v>45657</v>
      </c>
      <c r="D12341" t="inlineStr">
        <is>
          <t>VÄSTERNORRLANDS LÄN</t>
        </is>
      </c>
      <c r="E12341" t="inlineStr">
        <is>
          <t>SOLLEFTEÅ</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6831-2024</t>
        </is>
      </c>
      <c r="B12342" s="1" t="n">
        <v>45342</v>
      </c>
      <c r="C12342" s="1" t="n">
        <v>45657</v>
      </c>
      <c r="D12342" t="inlineStr">
        <is>
          <t>VÄSTERNORRLANDS LÄN</t>
        </is>
      </c>
      <c r="E12342" t="inlineStr">
        <is>
          <t>HÄRNÖSAND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6745-2024</t>
        </is>
      </c>
      <c r="B12343" s="1" t="n">
        <v>45342</v>
      </c>
      <c r="C12343" s="1" t="n">
        <v>45657</v>
      </c>
      <c r="D12343" t="inlineStr">
        <is>
          <t>VÄSTERNORRLANDS LÄN</t>
        </is>
      </c>
      <c r="E12343" t="inlineStr">
        <is>
          <t>ÖRNSKÖLDSVIK</t>
        </is>
      </c>
      <c r="F12343" t="inlineStr">
        <is>
          <t>Holmen skog AB</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6816-2024</t>
        </is>
      </c>
      <c r="B12344" s="1" t="n">
        <v>45342</v>
      </c>
      <c r="C12344" s="1" t="n">
        <v>45657</v>
      </c>
      <c r="D12344" t="inlineStr">
        <is>
          <t>VÄSTERNORRLANDS LÄN</t>
        </is>
      </c>
      <c r="E12344" t="inlineStr">
        <is>
          <t>SOLLEFTEÅ</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6833-2024</t>
        </is>
      </c>
      <c r="B12345" s="1" t="n">
        <v>45342</v>
      </c>
      <c r="C12345" s="1" t="n">
        <v>45657</v>
      </c>
      <c r="D12345" t="inlineStr">
        <is>
          <t>VÄSTERNORRLANDS LÄN</t>
        </is>
      </c>
      <c r="E12345" t="inlineStr">
        <is>
          <t>HÄRNÖSAND</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6892-2024</t>
        </is>
      </c>
      <c r="B12346" s="1" t="n">
        <v>45342</v>
      </c>
      <c r="C12346" s="1" t="n">
        <v>45657</v>
      </c>
      <c r="D12346" t="inlineStr">
        <is>
          <t>VÄSTERNORRLANDS LÄN</t>
        </is>
      </c>
      <c r="E12346" t="inlineStr">
        <is>
          <t>ÅNGE</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6904-2024</t>
        </is>
      </c>
      <c r="B12347" s="1" t="n">
        <v>45342</v>
      </c>
      <c r="C12347" s="1" t="n">
        <v>45657</v>
      </c>
      <c r="D12347" t="inlineStr">
        <is>
          <t>VÄSTERNORRLANDS LÄN</t>
        </is>
      </c>
      <c r="E12347" t="inlineStr">
        <is>
          <t>KRAMFORS</t>
        </is>
      </c>
      <c r="F12347" t="inlineStr">
        <is>
          <t>SCA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6908-2024</t>
        </is>
      </c>
      <c r="B12348" s="1" t="n">
        <v>45342</v>
      </c>
      <c r="C12348" s="1" t="n">
        <v>45657</v>
      </c>
      <c r="D12348" t="inlineStr">
        <is>
          <t>VÄSTERNORRLANDS LÄN</t>
        </is>
      </c>
      <c r="E12348" t="inlineStr">
        <is>
          <t>SUNDSVALL</t>
        </is>
      </c>
      <c r="F12348" t="inlineStr">
        <is>
          <t>SCA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6891-2024</t>
        </is>
      </c>
      <c r="B12349" s="1" t="n">
        <v>45342</v>
      </c>
      <c r="C12349" s="1" t="n">
        <v>45657</v>
      </c>
      <c r="D12349" t="inlineStr">
        <is>
          <t>VÄSTERNORRLANDS LÄN</t>
        </is>
      </c>
      <c r="E12349" t="inlineStr">
        <is>
          <t>SOLLEFTEÅ</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6893-2024</t>
        </is>
      </c>
      <c r="B12350" s="1" t="n">
        <v>45342</v>
      </c>
      <c r="C12350" s="1" t="n">
        <v>45657</v>
      </c>
      <c r="D12350" t="inlineStr">
        <is>
          <t>VÄSTERNORRLANDS LÄN</t>
        </is>
      </c>
      <c r="E12350" t="inlineStr">
        <is>
          <t>TIMRÅ</t>
        </is>
      </c>
      <c r="F12350" t="inlineStr">
        <is>
          <t>Kyrkan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6909-2024</t>
        </is>
      </c>
      <c r="B12351" s="1" t="n">
        <v>45342</v>
      </c>
      <c r="C12351" s="1" t="n">
        <v>45657</v>
      </c>
      <c r="D12351" t="inlineStr">
        <is>
          <t>VÄSTERNORRLANDS LÄN</t>
        </is>
      </c>
      <c r="E12351" t="inlineStr">
        <is>
          <t>SOLLEFTEÅ</t>
        </is>
      </c>
      <c r="F12351" t="inlineStr">
        <is>
          <t>SCA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6922-2024</t>
        </is>
      </c>
      <c r="B12352" s="1" t="n">
        <v>45343</v>
      </c>
      <c r="C12352" s="1" t="n">
        <v>45657</v>
      </c>
      <c r="D12352" t="inlineStr">
        <is>
          <t>VÄSTERNORRLANDS LÄN</t>
        </is>
      </c>
      <c r="E12352" t="inlineStr">
        <is>
          <t>SUNDSVALL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6933-2024</t>
        </is>
      </c>
      <c r="B12353" s="1" t="n">
        <v>45343</v>
      </c>
      <c r="C12353" s="1" t="n">
        <v>45657</v>
      </c>
      <c r="D12353" t="inlineStr">
        <is>
          <t>VÄSTERNORRLANDS LÄN</t>
        </is>
      </c>
      <c r="E12353" t="inlineStr">
        <is>
          <t>SUNDSVALL</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6932-2024</t>
        </is>
      </c>
      <c r="B12354" s="1" t="n">
        <v>45343</v>
      </c>
      <c r="C12354" s="1" t="n">
        <v>45657</v>
      </c>
      <c r="D12354" t="inlineStr">
        <is>
          <t>VÄSTERNORRLANDS LÄN</t>
        </is>
      </c>
      <c r="E12354" t="inlineStr">
        <is>
          <t>SOLLEFTEÅ</t>
        </is>
      </c>
      <c r="G12354" t="n">
        <v>10.2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6996-2024</t>
        </is>
      </c>
      <c r="B12355" s="1" t="n">
        <v>45343</v>
      </c>
      <c r="C12355" s="1" t="n">
        <v>45657</v>
      </c>
      <c r="D12355" t="inlineStr">
        <is>
          <t>VÄSTERNORRLANDS LÄN</t>
        </is>
      </c>
      <c r="E12355" t="inlineStr">
        <is>
          <t>SUNDSVALL</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7010-2024</t>
        </is>
      </c>
      <c r="B12356" s="1" t="n">
        <v>45343</v>
      </c>
      <c r="C12356" s="1" t="n">
        <v>45657</v>
      </c>
      <c r="D12356" t="inlineStr">
        <is>
          <t>VÄSTERNORRLANDS LÄN</t>
        </is>
      </c>
      <c r="E12356" t="inlineStr">
        <is>
          <t>HÄRNÖSAND</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6934-2024</t>
        </is>
      </c>
      <c r="B12357" s="1" t="n">
        <v>45343</v>
      </c>
      <c r="C12357" s="1" t="n">
        <v>45657</v>
      </c>
      <c r="D12357" t="inlineStr">
        <is>
          <t>VÄSTERNORRLANDS LÄN</t>
        </is>
      </c>
      <c r="E12357" t="inlineStr">
        <is>
          <t>SOLLEFTEÅ</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6995-2024</t>
        </is>
      </c>
      <c r="B12358" s="1" t="n">
        <v>45343</v>
      </c>
      <c r="C12358" s="1" t="n">
        <v>45657</v>
      </c>
      <c r="D12358" t="inlineStr">
        <is>
          <t>VÄSTERNORRLANDS LÄN</t>
        </is>
      </c>
      <c r="E12358" t="inlineStr">
        <is>
          <t>ÅNGE</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7001-2024</t>
        </is>
      </c>
      <c r="B12359" s="1" t="n">
        <v>45343</v>
      </c>
      <c r="C12359" s="1" t="n">
        <v>45657</v>
      </c>
      <c r="D12359" t="inlineStr">
        <is>
          <t>VÄSTERNORRLANDS LÄN</t>
        </is>
      </c>
      <c r="E12359" t="inlineStr">
        <is>
          <t>SOLLEFTEÅ</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7005-2024</t>
        </is>
      </c>
      <c r="B12360" s="1" t="n">
        <v>45343</v>
      </c>
      <c r="C12360" s="1" t="n">
        <v>45657</v>
      </c>
      <c r="D12360" t="inlineStr">
        <is>
          <t>VÄSTERNORRLANDS LÄN</t>
        </is>
      </c>
      <c r="E12360" t="inlineStr">
        <is>
          <t>SUNDSVALL</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7063-2024</t>
        </is>
      </c>
      <c r="B12361" s="1" t="n">
        <v>45343</v>
      </c>
      <c r="C12361" s="1" t="n">
        <v>45657</v>
      </c>
      <c r="D12361" t="inlineStr">
        <is>
          <t>VÄSTERNORRLANDS LÄN</t>
        </is>
      </c>
      <c r="E12361" t="inlineStr">
        <is>
          <t>ÖRNSKÖLDSVIK</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7107-2024</t>
        </is>
      </c>
      <c r="B12362" s="1" t="n">
        <v>45343</v>
      </c>
      <c r="C12362" s="1" t="n">
        <v>45657</v>
      </c>
      <c r="D12362" t="inlineStr">
        <is>
          <t>VÄSTERNORRLANDS LÄN</t>
        </is>
      </c>
      <c r="E12362" t="inlineStr">
        <is>
          <t>SOLLEFTEÅ</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7113-2024</t>
        </is>
      </c>
      <c r="B12363" s="1" t="n">
        <v>45343</v>
      </c>
      <c r="C12363" s="1" t="n">
        <v>45657</v>
      </c>
      <c r="D12363" t="inlineStr">
        <is>
          <t>VÄSTERNORRLANDS LÄN</t>
        </is>
      </c>
      <c r="E12363" t="inlineStr">
        <is>
          <t>SOLLEFTEÅ</t>
        </is>
      </c>
      <c r="F12363" t="inlineStr">
        <is>
          <t>SCA</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7106-2024</t>
        </is>
      </c>
      <c r="B12364" s="1" t="n">
        <v>45343</v>
      </c>
      <c r="C12364" s="1" t="n">
        <v>45657</v>
      </c>
      <c r="D12364" t="inlineStr">
        <is>
          <t>VÄSTERNORRLANDS LÄN</t>
        </is>
      </c>
      <c r="E12364" t="inlineStr">
        <is>
          <t>SOLLEFTEÅ</t>
        </is>
      </c>
      <c r="G12364" t="n">
        <v>16.6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7110-2024</t>
        </is>
      </c>
      <c r="B12365" s="1" t="n">
        <v>45343</v>
      </c>
      <c r="C12365" s="1" t="n">
        <v>45657</v>
      </c>
      <c r="D12365" t="inlineStr">
        <is>
          <t>VÄSTERNORRLANDS LÄN</t>
        </is>
      </c>
      <c r="E12365" t="inlineStr">
        <is>
          <t>ÅNGE</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7149-2024</t>
        </is>
      </c>
      <c r="B12366" s="1" t="n">
        <v>45344</v>
      </c>
      <c r="C12366" s="1" t="n">
        <v>45657</v>
      </c>
      <c r="D12366" t="inlineStr">
        <is>
          <t>VÄSTERNORRLANDS LÄN</t>
        </is>
      </c>
      <c r="E12366" t="inlineStr">
        <is>
          <t>SUNDSVALL</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7229-2024</t>
        </is>
      </c>
      <c r="B12367" s="1" t="n">
        <v>45344</v>
      </c>
      <c r="C12367" s="1" t="n">
        <v>45657</v>
      </c>
      <c r="D12367" t="inlineStr">
        <is>
          <t>VÄSTERNORRLANDS LÄN</t>
        </is>
      </c>
      <c r="E12367" t="inlineStr">
        <is>
          <t>SUNDSVALL</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7245-2024</t>
        </is>
      </c>
      <c r="B12368" s="1" t="n">
        <v>45344</v>
      </c>
      <c r="C12368" s="1" t="n">
        <v>45657</v>
      </c>
      <c r="D12368" t="inlineStr">
        <is>
          <t>VÄSTERNORRLANDS LÄN</t>
        </is>
      </c>
      <c r="E12368" t="inlineStr">
        <is>
          <t>SUNDSVALL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7257-2024</t>
        </is>
      </c>
      <c r="B12369" s="1" t="n">
        <v>45344</v>
      </c>
      <c r="C12369" s="1" t="n">
        <v>45657</v>
      </c>
      <c r="D12369" t="inlineStr">
        <is>
          <t>VÄSTERNORRLANDS LÄN</t>
        </is>
      </c>
      <c r="E12369" t="inlineStr">
        <is>
          <t>SOLLEFTEÅ</t>
        </is>
      </c>
      <c r="G12369" t="n">
        <v>9.1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7261-2024</t>
        </is>
      </c>
      <c r="B12370" s="1" t="n">
        <v>45344</v>
      </c>
      <c r="C12370" s="1" t="n">
        <v>45657</v>
      </c>
      <c r="D12370" t="inlineStr">
        <is>
          <t>VÄSTERNORRLANDS LÄN</t>
        </is>
      </c>
      <c r="E12370" t="inlineStr">
        <is>
          <t>SOLLEFTEÅ</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7134-2024</t>
        </is>
      </c>
      <c r="B12371" s="1" t="n">
        <v>45344</v>
      </c>
      <c r="C12371" s="1" t="n">
        <v>45657</v>
      </c>
      <c r="D12371" t="inlineStr">
        <is>
          <t>VÄSTERNORRLANDS LÄN</t>
        </is>
      </c>
      <c r="E12371" t="inlineStr">
        <is>
          <t>ÖRNSKÖLDSVIK</t>
        </is>
      </c>
      <c r="F12371" t="inlineStr">
        <is>
          <t>Holmen skog AB</t>
        </is>
      </c>
      <c r="G12371" t="n">
        <v>11.7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7151-2024</t>
        </is>
      </c>
      <c r="B12372" s="1" t="n">
        <v>45344</v>
      </c>
      <c r="C12372" s="1" t="n">
        <v>45657</v>
      </c>
      <c r="D12372" t="inlineStr">
        <is>
          <t>VÄSTERNORRLANDS LÄN</t>
        </is>
      </c>
      <c r="E12372" t="inlineStr">
        <is>
          <t>TIMRÅ</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7155-2024</t>
        </is>
      </c>
      <c r="B12373" s="1" t="n">
        <v>45344</v>
      </c>
      <c r="C12373" s="1" t="n">
        <v>45657</v>
      </c>
      <c r="D12373" t="inlineStr">
        <is>
          <t>VÄSTERNORRLANDS LÄN</t>
        </is>
      </c>
      <c r="E12373" t="inlineStr">
        <is>
          <t>KRAMFORS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7210-2024</t>
        </is>
      </c>
      <c r="B12374" s="1" t="n">
        <v>45344</v>
      </c>
      <c r="C12374" s="1" t="n">
        <v>45657</v>
      </c>
      <c r="D12374" t="inlineStr">
        <is>
          <t>VÄSTERNORRLANDS LÄN</t>
        </is>
      </c>
      <c r="E12374" t="inlineStr">
        <is>
          <t>ÖRNSKÖLDSVIK</t>
        </is>
      </c>
      <c r="F12374" t="inlineStr">
        <is>
          <t>Holmen skog AB</t>
        </is>
      </c>
      <c r="G12374" t="n">
        <v>16.7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7144-2024</t>
        </is>
      </c>
      <c r="B12375" s="1" t="n">
        <v>45344</v>
      </c>
      <c r="C12375" s="1" t="n">
        <v>45657</v>
      </c>
      <c r="D12375" t="inlineStr">
        <is>
          <t>VÄSTERNORRLANDS LÄN</t>
        </is>
      </c>
      <c r="E12375" t="inlineStr">
        <is>
          <t>KRAMFORS</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7291-2024</t>
        </is>
      </c>
      <c r="B12376" s="1" t="n">
        <v>45344</v>
      </c>
      <c r="C12376" s="1" t="n">
        <v>45657</v>
      </c>
      <c r="D12376" t="inlineStr">
        <is>
          <t>VÄSTERNORRLANDS LÄN</t>
        </is>
      </c>
      <c r="E12376" t="inlineStr">
        <is>
          <t>TIMRÅ</t>
        </is>
      </c>
      <c r="F12376" t="inlineStr">
        <is>
          <t>SCA</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7295-2024</t>
        </is>
      </c>
      <c r="B12377" s="1" t="n">
        <v>45344</v>
      </c>
      <c r="C12377" s="1" t="n">
        <v>45657</v>
      </c>
      <c r="D12377" t="inlineStr">
        <is>
          <t>VÄSTERNORRLANDS LÄN</t>
        </is>
      </c>
      <c r="E12377" t="inlineStr">
        <is>
          <t>SOLLEFTEÅ</t>
        </is>
      </c>
      <c r="F12377" t="inlineStr">
        <is>
          <t>SCA</t>
        </is>
      </c>
      <c r="G12377" t="n">
        <v>16.7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7299-2024</t>
        </is>
      </c>
      <c r="B12378" s="1" t="n">
        <v>45344</v>
      </c>
      <c r="C12378" s="1" t="n">
        <v>45657</v>
      </c>
      <c r="D12378" t="inlineStr">
        <is>
          <t>VÄSTERNORRLANDS LÄN</t>
        </is>
      </c>
      <c r="E12378" t="inlineStr">
        <is>
          <t>TIMRÅ</t>
        </is>
      </c>
      <c r="F12378" t="inlineStr">
        <is>
          <t>SCA</t>
        </is>
      </c>
      <c r="G12378" t="n">
        <v>16.3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7234-2024</t>
        </is>
      </c>
      <c r="B12379" s="1" t="n">
        <v>45344</v>
      </c>
      <c r="C12379" s="1" t="n">
        <v>45657</v>
      </c>
      <c r="D12379" t="inlineStr">
        <is>
          <t>VÄSTERNORRLANDS LÄN</t>
        </is>
      </c>
      <c r="E12379" t="inlineStr">
        <is>
          <t>SOLLEFTEÅ</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7258-2024</t>
        </is>
      </c>
      <c r="B12380" s="1" t="n">
        <v>45344</v>
      </c>
      <c r="C12380" s="1" t="n">
        <v>45657</v>
      </c>
      <c r="D12380" t="inlineStr">
        <is>
          <t>VÄSTERNORRLANDS LÄN</t>
        </is>
      </c>
      <c r="E12380" t="inlineStr">
        <is>
          <t>SOLLEFTEÅ</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7290-2024</t>
        </is>
      </c>
      <c r="B12381" s="1" t="n">
        <v>45344</v>
      </c>
      <c r="C12381" s="1" t="n">
        <v>45657</v>
      </c>
      <c r="D12381" t="inlineStr">
        <is>
          <t>VÄSTERNORRLANDS LÄN</t>
        </is>
      </c>
      <c r="E12381" t="inlineStr">
        <is>
          <t>SUNDSVALL</t>
        </is>
      </c>
      <c r="F12381" t="inlineStr">
        <is>
          <t>SCA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7294-2024</t>
        </is>
      </c>
      <c r="B12382" s="1" t="n">
        <v>45344</v>
      </c>
      <c r="C12382" s="1" t="n">
        <v>45657</v>
      </c>
      <c r="D12382" t="inlineStr">
        <is>
          <t>VÄSTERNORRLANDS LÄN</t>
        </is>
      </c>
      <c r="E12382" t="inlineStr">
        <is>
          <t>SOLLEFTEÅ</t>
        </is>
      </c>
      <c r="F12382" t="inlineStr">
        <is>
          <t>SCA</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7156-2024</t>
        </is>
      </c>
      <c r="B12383" s="1" t="n">
        <v>45344</v>
      </c>
      <c r="C12383" s="1" t="n">
        <v>45657</v>
      </c>
      <c r="D12383" t="inlineStr">
        <is>
          <t>VÄSTERNORRLANDS LÄN</t>
        </is>
      </c>
      <c r="E12383" t="inlineStr">
        <is>
          <t>KRAMFORS</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7220-2024</t>
        </is>
      </c>
      <c r="B12384" s="1" t="n">
        <v>45344</v>
      </c>
      <c r="C12384" s="1" t="n">
        <v>45657</v>
      </c>
      <c r="D12384" t="inlineStr">
        <is>
          <t>VÄSTERNORRLANDS LÄN</t>
        </is>
      </c>
      <c r="E12384" t="inlineStr">
        <is>
          <t>SUNDSVALL</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7240-2024</t>
        </is>
      </c>
      <c r="B12385" s="1" t="n">
        <v>45344</v>
      </c>
      <c r="C12385" s="1" t="n">
        <v>45657</v>
      </c>
      <c r="D12385" t="inlineStr">
        <is>
          <t>VÄSTERNORRLANDS LÄN</t>
        </is>
      </c>
      <c r="E12385" t="inlineStr">
        <is>
          <t>SUNDSVALL</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7292-2024</t>
        </is>
      </c>
      <c r="B12386" s="1" t="n">
        <v>45344</v>
      </c>
      <c r="C12386" s="1" t="n">
        <v>45657</v>
      </c>
      <c r="D12386" t="inlineStr">
        <is>
          <t>VÄSTERNORRLANDS LÄN</t>
        </is>
      </c>
      <c r="E12386" t="inlineStr">
        <is>
          <t>TIMRÅ</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7300-2024</t>
        </is>
      </c>
      <c r="B12387" s="1" t="n">
        <v>45344</v>
      </c>
      <c r="C12387" s="1" t="n">
        <v>45657</v>
      </c>
      <c r="D12387" t="inlineStr">
        <is>
          <t>VÄSTERNORRLANDS LÄN</t>
        </is>
      </c>
      <c r="E12387" t="inlineStr">
        <is>
          <t>ÅNGE</t>
        </is>
      </c>
      <c r="F12387" t="inlineStr">
        <is>
          <t>SCA</t>
        </is>
      </c>
      <c r="G12387" t="n">
        <v>30.5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7463-2024</t>
        </is>
      </c>
      <c r="B12388" s="1" t="n">
        <v>45345</v>
      </c>
      <c r="C12388" s="1" t="n">
        <v>45657</v>
      </c>
      <c r="D12388" t="inlineStr">
        <is>
          <t>VÄSTERNORRLANDS LÄN</t>
        </is>
      </c>
      <c r="E12388" t="inlineStr">
        <is>
          <t>SOLLEFTEÅ</t>
        </is>
      </c>
      <c r="F12388" t="inlineStr">
        <is>
          <t>SCA</t>
        </is>
      </c>
      <c r="G12388" t="n">
        <v>7.5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7465-2024</t>
        </is>
      </c>
      <c r="B12389" s="1" t="n">
        <v>45345</v>
      </c>
      <c r="C12389" s="1" t="n">
        <v>45657</v>
      </c>
      <c r="D12389" t="inlineStr">
        <is>
          <t>VÄSTERNORRLANDS LÄN</t>
        </is>
      </c>
      <c r="E12389" t="inlineStr">
        <is>
          <t>HÄRNÖSAND</t>
        </is>
      </c>
      <c r="F12389" t="inlineStr">
        <is>
          <t>SCA</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7469-2024</t>
        </is>
      </c>
      <c r="B12390" s="1" t="n">
        <v>45345</v>
      </c>
      <c r="C12390" s="1" t="n">
        <v>45657</v>
      </c>
      <c r="D12390" t="inlineStr">
        <is>
          <t>VÄSTERNORRLANDS LÄN</t>
        </is>
      </c>
      <c r="E12390" t="inlineStr">
        <is>
          <t>SUNDSVALL</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7474-2024</t>
        </is>
      </c>
      <c r="B12391" s="1" t="n">
        <v>45345</v>
      </c>
      <c r="C12391" s="1" t="n">
        <v>45657</v>
      </c>
      <c r="D12391" t="inlineStr">
        <is>
          <t>VÄSTERNORRLANDS LÄN</t>
        </is>
      </c>
      <c r="E12391" t="inlineStr">
        <is>
          <t>ÖRNSKÖLDSVIK</t>
        </is>
      </c>
      <c r="F12391" t="inlineStr">
        <is>
          <t>SCA</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7478-2024</t>
        </is>
      </c>
      <c r="B12392" s="1" t="n">
        <v>45345</v>
      </c>
      <c r="C12392" s="1" t="n">
        <v>45657</v>
      </c>
      <c r="D12392" t="inlineStr">
        <is>
          <t>VÄSTERNORRLANDS LÄN</t>
        </is>
      </c>
      <c r="E12392" t="inlineStr">
        <is>
          <t>TIMRÅ</t>
        </is>
      </c>
      <c r="F12392" t="inlineStr">
        <is>
          <t>SCA</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7412-2024</t>
        </is>
      </c>
      <c r="B12393" s="1" t="n">
        <v>45345</v>
      </c>
      <c r="C12393" s="1" t="n">
        <v>45657</v>
      </c>
      <c r="D12393" t="inlineStr">
        <is>
          <t>VÄSTERNORRLANDS LÄN</t>
        </is>
      </c>
      <c r="E12393" t="inlineStr">
        <is>
          <t>SUNDSVALL</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7404-2024</t>
        </is>
      </c>
      <c r="B12394" s="1" t="n">
        <v>45345</v>
      </c>
      <c r="C12394" s="1" t="n">
        <v>45657</v>
      </c>
      <c r="D12394" t="inlineStr">
        <is>
          <t>VÄSTERNORRLANDS LÄN</t>
        </is>
      </c>
      <c r="E12394" t="inlineStr">
        <is>
          <t>SUNDSVALL</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7384-2024</t>
        </is>
      </c>
      <c r="B12395" s="1" t="n">
        <v>45345</v>
      </c>
      <c r="C12395" s="1" t="n">
        <v>45657</v>
      </c>
      <c r="D12395" t="inlineStr">
        <is>
          <t>VÄSTERNORRLANDS LÄN</t>
        </is>
      </c>
      <c r="E12395" t="inlineStr">
        <is>
          <t>SUNDSVALL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7471-2024</t>
        </is>
      </c>
      <c r="B12396" s="1" t="n">
        <v>45345</v>
      </c>
      <c r="C12396" s="1" t="n">
        <v>45657</v>
      </c>
      <c r="D12396" t="inlineStr">
        <is>
          <t>VÄSTERNORRLANDS LÄN</t>
        </is>
      </c>
      <c r="E12396" t="inlineStr">
        <is>
          <t>SUNDSVALL</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7476-2024</t>
        </is>
      </c>
      <c r="B12397" s="1" t="n">
        <v>45345</v>
      </c>
      <c r="C12397" s="1" t="n">
        <v>45657</v>
      </c>
      <c r="D12397" t="inlineStr">
        <is>
          <t>VÄSTERNORRLANDS LÄN</t>
        </is>
      </c>
      <c r="E12397" t="inlineStr">
        <is>
          <t>TIMRÅ</t>
        </is>
      </c>
      <c r="F12397" t="inlineStr">
        <is>
          <t>SCA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7467-2024</t>
        </is>
      </c>
      <c r="B12398" s="1" t="n">
        <v>45345</v>
      </c>
      <c r="C12398" s="1" t="n">
        <v>45657</v>
      </c>
      <c r="D12398" t="inlineStr">
        <is>
          <t>VÄSTERNORRLANDS LÄN</t>
        </is>
      </c>
      <c r="E12398" t="inlineStr">
        <is>
          <t>SOLLEFTEÅ</t>
        </is>
      </c>
      <c r="F12398" t="inlineStr">
        <is>
          <t>SCA</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7352-2024</t>
        </is>
      </c>
      <c r="B12399" s="1" t="n">
        <v>45345</v>
      </c>
      <c r="C12399" s="1" t="n">
        <v>45657</v>
      </c>
      <c r="D12399" t="inlineStr">
        <is>
          <t>VÄSTERNORRLANDS LÄN</t>
        </is>
      </c>
      <c r="E12399" t="inlineStr">
        <is>
          <t>ÖRNSKÖLDSVIK</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7464-2024</t>
        </is>
      </c>
      <c r="B12400" s="1" t="n">
        <v>45345</v>
      </c>
      <c r="C12400" s="1" t="n">
        <v>45657</v>
      </c>
      <c r="D12400" t="inlineStr">
        <is>
          <t>VÄSTERNORRLANDS LÄN</t>
        </is>
      </c>
      <c r="E12400" t="inlineStr">
        <is>
          <t>SOLLEFTEÅ</t>
        </is>
      </c>
      <c r="F12400" t="inlineStr">
        <is>
          <t>SCA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7472-2024</t>
        </is>
      </c>
      <c r="B12401" s="1" t="n">
        <v>45345</v>
      </c>
      <c r="C12401" s="1" t="n">
        <v>45657</v>
      </c>
      <c r="D12401" t="inlineStr">
        <is>
          <t>VÄSTERNORRLANDS LÄN</t>
        </is>
      </c>
      <c r="E12401" t="inlineStr">
        <is>
          <t>SUNDSVALL</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7477-2024</t>
        </is>
      </c>
      <c r="B12402" s="1" t="n">
        <v>45345</v>
      </c>
      <c r="C12402" s="1" t="n">
        <v>45657</v>
      </c>
      <c r="D12402" t="inlineStr">
        <is>
          <t>VÄSTERNORRLANDS LÄN</t>
        </is>
      </c>
      <c r="E12402" t="inlineStr">
        <is>
          <t>TIMRÅ</t>
        </is>
      </c>
      <c r="F12402" t="inlineStr">
        <is>
          <t>SCA</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7470-2024</t>
        </is>
      </c>
      <c r="B12403" s="1" t="n">
        <v>45345</v>
      </c>
      <c r="C12403" s="1" t="n">
        <v>45657</v>
      </c>
      <c r="D12403" t="inlineStr">
        <is>
          <t>VÄSTERNORRLANDS LÄN</t>
        </is>
      </c>
      <c r="E12403" t="inlineStr">
        <is>
          <t>SUNDSVALL</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7475-2024</t>
        </is>
      </c>
      <c r="B12404" s="1" t="n">
        <v>45345</v>
      </c>
      <c r="C12404" s="1" t="n">
        <v>45657</v>
      </c>
      <c r="D12404" t="inlineStr">
        <is>
          <t>VÄSTERNORRLANDS LÄN</t>
        </is>
      </c>
      <c r="E12404" t="inlineStr">
        <is>
          <t>SOLLEFTEÅ</t>
        </is>
      </c>
      <c r="F12404" t="inlineStr">
        <is>
          <t>SCA</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7466-2024</t>
        </is>
      </c>
      <c r="B12405" s="1" t="n">
        <v>45345</v>
      </c>
      <c r="C12405" s="1" t="n">
        <v>45657</v>
      </c>
      <c r="D12405" t="inlineStr">
        <is>
          <t>VÄSTERNORRLANDS LÄN</t>
        </is>
      </c>
      <c r="E12405" t="inlineStr">
        <is>
          <t>KRAMFORS</t>
        </is>
      </c>
      <c r="F12405" t="inlineStr">
        <is>
          <t>SCA</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7462-2024</t>
        </is>
      </c>
      <c r="B12406" s="1" t="n">
        <v>45345</v>
      </c>
      <c r="C12406" s="1" t="n">
        <v>45657</v>
      </c>
      <c r="D12406" t="inlineStr">
        <is>
          <t>VÄSTERNORRLANDS LÄN</t>
        </is>
      </c>
      <c r="E12406" t="inlineStr">
        <is>
          <t>SOLLEFTEÅ</t>
        </is>
      </c>
      <c r="F12406" t="inlineStr">
        <is>
          <t>SCA</t>
        </is>
      </c>
      <c r="G12406" t="n">
        <v>42.1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7365-2024</t>
        </is>
      </c>
      <c r="B12407" s="1" t="n">
        <v>45345</v>
      </c>
      <c r="C12407" s="1" t="n">
        <v>45657</v>
      </c>
      <c r="D12407" t="inlineStr">
        <is>
          <t>VÄSTERNORRLANDS LÄN</t>
        </is>
      </c>
      <c r="E12407" t="inlineStr">
        <is>
          <t>SUNDSVALL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7361-2024</t>
        </is>
      </c>
      <c r="B12408" s="1" t="n">
        <v>45345</v>
      </c>
      <c r="C12408" s="1" t="n">
        <v>45657</v>
      </c>
      <c r="D12408" t="inlineStr">
        <is>
          <t>VÄSTERNORRLANDS LÄN</t>
        </is>
      </c>
      <c r="E12408" t="inlineStr">
        <is>
          <t>ÖRNSKÖLDSVIK</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7507-2024</t>
        </is>
      </c>
      <c r="B12409" s="1" t="n">
        <v>45347</v>
      </c>
      <c r="C12409" s="1" t="n">
        <v>45657</v>
      </c>
      <c r="D12409" t="inlineStr">
        <is>
          <t>VÄSTERNORRLANDS LÄN</t>
        </is>
      </c>
      <c r="E12409" t="inlineStr">
        <is>
          <t>TIMRÅ</t>
        </is>
      </c>
      <c r="F12409" t="inlineStr">
        <is>
          <t>SCA</t>
        </is>
      </c>
      <c r="G12409" t="n">
        <v>15.5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7585-2024</t>
        </is>
      </c>
      <c r="B12410" s="1" t="n">
        <v>45348</v>
      </c>
      <c r="C12410" s="1" t="n">
        <v>45657</v>
      </c>
      <c r="D12410" t="inlineStr">
        <is>
          <t>VÄSTERNORRLANDS LÄN</t>
        </is>
      </c>
      <c r="E12410" t="inlineStr">
        <is>
          <t>SOLLEFTEÅ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7760-2024</t>
        </is>
      </c>
      <c r="B12411" s="1" t="n">
        <v>45348</v>
      </c>
      <c r="C12411" s="1" t="n">
        <v>45657</v>
      </c>
      <c r="D12411" t="inlineStr">
        <is>
          <t>VÄSTERNORRLANDS LÄN</t>
        </is>
      </c>
      <c r="E12411" t="inlineStr">
        <is>
          <t>SUNDSVALL</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7685-2024</t>
        </is>
      </c>
      <c r="B12412" s="1" t="n">
        <v>45348</v>
      </c>
      <c r="C12412" s="1" t="n">
        <v>45657</v>
      </c>
      <c r="D12412" t="inlineStr">
        <is>
          <t>VÄSTERNORRLANDS LÄN</t>
        </is>
      </c>
      <c r="E12412" t="inlineStr">
        <is>
          <t>ÖRNSKÖLDSVIK</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7779-2024</t>
        </is>
      </c>
      <c r="B12413" s="1" t="n">
        <v>45348</v>
      </c>
      <c r="C12413" s="1" t="n">
        <v>45657</v>
      </c>
      <c r="D12413" t="inlineStr">
        <is>
          <t>VÄSTERNORRLANDS LÄN</t>
        </is>
      </c>
      <c r="E12413" t="inlineStr">
        <is>
          <t>ÖRNSKÖLDSVIK</t>
        </is>
      </c>
      <c r="G12413" t="n">
        <v>9.800000000000001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7793-2024</t>
        </is>
      </c>
      <c r="B12414" s="1" t="n">
        <v>45348</v>
      </c>
      <c r="C12414" s="1" t="n">
        <v>45657</v>
      </c>
      <c r="D12414" t="inlineStr">
        <is>
          <t>VÄSTERNORRLANDS LÄN</t>
        </is>
      </c>
      <c r="E12414" t="inlineStr">
        <is>
          <t>HÄRNÖSAND</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7692-2024</t>
        </is>
      </c>
      <c r="B12415" s="1" t="n">
        <v>45349</v>
      </c>
      <c r="C12415" s="1" t="n">
        <v>45657</v>
      </c>
      <c r="D12415" t="inlineStr">
        <is>
          <t>VÄSTERNORRLANDS LÄN</t>
        </is>
      </c>
      <c r="E12415" t="inlineStr">
        <is>
          <t>ÅNGE</t>
        </is>
      </c>
      <c r="F12415" t="inlineStr">
        <is>
          <t>SCA</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7721-2024</t>
        </is>
      </c>
      <c r="B12416" s="1" t="n">
        <v>45349</v>
      </c>
      <c r="C12416" s="1" t="n">
        <v>45657</v>
      </c>
      <c r="D12416" t="inlineStr">
        <is>
          <t>VÄSTERNORRLANDS LÄN</t>
        </is>
      </c>
      <c r="E12416" t="inlineStr">
        <is>
          <t>KRAMFORS</t>
        </is>
      </c>
      <c r="G12416" t="n">
        <v>6.4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7689-2024</t>
        </is>
      </c>
      <c r="B12417" s="1" t="n">
        <v>45349</v>
      </c>
      <c r="C12417" s="1" t="n">
        <v>45657</v>
      </c>
      <c r="D12417" t="inlineStr">
        <is>
          <t>VÄSTERNORRLANDS LÄN</t>
        </is>
      </c>
      <c r="E12417" t="inlineStr">
        <is>
          <t>SUNDSVALL</t>
        </is>
      </c>
      <c r="F12417" t="inlineStr">
        <is>
          <t>SCA</t>
        </is>
      </c>
      <c r="G12417" t="n">
        <v>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7704-2024</t>
        </is>
      </c>
      <c r="B12418" s="1" t="n">
        <v>45349</v>
      </c>
      <c r="C12418" s="1" t="n">
        <v>45657</v>
      </c>
      <c r="D12418" t="inlineStr">
        <is>
          <t>VÄSTERNORRLANDS LÄN</t>
        </is>
      </c>
      <c r="E12418" t="inlineStr">
        <is>
          <t>SOLLEFTEÅ</t>
        </is>
      </c>
      <c r="G12418" t="n">
        <v>12.2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7809-2024</t>
        </is>
      </c>
      <c r="B12419" s="1" t="n">
        <v>45349</v>
      </c>
      <c r="C12419" s="1" t="n">
        <v>45657</v>
      </c>
      <c r="D12419" t="inlineStr">
        <is>
          <t>VÄSTERNORRLANDS LÄN</t>
        </is>
      </c>
      <c r="E12419" t="inlineStr">
        <is>
          <t>SOLLEFTEÅ</t>
        </is>
      </c>
      <c r="G12419" t="n">
        <v>23.2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7825-2024</t>
        </is>
      </c>
      <c r="B12420" s="1" t="n">
        <v>45349</v>
      </c>
      <c r="C12420" s="1" t="n">
        <v>45657</v>
      </c>
      <c r="D12420" t="inlineStr">
        <is>
          <t>VÄSTERNORRLANDS LÄN</t>
        </is>
      </c>
      <c r="E12420" t="inlineStr">
        <is>
          <t>SOLLEFTEÅ</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7810-2024</t>
        </is>
      </c>
      <c r="B12421" s="1" t="n">
        <v>45349</v>
      </c>
      <c r="C12421" s="1" t="n">
        <v>45657</v>
      </c>
      <c r="D12421" t="inlineStr">
        <is>
          <t>VÄSTERNORRLANDS LÄN</t>
        </is>
      </c>
      <c r="E12421" t="inlineStr">
        <is>
          <t>SOLLEFTEÅ</t>
        </is>
      </c>
      <c r="F12421" t="inlineStr">
        <is>
          <t>Övriga Aktiebolag</t>
        </is>
      </c>
      <c r="G12421" t="n">
        <v>23.6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7858-2024</t>
        </is>
      </c>
      <c r="B12422" s="1" t="n">
        <v>45350</v>
      </c>
      <c r="C12422" s="1" t="n">
        <v>45657</v>
      </c>
      <c r="D12422" t="inlineStr">
        <is>
          <t>VÄSTERNORRLANDS LÄN</t>
        </is>
      </c>
      <c r="E12422" t="inlineStr">
        <is>
          <t>SOLLEFTEÅ</t>
        </is>
      </c>
      <c r="F12422" t="inlineStr">
        <is>
          <t>SCA</t>
        </is>
      </c>
      <c r="G12422" t="n">
        <v>38.8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7849-2024</t>
        </is>
      </c>
      <c r="B12423" s="1" t="n">
        <v>45350</v>
      </c>
      <c r="C12423" s="1" t="n">
        <v>45657</v>
      </c>
      <c r="D12423" t="inlineStr">
        <is>
          <t>VÄSTERNORRLANDS LÄN</t>
        </is>
      </c>
      <c r="E12423" t="inlineStr">
        <is>
          <t>SUNDSVALL</t>
        </is>
      </c>
      <c r="F12423" t="inlineStr">
        <is>
          <t>SCA</t>
        </is>
      </c>
      <c r="G12423" t="n">
        <v>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7853-2024</t>
        </is>
      </c>
      <c r="B12424" s="1" t="n">
        <v>45350</v>
      </c>
      <c r="C12424" s="1" t="n">
        <v>45657</v>
      </c>
      <c r="D12424" t="inlineStr">
        <is>
          <t>VÄSTERNORRLANDS LÄN</t>
        </is>
      </c>
      <c r="E12424" t="inlineStr">
        <is>
          <t>HÄRNÖSAND</t>
        </is>
      </c>
      <c r="F12424" t="inlineStr">
        <is>
          <t>SCA</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7852-2024</t>
        </is>
      </c>
      <c r="B12425" s="1" t="n">
        <v>45350</v>
      </c>
      <c r="C12425" s="1" t="n">
        <v>45657</v>
      </c>
      <c r="D12425" t="inlineStr">
        <is>
          <t>VÄSTERNORRLANDS LÄN</t>
        </is>
      </c>
      <c r="E12425" t="inlineStr">
        <is>
          <t>HÄRNÖSAND</t>
        </is>
      </c>
      <c r="F12425" t="inlineStr">
        <is>
          <t>SCA</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8025-2024</t>
        </is>
      </c>
      <c r="B12426" s="1" t="n">
        <v>45350</v>
      </c>
      <c r="C12426" s="1" t="n">
        <v>45657</v>
      </c>
      <c r="D12426" t="inlineStr">
        <is>
          <t>VÄSTERNORRLANDS LÄN</t>
        </is>
      </c>
      <c r="E12426" t="inlineStr">
        <is>
          <t>ÅNGE</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8033-2024</t>
        </is>
      </c>
      <c r="B12427" s="1" t="n">
        <v>45350</v>
      </c>
      <c r="C12427" s="1" t="n">
        <v>45657</v>
      </c>
      <c r="D12427" t="inlineStr">
        <is>
          <t>VÄSTERNORRLANDS LÄN</t>
        </is>
      </c>
      <c r="E12427" t="inlineStr">
        <is>
          <t>SOLLEFTEÅ</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8038-2024</t>
        </is>
      </c>
      <c r="B12428" s="1" t="n">
        <v>45350</v>
      </c>
      <c r="C12428" s="1" t="n">
        <v>45657</v>
      </c>
      <c r="D12428" t="inlineStr">
        <is>
          <t>VÄSTERNORRLANDS LÄN</t>
        </is>
      </c>
      <c r="E12428" t="inlineStr">
        <is>
          <t>SOLLEFTEÅ</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8024-2024</t>
        </is>
      </c>
      <c r="B12429" s="1" t="n">
        <v>45350</v>
      </c>
      <c r="C12429" s="1" t="n">
        <v>45657</v>
      </c>
      <c r="D12429" t="inlineStr">
        <is>
          <t>VÄSTERNORRLANDS LÄN</t>
        </is>
      </c>
      <c r="E12429" t="inlineStr">
        <is>
          <t>HÄRNÖSAND</t>
        </is>
      </c>
      <c r="G12429" t="n">
        <v>22.3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8039-2024</t>
        </is>
      </c>
      <c r="B12430" s="1" t="n">
        <v>45350</v>
      </c>
      <c r="C12430" s="1" t="n">
        <v>45657</v>
      </c>
      <c r="D12430" t="inlineStr">
        <is>
          <t>VÄSTERNORRLANDS LÄN</t>
        </is>
      </c>
      <c r="E12430" t="inlineStr">
        <is>
          <t>SOLLEFTEÅ</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7859-2024</t>
        </is>
      </c>
      <c r="B12431" s="1" t="n">
        <v>45350</v>
      </c>
      <c r="C12431" s="1" t="n">
        <v>45657</v>
      </c>
      <c r="D12431" t="inlineStr">
        <is>
          <t>VÄSTERNORRLANDS LÄN</t>
        </is>
      </c>
      <c r="E12431" t="inlineStr">
        <is>
          <t>TIMRÅ</t>
        </is>
      </c>
      <c r="F12431" t="inlineStr">
        <is>
          <t>SCA</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8322-2024</t>
        </is>
      </c>
      <c r="B12432" s="1" t="n">
        <v>45350</v>
      </c>
      <c r="C12432" s="1" t="n">
        <v>45657</v>
      </c>
      <c r="D12432" t="inlineStr">
        <is>
          <t>VÄSTERNORRLANDS LÄN</t>
        </is>
      </c>
      <c r="E12432" t="inlineStr">
        <is>
          <t>HÄRNÖSAND</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8054-2024</t>
        </is>
      </c>
      <c r="B12433" s="1" t="n">
        <v>45351</v>
      </c>
      <c r="C12433" s="1" t="n">
        <v>45657</v>
      </c>
      <c r="D12433" t="inlineStr">
        <is>
          <t>VÄSTERNORRLANDS LÄN</t>
        </is>
      </c>
      <c r="E12433" t="inlineStr">
        <is>
          <t>ÖRNSKÖLDSVIK</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8115-2024</t>
        </is>
      </c>
      <c r="B12434" s="1" t="n">
        <v>45351</v>
      </c>
      <c r="C12434" s="1" t="n">
        <v>45657</v>
      </c>
      <c r="D12434" t="inlineStr">
        <is>
          <t>VÄSTERNORRLANDS LÄN</t>
        </is>
      </c>
      <c r="E12434" t="inlineStr">
        <is>
          <t>ÖRNSKÖLDSVIK</t>
        </is>
      </c>
      <c r="F12434" t="inlineStr">
        <is>
          <t>Holmen skog AB</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8053-2024</t>
        </is>
      </c>
      <c r="B12435" s="1" t="n">
        <v>45351</v>
      </c>
      <c r="C12435" s="1" t="n">
        <v>45657</v>
      </c>
      <c r="D12435" t="inlineStr">
        <is>
          <t>VÄSTERNORRLANDS LÄN</t>
        </is>
      </c>
      <c r="E12435" t="inlineStr">
        <is>
          <t>ÖRNSKÖLDSVIK</t>
        </is>
      </c>
      <c r="G12435" t="n">
        <v>6.2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8236-2024</t>
        </is>
      </c>
      <c r="B12436" s="1" t="n">
        <v>45352</v>
      </c>
      <c r="C12436" s="1" t="n">
        <v>45657</v>
      </c>
      <c r="D12436" t="inlineStr">
        <is>
          <t>VÄSTERNORRLANDS LÄN</t>
        </is>
      </c>
      <c r="E12436" t="inlineStr">
        <is>
          <t>SOLLEFTEÅ</t>
        </is>
      </c>
      <c r="F12436" t="inlineStr">
        <is>
          <t>SCA</t>
        </is>
      </c>
      <c r="G12436" t="n">
        <v>13.6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8240-2024</t>
        </is>
      </c>
      <c r="B12437" s="1" t="n">
        <v>45351</v>
      </c>
      <c r="C12437" s="1" t="n">
        <v>45657</v>
      </c>
      <c r="D12437" t="inlineStr">
        <is>
          <t>VÄSTERNORRLANDS LÄN</t>
        </is>
      </c>
      <c r="E12437" t="inlineStr">
        <is>
          <t>TIMRÅ</t>
        </is>
      </c>
      <c r="F12437" t="inlineStr">
        <is>
          <t>SCA</t>
        </is>
      </c>
      <c r="G12437" t="n">
        <v>17.4</v>
      </c>
      <c r="H12437" t="n">
        <v>0</v>
      </c>
      <c r="I12437" t="n">
        <v>0</v>
      </c>
      <c r="J12437" t="n">
        <v>0</v>
      </c>
      <c r="K12437" t="n">
        <v>0</v>
      </c>
      <c r="L12437" t="n">
        <v>0</v>
      </c>
      <c r="M12437" t="n">
        <v>0</v>
      </c>
      <c r="N12437" t="n">
        <v>0</v>
      </c>
      <c r="O12437" t="n">
        <v>0</v>
      </c>
      <c r="P12437" t="n">
        <v>0</v>
      </c>
      <c r="Q12437" t="n">
        <v>0</v>
      </c>
      <c r="R12437" s="2" t="inlineStr"/>
      <c r="U12437">
        <f>HYPERLINK("https://klasma.github.io/Logging_2262/knärot/A 8240-2024 karta knärot.png", "A 8240-2024")</f>
        <v/>
      </c>
      <c r="V12437">
        <f>HYPERLINK("https://klasma.github.io/Logging_2262/klagomål/A 8240-2024 FSC-klagomål.docx", "A 8240-2024")</f>
        <v/>
      </c>
      <c r="W12437">
        <f>HYPERLINK("https://klasma.github.io/Logging_2262/klagomålsmail/A 8240-2024 FSC-klagomål mail.docx", "A 8240-2024")</f>
        <v/>
      </c>
      <c r="X12437">
        <f>HYPERLINK("https://klasma.github.io/Logging_2262/tillsyn/A 8240-2024 tillsynsbegäran.docx", "A 8240-2024")</f>
        <v/>
      </c>
      <c r="Y12437">
        <f>HYPERLINK("https://klasma.github.io/Logging_2262/tillsynsmail/A 8240-2024 tillsynsbegäran mail.docx", "A 8240-2024")</f>
        <v/>
      </c>
    </row>
    <row r="12438" ht="15" customHeight="1">
      <c r="A12438" t="inlineStr">
        <is>
          <t>A 8244-2024</t>
        </is>
      </c>
      <c r="B12438" s="1" t="n">
        <v>45351</v>
      </c>
      <c r="C12438" s="1" t="n">
        <v>45657</v>
      </c>
      <c r="D12438" t="inlineStr">
        <is>
          <t>VÄSTERNORRLANDS LÄN</t>
        </is>
      </c>
      <c r="E12438" t="inlineStr">
        <is>
          <t>SOLLEFTEÅ</t>
        </is>
      </c>
      <c r="F12438" t="inlineStr">
        <is>
          <t>SCA</t>
        </is>
      </c>
      <c r="G12438" t="n">
        <v>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8226-2024</t>
        </is>
      </c>
      <c r="B12439" s="1" t="n">
        <v>45351</v>
      </c>
      <c r="C12439" s="1" t="n">
        <v>45657</v>
      </c>
      <c r="D12439" t="inlineStr">
        <is>
          <t>VÄSTERNORRLANDS LÄN</t>
        </is>
      </c>
      <c r="E12439" t="inlineStr">
        <is>
          <t>ÅNGE</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8230-2024</t>
        </is>
      </c>
      <c r="B12440" s="1" t="n">
        <v>45351</v>
      </c>
      <c r="C12440" s="1" t="n">
        <v>45657</v>
      </c>
      <c r="D12440" t="inlineStr">
        <is>
          <t>VÄSTERNORRLANDS LÄN</t>
        </is>
      </c>
      <c r="E12440" t="inlineStr">
        <is>
          <t>SUNDSVALL</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8234-2024</t>
        </is>
      </c>
      <c r="B12441" s="1" t="n">
        <v>45352</v>
      </c>
      <c r="C12441" s="1" t="n">
        <v>45657</v>
      </c>
      <c r="D12441" t="inlineStr">
        <is>
          <t>VÄSTERNORRLANDS LÄN</t>
        </is>
      </c>
      <c r="E12441" t="inlineStr">
        <is>
          <t>SOLLEFTEÅ</t>
        </is>
      </c>
      <c r="F12441" t="inlineStr">
        <is>
          <t>SCA</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8342-2024</t>
        </is>
      </c>
      <c r="B12442" s="1" t="n">
        <v>45351</v>
      </c>
      <c r="C12442" s="1" t="n">
        <v>45657</v>
      </c>
      <c r="D12442" t="inlineStr">
        <is>
          <t>VÄSTERNORRLANDS LÄN</t>
        </is>
      </c>
      <c r="E12442" t="inlineStr">
        <is>
          <t>ÖRNSKÖLDSVIK</t>
        </is>
      </c>
      <c r="G12442" t="n">
        <v>9.6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8518-2024</t>
        </is>
      </c>
      <c r="B12443" s="1" t="n">
        <v>45351</v>
      </c>
      <c r="C12443" s="1" t="n">
        <v>45657</v>
      </c>
      <c r="D12443" t="inlineStr">
        <is>
          <t>VÄSTERNORRLANDS LÄN</t>
        </is>
      </c>
      <c r="E12443" t="inlineStr">
        <is>
          <t>SUNDSVALL</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8475-2024</t>
        </is>
      </c>
      <c r="B12444" s="1" t="n">
        <v>45351</v>
      </c>
      <c r="C12444" s="1" t="n">
        <v>45657</v>
      </c>
      <c r="D12444" t="inlineStr">
        <is>
          <t>VÄSTERNORRLANDS LÄN</t>
        </is>
      </c>
      <c r="E12444" t="inlineStr">
        <is>
          <t>HÄRNÖSAND</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8523-2024</t>
        </is>
      </c>
      <c r="B12445" s="1" t="n">
        <v>45351</v>
      </c>
      <c r="C12445" s="1" t="n">
        <v>45657</v>
      </c>
      <c r="D12445" t="inlineStr">
        <is>
          <t>VÄSTERNORRLANDS LÄN</t>
        </is>
      </c>
      <c r="E12445" t="inlineStr">
        <is>
          <t>ÖRNSKÖLDSVIK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8237-2024</t>
        </is>
      </c>
      <c r="B12446" s="1" t="n">
        <v>45351</v>
      </c>
      <c r="C12446" s="1" t="n">
        <v>45657</v>
      </c>
      <c r="D12446" t="inlineStr">
        <is>
          <t>VÄSTERNORRLANDS LÄN</t>
        </is>
      </c>
      <c r="E12446" t="inlineStr">
        <is>
          <t>TIMRÅ</t>
        </is>
      </c>
      <c r="F12446" t="inlineStr">
        <is>
          <t>SCA</t>
        </is>
      </c>
      <c r="G12446" t="n">
        <v>14.2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8500-2024</t>
        </is>
      </c>
      <c r="B12447" s="1" t="n">
        <v>45351</v>
      </c>
      <c r="C12447" s="1" t="n">
        <v>45657</v>
      </c>
      <c r="D12447" t="inlineStr">
        <is>
          <t>VÄSTERNORRLANDS LÄN</t>
        </is>
      </c>
      <c r="E12447" t="inlineStr">
        <is>
          <t>HÄRNÖSAND</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8526-2024</t>
        </is>
      </c>
      <c r="B12448" s="1" t="n">
        <v>45351</v>
      </c>
      <c r="C12448" s="1" t="n">
        <v>45657</v>
      </c>
      <c r="D12448" t="inlineStr">
        <is>
          <t>VÄSTERNORRLANDS LÄN</t>
        </is>
      </c>
      <c r="E12448" t="inlineStr">
        <is>
          <t>TIMRÅ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8227-2024</t>
        </is>
      </c>
      <c r="B12449" s="1" t="n">
        <v>45351</v>
      </c>
      <c r="C12449" s="1" t="n">
        <v>45657</v>
      </c>
      <c r="D12449" t="inlineStr">
        <is>
          <t>VÄSTERNORRLANDS LÄN</t>
        </is>
      </c>
      <c r="E12449" t="inlineStr">
        <is>
          <t>KRAMFORS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8231-2024</t>
        </is>
      </c>
      <c r="B12450" s="1" t="n">
        <v>45351</v>
      </c>
      <c r="C12450" s="1" t="n">
        <v>45657</v>
      </c>
      <c r="D12450" t="inlineStr">
        <is>
          <t>VÄSTERNORRLANDS LÄN</t>
        </is>
      </c>
      <c r="E12450" t="inlineStr">
        <is>
          <t>SUNDSVALL</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8235-2024</t>
        </is>
      </c>
      <c r="B12451" s="1" t="n">
        <v>45352</v>
      </c>
      <c r="C12451" s="1" t="n">
        <v>45657</v>
      </c>
      <c r="D12451" t="inlineStr">
        <is>
          <t>VÄSTERNORRLANDS LÄN</t>
        </is>
      </c>
      <c r="E12451" t="inlineStr">
        <is>
          <t>SOLLEFTEÅ</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8485-2024</t>
        </is>
      </c>
      <c r="B12452" s="1" t="n">
        <v>45351</v>
      </c>
      <c r="C12452" s="1" t="n">
        <v>45657</v>
      </c>
      <c r="D12452" t="inlineStr">
        <is>
          <t>VÄSTERNORRLANDS LÄN</t>
        </is>
      </c>
      <c r="E12452" t="inlineStr">
        <is>
          <t>HÄRNÖSAND</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8506-2024</t>
        </is>
      </c>
      <c r="B12453" s="1" t="n">
        <v>45351</v>
      </c>
      <c r="C12453" s="1" t="n">
        <v>45657</v>
      </c>
      <c r="D12453" t="inlineStr">
        <is>
          <t>VÄSTERNORRLANDS LÄN</t>
        </is>
      </c>
      <c r="E12453" t="inlineStr">
        <is>
          <t>TIMRÅ</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8520-2024</t>
        </is>
      </c>
      <c r="B12454" s="1" t="n">
        <v>45351</v>
      </c>
      <c r="C12454" s="1" t="n">
        <v>45657</v>
      </c>
      <c r="D12454" t="inlineStr">
        <is>
          <t>VÄSTERNORRLANDS LÄN</t>
        </is>
      </c>
      <c r="E12454" t="inlineStr">
        <is>
          <t>SUNDSVALL</t>
        </is>
      </c>
      <c r="G12454" t="n">
        <v>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8565-2024</t>
        </is>
      </c>
      <c r="B12455" s="1" t="n">
        <v>45352</v>
      </c>
      <c r="C12455" s="1" t="n">
        <v>45657</v>
      </c>
      <c r="D12455" t="inlineStr">
        <is>
          <t>VÄSTERNORRLANDS LÄN</t>
        </is>
      </c>
      <c r="E12455" t="inlineStr">
        <is>
          <t>ÖRNSKÖLDSVIK</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8411-2024</t>
        </is>
      </c>
      <c r="B12456" s="1" t="n">
        <v>45352</v>
      </c>
      <c r="C12456" s="1" t="n">
        <v>45657</v>
      </c>
      <c r="D12456" t="inlineStr">
        <is>
          <t>VÄSTERNORRLANDS LÄN</t>
        </is>
      </c>
      <c r="E12456" t="inlineStr">
        <is>
          <t>HÄRNÖSAND</t>
        </is>
      </c>
      <c r="F12456" t="inlineStr">
        <is>
          <t>SCA</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8570-2024</t>
        </is>
      </c>
      <c r="B12457" s="1" t="n">
        <v>45352</v>
      </c>
      <c r="C12457" s="1" t="n">
        <v>45657</v>
      </c>
      <c r="D12457" t="inlineStr">
        <is>
          <t>VÄSTERNORRLANDS LÄN</t>
        </is>
      </c>
      <c r="E12457" t="inlineStr">
        <is>
          <t>ÖRNSKÖLDSVIK</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8317-2024</t>
        </is>
      </c>
      <c r="B12458" s="1" t="n">
        <v>45352</v>
      </c>
      <c r="C12458" s="1" t="n">
        <v>45657</v>
      </c>
      <c r="D12458" t="inlineStr">
        <is>
          <t>VÄSTERNORRLANDS LÄN</t>
        </is>
      </c>
      <c r="E12458" t="inlineStr">
        <is>
          <t>ÖRNSKÖLDSVIK</t>
        </is>
      </c>
      <c r="F12458" t="inlineStr">
        <is>
          <t>Holmen skog AB</t>
        </is>
      </c>
      <c r="G12458" t="n">
        <v>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8408-2024</t>
        </is>
      </c>
      <c r="B12459" s="1" t="n">
        <v>45352</v>
      </c>
      <c r="C12459" s="1" t="n">
        <v>45657</v>
      </c>
      <c r="D12459" t="inlineStr">
        <is>
          <t>VÄSTERNORRLANDS LÄN</t>
        </is>
      </c>
      <c r="E12459" t="inlineStr">
        <is>
          <t>HÄRNÖSAND</t>
        </is>
      </c>
      <c r="F12459" t="inlineStr">
        <is>
          <t>SCA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8414-2024</t>
        </is>
      </c>
      <c r="B12460" s="1" t="n">
        <v>45352</v>
      </c>
      <c r="C12460" s="1" t="n">
        <v>45657</v>
      </c>
      <c r="D12460" t="inlineStr">
        <is>
          <t>VÄSTERNORRLANDS LÄN</t>
        </is>
      </c>
      <c r="E12460" t="inlineStr">
        <is>
          <t>SOLLEFTEÅ</t>
        </is>
      </c>
      <c r="F12460" t="inlineStr">
        <is>
          <t>SCA</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8418-2024</t>
        </is>
      </c>
      <c r="B12461" s="1" t="n">
        <v>45353</v>
      </c>
      <c r="C12461" s="1" t="n">
        <v>45657</v>
      </c>
      <c r="D12461" t="inlineStr">
        <is>
          <t>VÄSTERNORRLANDS LÄN</t>
        </is>
      </c>
      <c r="E12461" t="inlineStr">
        <is>
          <t>SUNDSVALL</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8422-2024</t>
        </is>
      </c>
      <c r="B12462" s="1" t="n">
        <v>45353</v>
      </c>
      <c r="C12462" s="1" t="n">
        <v>45657</v>
      </c>
      <c r="D12462" t="inlineStr">
        <is>
          <t>VÄSTERNORRLANDS LÄN</t>
        </is>
      </c>
      <c r="E12462" t="inlineStr">
        <is>
          <t>SUNDSVALL</t>
        </is>
      </c>
      <c r="F12462" t="inlineStr">
        <is>
          <t>SCA</t>
        </is>
      </c>
      <c r="G12462" t="n">
        <v>9.4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8426-2024</t>
        </is>
      </c>
      <c r="B12463" s="1" t="n">
        <v>45353</v>
      </c>
      <c r="C12463" s="1" t="n">
        <v>45657</v>
      </c>
      <c r="D12463" t="inlineStr">
        <is>
          <t>VÄSTERNORRLANDS LÄN</t>
        </is>
      </c>
      <c r="E12463" t="inlineStr">
        <is>
          <t>ÅNGE</t>
        </is>
      </c>
      <c r="F12463" t="inlineStr">
        <is>
          <t>SCA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8407-2024</t>
        </is>
      </c>
      <c r="B12464" s="1" t="n">
        <v>45352</v>
      </c>
      <c r="C12464" s="1" t="n">
        <v>45657</v>
      </c>
      <c r="D12464" t="inlineStr">
        <is>
          <t>VÄSTERNORRLANDS LÄN</t>
        </is>
      </c>
      <c r="E12464" t="inlineStr">
        <is>
          <t>HÄRNÖSAND</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8423-2024</t>
        </is>
      </c>
      <c r="B12465" s="1" t="n">
        <v>45353</v>
      </c>
      <c r="C12465" s="1" t="n">
        <v>45657</v>
      </c>
      <c r="D12465" t="inlineStr">
        <is>
          <t>VÄSTERNORRLANDS LÄN</t>
        </is>
      </c>
      <c r="E12465" t="inlineStr">
        <is>
          <t>SUNDSVALL</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8427-2024</t>
        </is>
      </c>
      <c r="B12466" s="1" t="n">
        <v>45353</v>
      </c>
      <c r="C12466" s="1" t="n">
        <v>45657</v>
      </c>
      <c r="D12466" t="inlineStr">
        <is>
          <t>VÄSTERNORRLANDS LÄN</t>
        </is>
      </c>
      <c r="E12466" t="inlineStr">
        <is>
          <t>ÅNGE</t>
        </is>
      </c>
      <c r="F12466" t="inlineStr">
        <is>
          <t>SCA</t>
        </is>
      </c>
      <c r="G12466" t="n">
        <v>32.3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8413-2024</t>
        </is>
      </c>
      <c r="B12467" s="1" t="n">
        <v>45352</v>
      </c>
      <c r="C12467" s="1" t="n">
        <v>45657</v>
      </c>
      <c r="D12467" t="inlineStr">
        <is>
          <t>VÄSTERNORRLANDS LÄN</t>
        </is>
      </c>
      <c r="E12467" t="inlineStr">
        <is>
          <t>ÅNGE</t>
        </is>
      </c>
      <c r="F12467" t="inlineStr">
        <is>
          <t>SCA</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8417-2024</t>
        </is>
      </c>
      <c r="B12468" s="1" t="n">
        <v>45352</v>
      </c>
      <c r="C12468" s="1" t="n">
        <v>45657</v>
      </c>
      <c r="D12468" t="inlineStr">
        <is>
          <t>VÄSTERNORRLANDS LÄN</t>
        </is>
      </c>
      <c r="E12468" t="inlineStr">
        <is>
          <t>SUNDSVALL</t>
        </is>
      </c>
      <c r="F12468" t="inlineStr">
        <is>
          <t>SCA</t>
        </is>
      </c>
      <c r="G12468" t="n">
        <v>49.5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8425-2024</t>
        </is>
      </c>
      <c r="B12469" s="1" t="n">
        <v>45353</v>
      </c>
      <c r="C12469" s="1" t="n">
        <v>45657</v>
      </c>
      <c r="D12469" t="inlineStr">
        <is>
          <t>VÄSTERNORRLANDS LÄN</t>
        </is>
      </c>
      <c r="E12469" t="inlineStr">
        <is>
          <t>ÅNGE</t>
        </is>
      </c>
      <c r="F12469" t="inlineStr">
        <is>
          <t>SCA</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8435-2024</t>
        </is>
      </c>
      <c r="B12470" s="1" t="n">
        <v>45353</v>
      </c>
      <c r="C12470" s="1" t="n">
        <v>45657</v>
      </c>
      <c r="D12470" t="inlineStr">
        <is>
          <t>VÄSTERNORRLANDS LÄN</t>
        </is>
      </c>
      <c r="E12470" t="inlineStr">
        <is>
          <t>ÅNGE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8635-2024</t>
        </is>
      </c>
      <c r="B12471" s="1" t="n">
        <v>45355</v>
      </c>
      <c r="C12471" s="1" t="n">
        <v>45657</v>
      </c>
      <c r="D12471" t="inlineStr">
        <is>
          <t>VÄSTERNORRLANDS LÄN</t>
        </is>
      </c>
      <c r="E12471" t="inlineStr">
        <is>
          <t>KRAMFORS</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8706-2024</t>
        </is>
      </c>
      <c r="B12472" s="1" t="n">
        <v>45355</v>
      </c>
      <c r="C12472" s="1" t="n">
        <v>45657</v>
      </c>
      <c r="D12472" t="inlineStr">
        <is>
          <t>VÄSTERNORRLANDS LÄN</t>
        </is>
      </c>
      <c r="E12472" t="inlineStr">
        <is>
          <t>KRAMFORS</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8608-2024</t>
        </is>
      </c>
      <c r="B12473" s="1" t="n">
        <v>45355</v>
      </c>
      <c r="C12473" s="1" t="n">
        <v>45657</v>
      </c>
      <c r="D12473" t="inlineStr">
        <is>
          <t>VÄSTERNORRLANDS LÄN</t>
        </is>
      </c>
      <c r="E12473" t="inlineStr">
        <is>
          <t>SOLLEFTEÅ</t>
        </is>
      </c>
      <c r="G12473" t="n">
        <v>6.1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8491-2024</t>
        </is>
      </c>
      <c r="B12474" s="1" t="n">
        <v>45355</v>
      </c>
      <c r="C12474" s="1" t="n">
        <v>45657</v>
      </c>
      <c r="D12474" t="inlineStr">
        <is>
          <t>VÄSTERNORRLANDS LÄN</t>
        </is>
      </c>
      <c r="E12474" t="inlineStr">
        <is>
          <t>SUNDSVALL</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8585-2024</t>
        </is>
      </c>
      <c r="B12475" s="1" t="n">
        <v>45355</v>
      </c>
      <c r="C12475" s="1" t="n">
        <v>45657</v>
      </c>
      <c r="D12475" t="inlineStr">
        <is>
          <t>VÄSTERNORRLANDS LÄN</t>
        </is>
      </c>
      <c r="E12475" t="inlineStr">
        <is>
          <t>ÖRNSKÖLDSVIK</t>
        </is>
      </c>
      <c r="F12475" t="inlineStr">
        <is>
          <t>Holmen skog AB</t>
        </is>
      </c>
      <c r="G12475" t="n">
        <v>22.4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8587-2024</t>
        </is>
      </c>
      <c r="B12476" s="1" t="n">
        <v>45355</v>
      </c>
      <c r="C12476" s="1" t="n">
        <v>45657</v>
      </c>
      <c r="D12476" t="inlineStr">
        <is>
          <t>VÄSTERNORRLANDS LÄN</t>
        </is>
      </c>
      <c r="E12476" t="inlineStr">
        <is>
          <t>ÖRNSKÖLDSVIK</t>
        </is>
      </c>
      <c r="F12476" t="inlineStr">
        <is>
          <t>Holmen skog AB</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8918-2024</t>
        </is>
      </c>
      <c r="B12477" s="1" t="n">
        <v>45355</v>
      </c>
      <c r="C12477" s="1" t="n">
        <v>45657</v>
      </c>
      <c r="D12477" t="inlineStr">
        <is>
          <t>VÄSTERNORRLANDS LÄN</t>
        </is>
      </c>
      <c r="E12477" t="inlineStr">
        <is>
          <t>SOLLEFTEÅ</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8647-2024</t>
        </is>
      </c>
      <c r="B12478" s="1" t="n">
        <v>45356</v>
      </c>
      <c r="C12478" s="1" t="n">
        <v>45657</v>
      </c>
      <c r="D12478" t="inlineStr">
        <is>
          <t>VÄSTERNORRLANDS LÄN</t>
        </is>
      </c>
      <c r="E12478" t="inlineStr">
        <is>
          <t>ÅNGE</t>
        </is>
      </c>
      <c r="F12478" t="inlineStr">
        <is>
          <t>SCA</t>
        </is>
      </c>
      <c r="G12478" t="n">
        <v>11.6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8651-2024</t>
        </is>
      </c>
      <c r="B12479" s="1" t="n">
        <v>45356</v>
      </c>
      <c r="C12479" s="1" t="n">
        <v>45657</v>
      </c>
      <c r="D12479" t="inlineStr">
        <is>
          <t>VÄSTERNORRLANDS LÄN</t>
        </is>
      </c>
      <c r="E12479" t="inlineStr">
        <is>
          <t>ÅNGE</t>
        </is>
      </c>
      <c r="F12479" t="inlineStr">
        <is>
          <t>SCA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8645-2024</t>
        </is>
      </c>
      <c r="B12480" s="1" t="n">
        <v>45356</v>
      </c>
      <c r="C12480" s="1" t="n">
        <v>45657</v>
      </c>
      <c r="D12480" t="inlineStr">
        <is>
          <t>VÄSTERNORRLANDS LÄN</t>
        </is>
      </c>
      <c r="E12480" t="inlineStr">
        <is>
          <t>SUNDSVALL</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8649-2024</t>
        </is>
      </c>
      <c r="B12481" s="1" t="n">
        <v>45356</v>
      </c>
      <c r="C12481" s="1" t="n">
        <v>45657</v>
      </c>
      <c r="D12481" t="inlineStr">
        <is>
          <t>VÄSTERNORRLANDS LÄN</t>
        </is>
      </c>
      <c r="E12481" t="inlineStr">
        <is>
          <t>SUNDSVALL</t>
        </is>
      </c>
      <c r="F12481" t="inlineStr">
        <is>
          <t>SCA</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8653-2024</t>
        </is>
      </c>
      <c r="B12482" s="1" t="n">
        <v>45356</v>
      </c>
      <c r="C12482" s="1" t="n">
        <v>45657</v>
      </c>
      <c r="D12482" t="inlineStr">
        <is>
          <t>VÄSTERNORRLANDS LÄN</t>
        </is>
      </c>
      <c r="E12482" t="inlineStr">
        <is>
          <t>SOLLEFTEÅ</t>
        </is>
      </c>
      <c r="F12482" t="inlineStr">
        <is>
          <t>SCA</t>
        </is>
      </c>
      <c r="G12482" t="n">
        <v>67.8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8707-2024</t>
        </is>
      </c>
      <c r="B12483" s="1" t="n">
        <v>45356</v>
      </c>
      <c r="C12483" s="1" t="n">
        <v>45657</v>
      </c>
      <c r="D12483" t="inlineStr">
        <is>
          <t>VÄSTERNORRLANDS LÄN</t>
        </is>
      </c>
      <c r="E12483" t="inlineStr">
        <is>
          <t>ÖRNSKÖLDSVIK</t>
        </is>
      </c>
      <c r="F12483" t="inlineStr">
        <is>
          <t>Holmen skog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8636-2024</t>
        </is>
      </c>
      <c r="B12484" s="1" t="n">
        <v>45356</v>
      </c>
      <c r="C12484" s="1" t="n">
        <v>45657</v>
      </c>
      <c r="D12484" t="inlineStr">
        <is>
          <t>VÄSTERNORRLANDS LÄN</t>
        </is>
      </c>
      <c r="E12484" t="inlineStr">
        <is>
          <t>SOLLEFTEÅ</t>
        </is>
      </c>
      <c r="F12484" t="inlineStr">
        <is>
          <t>SCA</t>
        </is>
      </c>
      <c r="G12484" t="n">
        <v>31.3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8640-2024</t>
        </is>
      </c>
      <c r="B12485" s="1" t="n">
        <v>45356</v>
      </c>
      <c r="C12485" s="1" t="n">
        <v>45657</v>
      </c>
      <c r="D12485" t="inlineStr">
        <is>
          <t>VÄSTERNORRLANDS LÄN</t>
        </is>
      </c>
      <c r="E12485" t="inlineStr">
        <is>
          <t>TIMRÅ</t>
        </is>
      </c>
      <c r="F12485" t="inlineStr">
        <is>
          <t>SCA</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8813-2024</t>
        </is>
      </c>
      <c r="B12486" s="1" t="n">
        <v>45356</v>
      </c>
      <c r="C12486" s="1" t="n">
        <v>45657</v>
      </c>
      <c r="D12486" t="inlineStr">
        <is>
          <t>VÄSTERNORRLANDS LÄN</t>
        </is>
      </c>
      <c r="E12486" t="inlineStr">
        <is>
          <t>ÖRNSKÖLDSVIK</t>
        </is>
      </c>
      <c r="F12486" t="inlineStr">
        <is>
          <t>Holmen skog AB</t>
        </is>
      </c>
      <c r="G12486" t="n">
        <v>7.9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8650-2024</t>
        </is>
      </c>
      <c r="B12487" s="1" t="n">
        <v>45356</v>
      </c>
      <c r="C12487" s="1" t="n">
        <v>45657</v>
      </c>
      <c r="D12487" t="inlineStr">
        <is>
          <t>VÄSTERNORRLANDS LÄN</t>
        </is>
      </c>
      <c r="E12487" t="inlineStr">
        <is>
          <t>ÅNGE</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8670-2024</t>
        </is>
      </c>
      <c r="B12488" s="1" t="n">
        <v>45356</v>
      </c>
      <c r="C12488" s="1" t="n">
        <v>45657</v>
      </c>
      <c r="D12488" t="inlineStr">
        <is>
          <t>VÄSTERNORRLANDS LÄN</t>
        </is>
      </c>
      <c r="E12488" t="inlineStr">
        <is>
          <t>ÖRNSKÖLDSVIK</t>
        </is>
      </c>
      <c r="F12488" t="inlineStr">
        <is>
          <t>Holmen skog AB</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8729-2024</t>
        </is>
      </c>
      <c r="B12489" s="1" t="n">
        <v>45356</v>
      </c>
      <c r="C12489" s="1" t="n">
        <v>45657</v>
      </c>
      <c r="D12489" t="inlineStr">
        <is>
          <t>VÄSTERNORRLANDS LÄN</t>
        </is>
      </c>
      <c r="E12489" t="inlineStr">
        <is>
          <t>SOLLEFTEÅ</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8744-2024</t>
        </is>
      </c>
      <c r="B12490" s="1" t="n">
        <v>45356</v>
      </c>
      <c r="C12490" s="1" t="n">
        <v>45657</v>
      </c>
      <c r="D12490" t="inlineStr">
        <is>
          <t>VÄSTERNORRLANDS LÄN</t>
        </is>
      </c>
      <c r="E12490" t="inlineStr">
        <is>
          <t>ÖRNSKÖLDSVIK</t>
        </is>
      </c>
      <c r="F12490" t="inlineStr">
        <is>
          <t>Holmen skog AB</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8854-2024</t>
        </is>
      </c>
      <c r="B12491" s="1" t="n">
        <v>45357</v>
      </c>
      <c r="C12491" s="1" t="n">
        <v>45657</v>
      </c>
      <c r="D12491" t="inlineStr">
        <is>
          <t>VÄSTERNORRLANDS LÄN</t>
        </is>
      </c>
      <c r="E12491" t="inlineStr">
        <is>
          <t>KRAMFORS</t>
        </is>
      </c>
      <c r="G12491" t="n">
        <v>19.1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8866-2024</t>
        </is>
      </c>
      <c r="B12492" s="1" t="n">
        <v>45357</v>
      </c>
      <c r="C12492" s="1" t="n">
        <v>45657</v>
      </c>
      <c r="D12492" t="inlineStr">
        <is>
          <t>VÄSTERNORRLANDS LÄN</t>
        </is>
      </c>
      <c r="E12492" t="inlineStr">
        <is>
          <t>KRAMFORS</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8652-2024</t>
        </is>
      </c>
      <c r="B12493" s="1" t="n">
        <v>45356</v>
      </c>
      <c r="C12493" s="1" t="n">
        <v>45657</v>
      </c>
      <c r="D12493" t="inlineStr">
        <is>
          <t>VÄSTERNORRLANDS LÄN</t>
        </is>
      </c>
      <c r="E12493" t="inlineStr">
        <is>
          <t>SOLLEFTEÅ</t>
        </is>
      </c>
      <c r="F12493" t="inlineStr">
        <is>
          <t>SCA</t>
        </is>
      </c>
      <c r="G12493" t="n">
        <v>38.6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8656-2024</t>
        </is>
      </c>
      <c r="B12494" s="1" t="n">
        <v>45356</v>
      </c>
      <c r="C12494" s="1" t="n">
        <v>45657</v>
      </c>
      <c r="D12494" t="inlineStr">
        <is>
          <t>VÄSTERNORRLANDS LÄN</t>
        </is>
      </c>
      <c r="E12494" t="inlineStr">
        <is>
          <t>SOLLEFTEÅ</t>
        </is>
      </c>
      <c r="F12494" t="inlineStr">
        <is>
          <t>SCA</t>
        </is>
      </c>
      <c r="G12494" t="n">
        <v>18.4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8742-2024</t>
        </is>
      </c>
      <c r="B12495" s="1" t="n">
        <v>45356</v>
      </c>
      <c r="C12495" s="1" t="n">
        <v>45657</v>
      </c>
      <c r="D12495" t="inlineStr">
        <is>
          <t>VÄSTERNORRLANDS LÄN</t>
        </is>
      </c>
      <c r="E12495" t="inlineStr">
        <is>
          <t>KRAMFORS</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8863-2024</t>
        </is>
      </c>
      <c r="B12496" s="1" t="n">
        <v>45357</v>
      </c>
      <c r="C12496" s="1" t="n">
        <v>45657</v>
      </c>
      <c r="D12496" t="inlineStr">
        <is>
          <t>VÄSTERNORRLANDS LÄN</t>
        </is>
      </c>
      <c r="E12496" t="inlineStr">
        <is>
          <t>KRAMFORS</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8845-2024</t>
        </is>
      </c>
      <c r="B12497" s="1" t="n">
        <v>45356</v>
      </c>
      <c r="C12497" s="1" t="n">
        <v>45657</v>
      </c>
      <c r="D12497" t="inlineStr">
        <is>
          <t>VÄSTERNORRLANDS LÄN</t>
        </is>
      </c>
      <c r="E12497" t="inlineStr">
        <is>
          <t>ÖRNSKÖLDSVIK</t>
        </is>
      </c>
      <c r="F12497" t="inlineStr">
        <is>
          <t>Holmen skog AB</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8857-2024</t>
        </is>
      </c>
      <c r="B12498" s="1" t="n">
        <v>45356</v>
      </c>
      <c r="C12498" s="1" t="n">
        <v>45657</v>
      </c>
      <c r="D12498" t="inlineStr">
        <is>
          <t>VÄSTERNORRLANDS LÄN</t>
        </is>
      </c>
      <c r="E12498" t="inlineStr">
        <is>
          <t>KRAMFORS</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8865-2024</t>
        </is>
      </c>
      <c r="B12499" s="1" t="n">
        <v>45357</v>
      </c>
      <c r="C12499" s="1" t="n">
        <v>45657</v>
      </c>
      <c r="D12499" t="inlineStr">
        <is>
          <t>VÄSTERNORRLANDS LÄN</t>
        </is>
      </c>
      <c r="E12499" t="inlineStr">
        <is>
          <t>KRAMFORS</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8856-2024</t>
        </is>
      </c>
      <c r="B12500" s="1" t="n">
        <v>45356</v>
      </c>
      <c r="C12500" s="1" t="n">
        <v>45657</v>
      </c>
      <c r="D12500" t="inlineStr">
        <is>
          <t>VÄSTERNORRLANDS LÄN</t>
        </is>
      </c>
      <c r="E12500" t="inlineStr">
        <is>
          <t>KRAMFORS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8864-2024</t>
        </is>
      </c>
      <c r="B12501" s="1" t="n">
        <v>45357</v>
      </c>
      <c r="C12501" s="1" t="n">
        <v>45657</v>
      </c>
      <c r="D12501" t="inlineStr">
        <is>
          <t>VÄSTERNORRLANDS LÄN</t>
        </is>
      </c>
      <c r="E12501" t="inlineStr">
        <is>
          <t>KRAMFORS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8877-2024</t>
        </is>
      </c>
      <c r="B12502" s="1" t="n">
        <v>45356</v>
      </c>
      <c r="C12502" s="1" t="n">
        <v>45657</v>
      </c>
      <c r="D12502" t="inlineStr">
        <is>
          <t>VÄSTERNORRLANDS LÄN</t>
        </is>
      </c>
      <c r="E12502" t="inlineStr">
        <is>
          <t>TIMRÅ</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8883-2024</t>
        </is>
      </c>
      <c r="B12503" s="1" t="n">
        <v>45357</v>
      </c>
      <c r="C12503" s="1" t="n">
        <v>45657</v>
      </c>
      <c r="D12503" t="inlineStr">
        <is>
          <t>VÄSTERNORRLANDS LÄN</t>
        </is>
      </c>
      <c r="E12503" t="inlineStr">
        <is>
          <t>HÄRNÖSAND</t>
        </is>
      </c>
      <c r="F12503" t="inlineStr">
        <is>
          <t>SCA</t>
        </is>
      </c>
      <c r="G12503" t="n">
        <v>8.199999999999999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8884-2024</t>
        </is>
      </c>
      <c r="B12504" s="1" t="n">
        <v>45357</v>
      </c>
      <c r="C12504" s="1" t="n">
        <v>45657</v>
      </c>
      <c r="D12504" t="inlineStr">
        <is>
          <t>VÄSTERNORRLANDS LÄN</t>
        </is>
      </c>
      <c r="E12504" t="inlineStr">
        <is>
          <t>HÄRNÖSAND</t>
        </is>
      </c>
      <c r="F12504" t="inlineStr">
        <is>
          <t>SCA</t>
        </is>
      </c>
      <c r="G12504" t="n">
        <v>16.1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8888-2024</t>
        </is>
      </c>
      <c r="B12505" s="1" t="n">
        <v>45357</v>
      </c>
      <c r="C12505" s="1" t="n">
        <v>45657</v>
      </c>
      <c r="D12505" t="inlineStr">
        <is>
          <t>VÄSTERNORRLANDS LÄN</t>
        </is>
      </c>
      <c r="E12505" t="inlineStr">
        <is>
          <t>SUNDSVALL</t>
        </is>
      </c>
      <c r="F12505" t="inlineStr">
        <is>
          <t>SCA</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8885-2024</t>
        </is>
      </c>
      <c r="B12506" s="1" t="n">
        <v>45357</v>
      </c>
      <c r="C12506" s="1" t="n">
        <v>45657</v>
      </c>
      <c r="D12506" t="inlineStr">
        <is>
          <t>VÄSTERNORRLANDS LÄN</t>
        </is>
      </c>
      <c r="E12506" t="inlineStr">
        <is>
          <t>SOLLEFTEÅ</t>
        </is>
      </c>
      <c r="F12506" t="inlineStr">
        <is>
          <t>SCA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8945-2024</t>
        </is>
      </c>
      <c r="B12507" s="1" t="n">
        <v>45357</v>
      </c>
      <c r="C12507" s="1" t="n">
        <v>45657</v>
      </c>
      <c r="D12507" t="inlineStr">
        <is>
          <t>VÄSTERNORRLANDS LÄN</t>
        </is>
      </c>
      <c r="E12507" t="inlineStr">
        <is>
          <t>SUNDSVALL</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8962-2024</t>
        </is>
      </c>
      <c r="B12508" s="1" t="n">
        <v>45357</v>
      </c>
      <c r="C12508" s="1" t="n">
        <v>45657</v>
      </c>
      <c r="D12508" t="inlineStr">
        <is>
          <t>VÄSTERNORRLANDS LÄN</t>
        </is>
      </c>
      <c r="E12508" t="inlineStr">
        <is>
          <t>SUNDSVALL</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9113-2024</t>
        </is>
      </c>
      <c r="B12509" s="1" t="n">
        <v>45357</v>
      </c>
      <c r="C12509" s="1" t="n">
        <v>45657</v>
      </c>
      <c r="D12509" t="inlineStr">
        <is>
          <t>VÄSTERNORRLANDS LÄN</t>
        </is>
      </c>
      <c r="E12509" t="inlineStr">
        <is>
          <t>SUNDSVALL</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9102-2024</t>
        </is>
      </c>
      <c r="B12510" s="1" t="n">
        <v>45357</v>
      </c>
      <c r="C12510" s="1" t="n">
        <v>45657</v>
      </c>
      <c r="D12510" t="inlineStr">
        <is>
          <t>VÄSTERNORRLANDS LÄN</t>
        </is>
      </c>
      <c r="E12510" t="inlineStr">
        <is>
          <t>ÖRNSKÖLDSVIK</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9145-2024</t>
        </is>
      </c>
      <c r="B12511" s="1" t="n">
        <v>45357</v>
      </c>
      <c r="C12511" s="1" t="n">
        <v>45657</v>
      </c>
      <c r="D12511" t="inlineStr">
        <is>
          <t>VÄSTERNORRLANDS LÄN</t>
        </is>
      </c>
      <c r="E12511" t="inlineStr">
        <is>
          <t>SOLLEFTEÅ</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9116-2024</t>
        </is>
      </c>
      <c r="B12512" s="1" t="n">
        <v>45358</v>
      </c>
      <c r="C12512" s="1" t="n">
        <v>45657</v>
      </c>
      <c r="D12512" t="inlineStr">
        <is>
          <t>VÄSTERNORRLANDS LÄN</t>
        </is>
      </c>
      <c r="E12512" t="inlineStr">
        <is>
          <t>ÅNGE</t>
        </is>
      </c>
      <c r="F12512" t="inlineStr">
        <is>
          <t>SCA</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9120-2024</t>
        </is>
      </c>
      <c r="B12513" s="1" t="n">
        <v>45358</v>
      </c>
      <c r="C12513" s="1" t="n">
        <v>45657</v>
      </c>
      <c r="D12513" t="inlineStr">
        <is>
          <t>VÄSTERNORRLANDS LÄN</t>
        </is>
      </c>
      <c r="E12513" t="inlineStr">
        <is>
          <t>SOLLEFTEÅ</t>
        </is>
      </c>
      <c r="F12513" t="inlineStr">
        <is>
          <t>SCA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9117-2024</t>
        </is>
      </c>
      <c r="B12514" s="1" t="n">
        <v>45358</v>
      </c>
      <c r="C12514" s="1" t="n">
        <v>45657</v>
      </c>
      <c r="D12514" t="inlineStr">
        <is>
          <t>VÄSTERNORRLANDS LÄN</t>
        </is>
      </c>
      <c r="E12514" t="inlineStr">
        <is>
          <t>ÅNGE</t>
        </is>
      </c>
      <c r="F12514" t="inlineStr">
        <is>
          <t>SCA</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9121-2024</t>
        </is>
      </c>
      <c r="B12515" s="1" t="n">
        <v>45358</v>
      </c>
      <c r="C12515" s="1" t="n">
        <v>45657</v>
      </c>
      <c r="D12515" t="inlineStr">
        <is>
          <t>VÄSTERNORRLANDS LÄN</t>
        </is>
      </c>
      <c r="E12515" t="inlineStr">
        <is>
          <t>SOLLEFTEÅ</t>
        </is>
      </c>
      <c r="F12515" t="inlineStr">
        <is>
          <t>SCA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9155-2024</t>
        </is>
      </c>
      <c r="B12516" s="1" t="n">
        <v>45358</v>
      </c>
      <c r="C12516" s="1" t="n">
        <v>45657</v>
      </c>
      <c r="D12516" t="inlineStr">
        <is>
          <t>VÄSTERNORRLANDS LÄN</t>
        </is>
      </c>
      <c r="E12516" t="inlineStr">
        <is>
          <t>HÄRNÖSAND</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9161-2024</t>
        </is>
      </c>
      <c r="B12517" s="1" t="n">
        <v>45358</v>
      </c>
      <c r="C12517" s="1" t="n">
        <v>45657</v>
      </c>
      <c r="D12517" t="inlineStr">
        <is>
          <t>VÄSTERNORRLANDS LÄN</t>
        </is>
      </c>
      <c r="E12517" t="inlineStr">
        <is>
          <t>HÄRNÖSAND</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9165-2024</t>
        </is>
      </c>
      <c r="B12518" s="1" t="n">
        <v>45358</v>
      </c>
      <c r="C12518" s="1" t="n">
        <v>45657</v>
      </c>
      <c r="D12518" t="inlineStr">
        <is>
          <t>VÄSTERNORRLANDS LÄN</t>
        </is>
      </c>
      <c r="E12518" t="inlineStr">
        <is>
          <t>HÄRNÖSAND</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9122-2024</t>
        </is>
      </c>
      <c r="B12519" s="1" t="n">
        <v>45358</v>
      </c>
      <c r="C12519" s="1" t="n">
        <v>45657</v>
      </c>
      <c r="D12519" t="inlineStr">
        <is>
          <t>VÄSTERNORRLANDS LÄN</t>
        </is>
      </c>
      <c r="E12519" t="inlineStr">
        <is>
          <t>SOLLEFTEÅ</t>
        </is>
      </c>
      <c r="F12519" t="inlineStr">
        <is>
          <t>SCA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9212-2024</t>
        </is>
      </c>
      <c r="B12520" s="1" t="n">
        <v>45358</v>
      </c>
      <c r="C12520" s="1" t="n">
        <v>45657</v>
      </c>
      <c r="D12520" t="inlineStr">
        <is>
          <t>VÄSTERNORRLANDS LÄN</t>
        </is>
      </c>
      <c r="E12520" t="inlineStr">
        <is>
          <t>HÄRNÖSAND</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9270-2024</t>
        </is>
      </c>
      <c r="B12521" s="1" t="n">
        <v>45358</v>
      </c>
      <c r="C12521" s="1" t="n">
        <v>45657</v>
      </c>
      <c r="D12521" t="inlineStr">
        <is>
          <t>VÄSTERNORRLANDS LÄN</t>
        </is>
      </c>
      <c r="E12521" t="inlineStr">
        <is>
          <t>ÖRNSKÖLDSVIK</t>
        </is>
      </c>
      <c r="F12521" t="inlineStr">
        <is>
          <t>Holmen skog AB</t>
        </is>
      </c>
      <c r="G12521" t="n">
        <v>12.1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9306-2024</t>
        </is>
      </c>
      <c r="B12522" s="1" t="n">
        <v>45358</v>
      </c>
      <c r="C12522" s="1" t="n">
        <v>45657</v>
      </c>
      <c r="D12522" t="inlineStr">
        <is>
          <t>VÄSTERNORRLANDS LÄN</t>
        </is>
      </c>
      <c r="E12522" t="inlineStr">
        <is>
          <t>SOLLEFTEÅ</t>
        </is>
      </c>
      <c r="G12522" t="n">
        <v>19.6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9310-2024</t>
        </is>
      </c>
      <c r="B12523" s="1" t="n">
        <v>45358</v>
      </c>
      <c r="C12523" s="1" t="n">
        <v>45657</v>
      </c>
      <c r="D12523" t="inlineStr">
        <is>
          <t>VÄSTERNORRLANDS LÄN</t>
        </is>
      </c>
      <c r="E12523" t="inlineStr">
        <is>
          <t>SUNDSVALL</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9327-2024</t>
        </is>
      </c>
      <c r="B12524" s="1" t="n">
        <v>45359</v>
      </c>
      <c r="C12524" s="1" t="n">
        <v>45657</v>
      </c>
      <c r="D12524" t="inlineStr">
        <is>
          <t>VÄSTERNORRLANDS LÄN</t>
        </is>
      </c>
      <c r="E12524" t="inlineStr">
        <is>
          <t>TIMRÅ</t>
        </is>
      </c>
      <c r="F12524" t="inlineStr">
        <is>
          <t>SCA</t>
        </is>
      </c>
      <c r="G12524" t="n">
        <v>8.300000000000001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9331-2024</t>
        </is>
      </c>
      <c r="B12525" s="1" t="n">
        <v>45359</v>
      </c>
      <c r="C12525" s="1" t="n">
        <v>45657</v>
      </c>
      <c r="D12525" t="inlineStr">
        <is>
          <t>VÄSTERNORRLANDS LÄN</t>
        </is>
      </c>
      <c r="E12525" t="inlineStr">
        <is>
          <t>TIMRÅ</t>
        </is>
      </c>
      <c r="F12525" t="inlineStr">
        <is>
          <t>SCA</t>
        </is>
      </c>
      <c r="G12525" t="n">
        <v>9.6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9335-2024</t>
        </is>
      </c>
      <c r="B12526" s="1" t="n">
        <v>45359</v>
      </c>
      <c r="C12526" s="1" t="n">
        <v>45657</v>
      </c>
      <c r="D12526" t="inlineStr">
        <is>
          <t>VÄSTERNORRLANDS LÄN</t>
        </is>
      </c>
      <c r="E12526" t="inlineStr">
        <is>
          <t>SUNDSVALL</t>
        </is>
      </c>
      <c r="F12526" t="inlineStr">
        <is>
          <t>SCA</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9334-2024</t>
        </is>
      </c>
      <c r="B12527" s="1" t="n">
        <v>45358</v>
      </c>
      <c r="C12527" s="1" t="n">
        <v>45657</v>
      </c>
      <c r="D12527" t="inlineStr">
        <is>
          <t>VÄSTERNORRLANDS LÄN</t>
        </is>
      </c>
      <c r="E12527" t="inlineStr">
        <is>
          <t>SUNDSVALL</t>
        </is>
      </c>
      <c r="F12527" t="inlineStr">
        <is>
          <t>SCA</t>
        </is>
      </c>
      <c r="G12527" t="n">
        <v>23.5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9338-2024</t>
        </is>
      </c>
      <c r="B12528" s="1" t="n">
        <v>45358</v>
      </c>
      <c r="C12528" s="1" t="n">
        <v>45657</v>
      </c>
      <c r="D12528" t="inlineStr">
        <is>
          <t>VÄSTERNORRLANDS LÄN</t>
        </is>
      </c>
      <c r="E12528" t="inlineStr">
        <is>
          <t>TIMRÅ</t>
        </is>
      </c>
      <c r="F12528" t="inlineStr">
        <is>
          <t>SCA</t>
        </is>
      </c>
      <c r="G12528" t="n">
        <v>10.3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9342-2024</t>
        </is>
      </c>
      <c r="B12529" s="1" t="n">
        <v>45359</v>
      </c>
      <c r="C12529" s="1" t="n">
        <v>45657</v>
      </c>
      <c r="D12529" t="inlineStr">
        <is>
          <t>VÄSTERNORRLANDS LÄN</t>
        </is>
      </c>
      <c r="E12529" t="inlineStr">
        <is>
          <t>SOLLEFTEÅ</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9346-2024</t>
        </is>
      </c>
      <c r="B12530" s="1" t="n">
        <v>45359</v>
      </c>
      <c r="C12530" s="1" t="n">
        <v>45657</v>
      </c>
      <c r="D12530" t="inlineStr">
        <is>
          <t>VÄSTERNORRLANDS LÄN</t>
        </is>
      </c>
      <c r="E12530" t="inlineStr">
        <is>
          <t>SOLLEFTEÅ</t>
        </is>
      </c>
      <c r="F12530" t="inlineStr">
        <is>
          <t>SCA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9296-2024</t>
        </is>
      </c>
      <c r="B12531" s="1" t="n">
        <v>45358</v>
      </c>
      <c r="C12531" s="1" t="n">
        <v>45657</v>
      </c>
      <c r="D12531" t="inlineStr">
        <is>
          <t>VÄSTERNORRLANDS LÄN</t>
        </is>
      </c>
      <c r="E12531" t="inlineStr">
        <is>
          <t>ÖRNSKÖLDSVIK</t>
        </is>
      </c>
      <c r="F12531" t="inlineStr">
        <is>
          <t>Holmen skog AB</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9304-2024</t>
        </is>
      </c>
      <c r="B12532" s="1" t="n">
        <v>45358</v>
      </c>
      <c r="C12532" s="1" t="n">
        <v>45657</v>
      </c>
      <c r="D12532" t="inlineStr">
        <is>
          <t>VÄSTERNORRLANDS LÄN</t>
        </is>
      </c>
      <c r="E12532" t="inlineStr">
        <is>
          <t>SOLLEFTEÅ</t>
        </is>
      </c>
      <c r="G12532" t="n">
        <v>30.7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9328-2024</t>
        </is>
      </c>
      <c r="B12533" s="1" t="n">
        <v>45359</v>
      </c>
      <c r="C12533" s="1" t="n">
        <v>45657</v>
      </c>
      <c r="D12533" t="inlineStr">
        <is>
          <t>VÄSTERNORRLANDS LÄN</t>
        </is>
      </c>
      <c r="E12533" t="inlineStr">
        <is>
          <t>SOLLEFTEÅ</t>
        </is>
      </c>
      <c r="F12533" t="inlineStr">
        <is>
          <t>SCA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9115-2024</t>
        </is>
      </c>
      <c r="B12534" s="1" t="n">
        <v>45358</v>
      </c>
      <c r="C12534" s="1" t="n">
        <v>45657</v>
      </c>
      <c r="D12534" t="inlineStr">
        <is>
          <t>VÄSTERNORRLANDS LÄN</t>
        </is>
      </c>
      <c r="E12534" t="inlineStr">
        <is>
          <t>ÅNGE</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9179-2024</t>
        </is>
      </c>
      <c r="B12535" s="1" t="n">
        <v>45358</v>
      </c>
      <c r="C12535" s="1" t="n">
        <v>45657</v>
      </c>
      <c r="D12535" t="inlineStr">
        <is>
          <t>VÄSTERNORRLANDS LÄN</t>
        </is>
      </c>
      <c r="E12535" t="inlineStr">
        <is>
          <t>ÖRNSKÖLDSVIK</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9217-2024</t>
        </is>
      </c>
      <c r="B12536" s="1" t="n">
        <v>45358</v>
      </c>
      <c r="C12536" s="1" t="n">
        <v>45657</v>
      </c>
      <c r="D12536" t="inlineStr">
        <is>
          <t>VÄSTERNORRLANDS LÄN</t>
        </is>
      </c>
      <c r="E12536" t="inlineStr">
        <is>
          <t>HÄRNÖSAND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9285-2024</t>
        </is>
      </c>
      <c r="B12537" s="1" t="n">
        <v>45358</v>
      </c>
      <c r="C12537" s="1" t="n">
        <v>45657</v>
      </c>
      <c r="D12537" t="inlineStr">
        <is>
          <t>VÄSTERNORRLANDS LÄN</t>
        </is>
      </c>
      <c r="E12537" t="inlineStr">
        <is>
          <t>ÖRNSKÖLDSVIK</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9309-2024</t>
        </is>
      </c>
      <c r="B12538" s="1" t="n">
        <v>45358</v>
      </c>
      <c r="C12538" s="1" t="n">
        <v>45657</v>
      </c>
      <c r="D12538" t="inlineStr">
        <is>
          <t>VÄSTERNORRLANDS LÄN</t>
        </is>
      </c>
      <c r="E12538" t="inlineStr">
        <is>
          <t>SOLLEFTEÅ</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9333-2024</t>
        </is>
      </c>
      <c r="B12539" s="1" t="n">
        <v>45359</v>
      </c>
      <c r="C12539" s="1" t="n">
        <v>45657</v>
      </c>
      <c r="D12539" t="inlineStr">
        <is>
          <t>VÄSTERNORRLANDS LÄN</t>
        </is>
      </c>
      <c r="E12539" t="inlineStr">
        <is>
          <t>SUNDSVALL</t>
        </is>
      </c>
      <c r="F12539" t="inlineStr">
        <is>
          <t>SCA</t>
        </is>
      </c>
      <c r="G12539" t="n">
        <v>19.6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9339-2024</t>
        </is>
      </c>
      <c r="B12540" s="1" t="n">
        <v>45358</v>
      </c>
      <c r="C12540" s="1" t="n">
        <v>45657</v>
      </c>
      <c r="D12540" t="inlineStr">
        <is>
          <t>VÄSTERNORRLANDS LÄN</t>
        </is>
      </c>
      <c r="E12540" t="inlineStr">
        <is>
          <t>SOLLEFTEÅ</t>
        </is>
      </c>
      <c r="F12540" t="inlineStr">
        <is>
          <t>SCA</t>
        </is>
      </c>
      <c r="G12540" t="n">
        <v>13.2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9337-2024</t>
        </is>
      </c>
      <c r="B12541" s="1" t="n">
        <v>45358</v>
      </c>
      <c r="C12541" s="1" t="n">
        <v>45657</v>
      </c>
      <c r="D12541" t="inlineStr">
        <is>
          <t>VÄSTERNORRLANDS LÄN</t>
        </is>
      </c>
      <c r="E12541" t="inlineStr">
        <is>
          <t>SUNDSVALL</t>
        </is>
      </c>
      <c r="F12541" t="inlineStr">
        <is>
          <t>SCA</t>
        </is>
      </c>
      <c r="G12541" t="n">
        <v>12.5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9341-2024</t>
        </is>
      </c>
      <c r="B12542" s="1" t="n">
        <v>45358</v>
      </c>
      <c r="C12542" s="1" t="n">
        <v>45657</v>
      </c>
      <c r="D12542" t="inlineStr">
        <is>
          <t>VÄSTERNORRLANDS LÄN</t>
        </is>
      </c>
      <c r="E12542" t="inlineStr">
        <is>
          <t>SOLLEFTEÅ</t>
        </is>
      </c>
      <c r="F12542" t="inlineStr">
        <is>
          <t>SCA</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9345-2024</t>
        </is>
      </c>
      <c r="B12543" s="1" t="n">
        <v>45359</v>
      </c>
      <c r="C12543" s="1" t="n">
        <v>45657</v>
      </c>
      <c r="D12543" t="inlineStr">
        <is>
          <t>VÄSTERNORRLANDS LÄN</t>
        </is>
      </c>
      <c r="E12543" t="inlineStr">
        <is>
          <t>ÅNGE</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9336-2024</t>
        </is>
      </c>
      <c r="B12544" s="1" t="n">
        <v>45358</v>
      </c>
      <c r="C12544" s="1" t="n">
        <v>45657</v>
      </c>
      <c r="D12544" t="inlineStr">
        <is>
          <t>VÄSTERNORRLANDS LÄN</t>
        </is>
      </c>
      <c r="E12544" t="inlineStr">
        <is>
          <t>SUNDSVALL</t>
        </is>
      </c>
      <c r="F12544" t="inlineStr">
        <is>
          <t>SCA</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9340-2024</t>
        </is>
      </c>
      <c r="B12545" s="1" t="n">
        <v>45359</v>
      </c>
      <c r="C12545" s="1" t="n">
        <v>45657</v>
      </c>
      <c r="D12545" t="inlineStr">
        <is>
          <t>VÄSTERNORRLANDS LÄN</t>
        </is>
      </c>
      <c r="E12545" t="inlineStr">
        <is>
          <t>SOLLEFTEÅ</t>
        </is>
      </c>
      <c r="F12545" t="inlineStr">
        <is>
          <t>SCA</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9344-2024</t>
        </is>
      </c>
      <c r="B12546" s="1" t="n">
        <v>45359</v>
      </c>
      <c r="C12546" s="1" t="n">
        <v>45657</v>
      </c>
      <c r="D12546" t="inlineStr">
        <is>
          <t>VÄSTERNORRLANDS LÄN</t>
        </is>
      </c>
      <c r="E12546" t="inlineStr">
        <is>
          <t>ÅNGE</t>
        </is>
      </c>
      <c r="F12546" t="inlineStr">
        <is>
          <t>SCA</t>
        </is>
      </c>
      <c r="G12546" t="n">
        <v>12.6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9389-2024</t>
        </is>
      </c>
      <c r="B12547" s="1" t="n">
        <v>45359</v>
      </c>
      <c r="C12547" s="1" t="n">
        <v>45657</v>
      </c>
      <c r="D12547" t="inlineStr">
        <is>
          <t>VÄSTERNORRLANDS LÄN</t>
        </is>
      </c>
      <c r="E12547" t="inlineStr">
        <is>
          <t>ÖRNSKÖLDSVIK</t>
        </is>
      </c>
      <c r="F12547" t="inlineStr">
        <is>
          <t>Holmen skog AB</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9432-2024</t>
        </is>
      </c>
      <c r="B12548" s="1" t="n">
        <v>45359</v>
      </c>
      <c r="C12548" s="1" t="n">
        <v>45657</v>
      </c>
      <c r="D12548" t="inlineStr">
        <is>
          <t>VÄSTERNORRLANDS LÄN</t>
        </is>
      </c>
      <c r="E12548" t="inlineStr">
        <is>
          <t>ÖRNSKÖLDSVIK</t>
        </is>
      </c>
      <c r="F12548" t="inlineStr">
        <is>
          <t>Holmen skog AB</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9530-2024</t>
        </is>
      </c>
      <c r="B12549" s="1" t="n">
        <v>45359</v>
      </c>
      <c r="C12549" s="1" t="n">
        <v>45657</v>
      </c>
      <c r="D12549" t="inlineStr">
        <is>
          <t>VÄSTERNORRLANDS LÄN</t>
        </is>
      </c>
      <c r="E12549" t="inlineStr">
        <is>
          <t>ÖRNSKÖLDSVIK</t>
        </is>
      </c>
      <c r="F12549" t="inlineStr">
        <is>
          <t>Holmen skog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9475-2024</t>
        </is>
      </c>
      <c r="B12550" s="1" t="n">
        <v>45359</v>
      </c>
      <c r="C12550" s="1" t="n">
        <v>45657</v>
      </c>
      <c r="D12550" t="inlineStr">
        <is>
          <t>VÄSTERNORRLANDS LÄN</t>
        </is>
      </c>
      <c r="E12550" t="inlineStr">
        <is>
          <t>ÅNGE</t>
        </is>
      </c>
      <c r="G12550" t="n">
        <v>10.5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9512-2024</t>
        </is>
      </c>
      <c r="B12551" s="1" t="n">
        <v>45359</v>
      </c>
      <c r="C12551" s="1" t="n">
        <v>45657</v>
      </c>
      <c r="D12551" t="inlineStr">
        <is>
          <t>VÄSTERNORRLANDS LÄN</t>
        </is>
      </c>
      <c r="E12551" t="inlineStr">
        <is>
          <t>ÖRNSKÖLDSVIK</t>
        </is>
      </c>
      <c r="F12551" t="inlineStr">
        <is>
          <t>Holmen skog AB</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9529-2024</t>
        </is>
      </c>
      <c r="B12552" s="1" t="n">
        <v>45359</v>
      </c>
      <c r="C12552" s="1" t="n">
        <v>45657</v>
      </c>
      <c r="D12552" t="inlineStr">
        <is>
          <t>VÄSTERNORRLANDS LÄN</t>
        </is>
      </c>
      <c r="E12552" t="inlineStr">
        <is>
          <t>ÖRNSKÖLDSVIK</t>
        </is>
      </c>
      <c r="F12552" t="inlineStr">
        <is>
          <t>Holmen skog AB</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9435-2024</t>
        </is>
      </c>
      <c r="B12553" s="1" t="n">
        <v>45359</v>
      </c>
      <c r="C12553" s="1" t="n">
        <v>45657</v>
      </c>
      <c r="D12553" t="inlineStr">
        <is>
          <t>VÄSTERNORRLANDS LÄN</t>
        </is>
      </c>
      <c r="E12553" t="inlineStr">
        <is>
          <t>SUNDSVALL</t>
        </is>
      </c>
      <c r="F12553" t="inlineStr">
        <is>
          <t>Holmen skog AB</t>
        </is>
      </c>
      <c r="G12553" t="n">
        <v>24.7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9567-2024</t>
        </is>
      </c>
      <c r="B12554" s="1" t="n">
        <v>45360</v>
      </c>
      <c r="C12554" s="1" t="n">
        <v>45657</v>
      </c>
      <c r="D12554" t="inlineStr">
        <is>
          <t>VÄSTERNORRLANDS LÄN</t>
        </is>
      </c>
      <c r="E12554" t="inlineStr">
        <is>
          <t>ÅNGE</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9555-2024</t>
        </is>
      </c>
      <c r="B12555" s="1" t="n">
        <v>45360</v>
      </c>
      <c r="C12555" s="1" t="n">
        <v>45657</v>
      </c>
      <c r="D12555" t="inlineStr">
        <is>
          <t>VÄSTERNORRLANDS LÄN</t>
        </is>
      </c>
      <c r="E12555" t="inlineStr">
        <is>
          <t>SOLLEFTEÅ</t>
        </is>
      </c>
      <c r="F12555" t="inlineStr">
        <is>
          <t>SCA</t>
        </is>
      </c>
      <c r="G12555" t="n">
        <v>11.2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9568-2024</t>
        </is>
      </c>
      <c r="B12556" s="1" t="n">
        <v>45360</v>
      </c>
      <c r="C12556" s="1" t="n">
        <v>45657</v>
      </c>
      <c r="D12556" t="inlineStr">
        <is>
          <t>VÄSTERNORRLANDS LÄN</t>
        </is>
      </c>
      <c r="E12556" t="inlineStr">
        <is>
          <t>ÅNGE</t>
        </is>
      </c>
      <c r="F12556" t="inlineStr">
        <is>
          <t>SCA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9564-2024</t>
        </is>
      </c>
      <c r="B12557" s="1" t="n">
        <v>45360</v>
      </c>
      <c r="C12557" s="1" t="n">
        <v>45657</v>
      </c>
      <c r="D12557" t="inlineStr">
        <is>
          <t>VÄSTERNORRLANDS LÄN</t>
        </is>
      </c>
      <c r="E12557" t="inlineStr">
        <is>
          <t>SUNDSVALL</t>
        </is>
      </c>
      <c r="F12557" t="inlineStr">
        <is>
          <t>SCA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9556-2024</t>
        </is>
      </c>
      <c r="B12558" s="1" t="n">
        <v>45360</v>
      </c>
      <c r="C12558" s="1" t="n">
        <v>45657</v>
      </c>
      <c r="D12558" t="inlineStr">
        <is>
          <t>VÄSTERNORRLANDS LÄN</t>
        </is>
      </c>
      <c r="E12558" t="inlineStr">
        <is>
          <t>ÖRNSKÖLDSVIK</t>
        </is>
      </c>
      <c r="F12558" t="inlineStr">
        <is>
          <t>SCA</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9561-2024</t>
        </is>
      </c>
      <c r="B12559" s="1" t="n">
        <v>45360</v>
      </c>
      <c r="C12559" s="1" t="n">
        <v>45657</v>
      </c>
      <c r="D12559" t="inlineStr">
        <is>
          <t>VÄSTERNORRLANDS LÄN</t>
        </is>
      </c>
      <c r="E12559" t="inlineStr">
        <is>
          <t>SUNDSVALL</t>
        </is>
      </c>
      <c r="F12559" t="inlineStr">
        <is>
          <t>SCA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9557-2024</t>
        </is>
      </c>
      <c r="B12560" s="1" t="n">
        <v>45360</v>
      </c>
      <c r="C12560" s="1" t="n">
        <v>45657</v>
      </c>
      <c r="D12560" t="inlineStr">
        <is>
          <t>VÄSTERNORRLANDS LÄN</t>
        </is>
      </c>
      <c r="E12560" t="inlineStr">
        <is>
          <t>SOLLEFTEÅ</t>
        </is>
      </c>
      <c r="F12560" t="inlineStr">
        <is>
          <t>SCA</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9558-2024</t>
        </is>
      </c>
      <c r="B12561" s="1" t="n">
        <v>45360</v>
      </c>
      <c r="C12561" s="1" t="n">
        <v>45657</v>
      </c>
      <c r="D12561" t="inlineStr">
        <is>
          <t>VÄSTERNORRLANDS LÄN</t>
        </is>
      </c>
      <c r="E12561" t="inlineStr">
        <is>
          <t>SOLLEFTEÅ</t>
        </is>
      </c>
      <c r="F12561" t="inlineStr">
        <is>
          <t>SCA</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9562-2024</t>
        </is>
      </c>
      <c r="B12562" s="1" t="n">
        <v>45360</v>
      </c>
      <c r="C12562" s="1" t="n">
        <v>45657</v>
      </c>
      <c r="D12562" t="inlineStr">
        <is>
          <t>VÄSTERNORRLANDS LÄN</t>
        </is>
      </c>
      <c r="E12562" t="inlineStr">
        <is>
          <t>SUNDSVALL</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9566-2024</t>
        </is>
      </c>
      <c r="B12563" s="1" t="n">
        <v>45360</v>
      </c>
      <c r="C12563" s="1" t="n">
        <v>45657</v>
      </c>
      <c r="D12563" t="inlineStr">
        <is>
          <t>VÄSTERNORRLANDS LÄN</t>
        </is>
      </c>
      <c r="E12563" t="inlineStr">
        <is>
          <t>ÅNGE</t>
        </is>
      </c>
      <c r="F12563" t="inlineStr">
        <is>
          <t>SCA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9721-2024</t>
        </is>
      </c>
      <c r="B12564" s="1" t="n">
        <v>45362</v>
      </c>
      <c r="C12564" s="1" t="n">
        <v>45657</v>
      </c>
      <c r="D12564" t="inlineStr">
        <is>
          <t>VÄSTERNORRLANDS LÄN</t>
        </is>
      </c>
      <c r="E12564" t="inlineStr">
        <is>
          <t>ÖRNSKÖLDSVIK</t>
        </is>
      </c>
      <c r="F12564" t="inlineStr">
        <is>
          <t>Holmen skog AB</t>
        </is>
      </c>
      <c r="G12564" t="n">
        <v>33.8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9725-2024</t>
        </is>
      </c>
      <c r="B12565" s="1" t="n">
        <v>45362</v>
      </c>
      <c r="C12565" s="1" t="n">
        <v>45657</v>
      </c>
      <c r="D12565" t="inlineStr">
        <is>
          <t>VÄSTERNORRLANDS LÄN</t>
        </is>
      </c>
      <c r="E12565" t="inlineStr">
        <is>
          <t>KRAMFORS</t>
        </is>
      </c>
      <c r="G12565" t="n">
        <v>15.7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9772-2024</t>
        </is>
      </c>
      <c r="B12566" s="1" t="n">
        <v>45362</v>
      </c>
      <c r="C12566" s="1" t="n">
        <v>45657</v>
      </c>
      <c r="D12566" t="inlineStr">
        <is>
          <t>VÄSTERNORRLANDS LÄN</t>
        </is>
      </c>
      <c r="E12566" t="inlineStr">
        <is>
          <t>ÖRNSKÖLDSVIK</t>
        </is>
      </c>
      <c r="F12566" t="inlineStr">
        <is>
          <t>Holmen skog AB</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9669-2024</t>
        </is>
      </c>
      <c r="B12567" s="1" t="n">
        <v>45362</v>
      </c>
      <c r="C12567" s="1" t="n">
        <v>45657</v>
      </c>
      <c r="D12567" t="inlineStr">
        <is>
          <t>VÄSTERNORRLANDS LÄN</t>
        </is>
      </c>
      <c r="E12567" t="inlineStr">
        <is>
          <t>ÖRNSKÖLDSVIK</t>
        </is>
      </c>
      <c r="F12567" t="inlineStr">
        <is>
          <t>Holmen skog AB</t>
        </is>
      </c>
      <c r="G12567" t="n">
        <v>10.3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9689-2024</t>
        </is>
      </c>
      <c r="B12568" s="1" t="n">
        <v>45362</v>
      </c>
      <c r="C12568" s="1" t="n">
        <v>45657</v>
      </c>
      <c r="D12568" t="inlineStr">
        <is>
          <t>VÄSTERNORRLANDS LÄN</t>
        </is>
      </c>
      <c r="E12568" t="inlineStr">
        <is>
          <t>SOLLEFTEÅ</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9759-2024</t>
        </is>
      </c>
      <c r="B12569" s="1" t="n">
        <v>45362</v>
      </c>
      <c r="C12569" s="1" t="n">
        <v>45657</v>
      </c>
      <c r="D12569" t="inlineStr">
        <is>
          <t>VÄSTERNORRLANDS LÄN</t>
        </is>
      </c>
      <c r="E12569" t="inlineStr">
        <is>
          <t>ÅNGE</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9663-2024</t>
        </is>
      </c>
      <c r="B12570" s="1" t="n">
        <v>45362</v>
      </c>
      <c r="C12570" s="1" t="n">
        <v>45657</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9737-2024</t>
        </is>
      </c>
      <c r="B12571" s="1" t="n">
        <v>45362</v>
      </c>
      <c r="C12571" s="1" t="n">
        <v>45657</v>
      </c>
      <c r="D12571" t="inlineStr">
        <is>
          <t>VÄSTERNORRLANDS LÄN</t>
        </is>
      </c>
      <c r="E12571" t="inlineStr">
        <is>
          <t>ÖRNSKÖLDSVIK</t>
        </is>
      </c>
      <c r="F12571" t="inlineStr">
        <is>
          <t>Holmen skog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9795-2024</t>
        </is>
      </c>
      <c r="B12572" s="1" t="n">
        <v>45362</v>
      </c>
      <c r="C12572" s="1" t="n">
        <v>45657</v>
      </c>
      <c r="D12572" t="inlineStr">
        <is>
          <t>VÄSTERNORRLANDS LÄN</t>
        </is>
      </c>
      <c r="E12572" t="inlineStr">
        <is>
          <t>SUNDSVALL</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9820-2024</t>
        </is>
      </c>
      <c r="B12573" s="1" t="n">
        <v>45363</v>
      </c>
      <c r="C12573" s="1" t="n">
        <v>45657</v>
      </c>
      <c r="D12573" t="inlineStr">
        <is>
          <t>VÄSTERNORRLANDS LÄN</t>
        </is>
      </c>
      <c r="E12573" t="inlineStr">
        <is>
          <t>SOLLEFTEÅ</t>
        </is>
      </c>
      <c r="F12573" t="inlineStr">
        <is>
          <t>Kyrkan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9828-2024</t>
        </is>
      </c>
      <c r="B12574" s="1" t="n">
        <v>45363</v>
      </c>
      <c r="C12574" s="1" t="n">
        <v>45657</v>
      </c>
      <c r="D12574" t="inlineStr">
        <is>
          <t>VÄSTERNORRLANDS LÄN</t>
        </is>
      </c>
      <c r="E12574" t="inlineStr">
        <is>
          <t>SOLLEFTEÅ</t>
        </is>
      </c>
      <c r="F12574" t="inlineStr">
        <is>
          <t>SCA</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9822-2024</t>
        </is>
      </c>
      <c r="B12575" s="1" t="n">
        <v>45363</v>
      </c>
      <c r="C12575" s="1" t="n">
        <v>45657</v>
      </c>
      <c r="D12575" t="inlineStr">
        <is>
          <t>VÄSTERNORRLANDS LÄN</t>
        </is>
      </c>
      <c r="E12575" t="inlineStr">
        <is>
          <t>SOLLEFTEÅ</t>
        </is>
      </c>
      <c r="F12575" t="inlineStr">
        <is>
          <t>SCA</t>
        </is>
      </c>
      <c r="G12575" t="n">
        <v>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9830-2024</t>
        </is>
      </c>
      <c r="B12576" s="1" t="n">
        <v>45363</v>
      </c>
      <c r="C12576" s="1" t="n">
        <v>45657</v>
      </c>
      <c r="D12576" t="inlineStr">
        <is>
          <t>VÄSTERNORRLANDS LÄN</t>
        </is>
      </c>
      <c r="E12576" t="inlineStr">
        <is>
          <t>KRAMFORS</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9817-2024</t>
        </is>
      </c>
      <c r="B12577" s="1" t="n">
        <v>45363</v>
      </c>
      <c r="C12577" s="1" t="n">
        <v>45657</v>
      </c>
      <c r="D12577" t="inlineStr">
        <is>
          <t>VÄSTERNORRLANDS LÄN</t>
        </is>
      </c>
      <c r="E12577" t="inlineStr">
        <is>
          <t>ÖRNSKÖLDSVIK</t>
        </is>
      </c>
      <c r="F12577" t="inlineStr">
        <is>
          <t>SCA</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9825-2024</t>
        </is>
      </c>
      <c r="B12578" s="1" t="n">
        <v>45363</v>
      </c>
      <c r="C12578" s="1" t="n">
        <v>45657</v>
      </c>
      <c r="D12578" t="inlineStr">
        <is>
          <t>VÄSTERNORRLANDS LÄN</t>
        </is>
      </c>
      <c r="E12578" t="inlineStr">
        <is>
          <t>HÄRNÖSAND</t>
        </is>
      </c>
      <c r="F12578" t="inlineStr">
        <is>
          <t>SCA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9829-2024</t>
        </is>
      </c>
      <c r="B12579" s="1" t="n">
        <v>45363</v>
      </c>
      <c r="C12579" s="1" t="n">
        <v>45657</v>
      </c>
      <c r="D12579" t="inlineStr">
        <is>
          <t>VÄSTERNORRLANDS LÄN</t>
        </is>
      </c>
      <c r="E12579" t="inlineStr">
        <is>
          <t>KRAMFORS</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9823-2024</t>
        </is>
      </c>
      <c r="B12580" s="1" t="n">
        <v>45363</v>
      </c>
      <c r="C12580" s="1" t="n">
        <v>45657</v>
      </c>
      <c r="D12580" t="inlineStr">
        <is>
          <t>VÄSTERNORRLANDS LÄN</t>
        </is>
      </c>
      <c r="E12580" t="inlineStr">
        <is>
          <t>TIMRÅ</t>
        </is>
      </c>
      <c r="F12580" t="inlineStr">
        <is>
          <t>SCA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9831-2024</t>
        </is>
      </c>
      <c r="B12581" s="1" t="n">
        <v>45363</v>
      </c>
      <c r="C12581" s="1" t="n">
        <v>45657</v>
      </c>
      <c r="D12581" t="inlineStr">
        <is>
          <t>VÄSTERNORRLANDS LÄN</t>
        </is>
      </c>
      <c r="E12581" t="inlineStr">
        <is>
          <t>SOLLEFTEÅ</t>
        </is>
      </c>
      <c r="F12581" t="inlineStr">
        <is>
          <t>SCA</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9896-2024</t>
        </is>
      </c>
      <c r="B12582" s="1" t="n">
        <v>45363</v>
      </c>
      <c r="C12582" s="1" t="n">
        <v>45657</v>
      </c>
      <c r="D12582" t="inlineStr">
        <is>
          <t>VÄSTERNORRLANDS LÄN</t>
        </is>
      </c>
      <c r="E12582" t="inlineStr">
        <is>
          <t>ÖRNSKÖLDSVIK</t>
        </is>
      </c>
      <c r="F12582" t="inlineStr">
        <is>
          <t>Holmen skog AB</t>
        </is>
      </c>
      <c r="G12582" t="n">
        <v>14.9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9957-2024</t>
        </is>
      </c>
      <c r="B12583" s="1" t="n">
        <v>45363</v>
      </c>
      <c r="C12583" s="1" t="n">
        <v>45657</v>
      </c>
      <c r="D12583" t="inlineStr">
        <is>
          <t>VÄSTERNORRLANDS LÄN</t>
        </is>
      </c>
      <c r="E12583" t="inlineStr">
        <is>
          <t>ÖRNSKÖLDSVIK</t>
        </is>
      </c>
      <c r="F12583" t="inlineStr">
        <is>
          <t>Holmen skog AB</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9967-2024</t>
        </is>
      </c>
      <c r="B12584" s="1" t="n">
        <v>45363</v>
      </c>
      <c r="C12584" s="1" t="n">
        <v>45657</v>
      </c>
      <c r="D12584" t="inlineStr">
        <is>
          <t>VÄSTERNORRLANDS LÄN</t>
        </is>
      </c>
      <c r="E12584" t="inlineStr">
        <is>
          <t>ÖRNSKÖLDSVIK</t>
        </is>
      </c>
      <c r="F12584" t="inlineStr">
        <is>
          <t>Holmen skog AB</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9971-2024</t>
        </is>
      </c>
      <c r="B12585" s="1" t="n">
        <v>45363</v>
      </c>
      <c r="C12585" s="1" t="n">
        <v>45657</v>
      </c>
      <c r="D12585" t="inlineStr">
        <is>
          <t>VÄSTERNORRLANDS LÄN</t>
        </is>
      </c>
      <c r="E12585" t="inlineStr">
        <is>
          <t>ÖRNSKÖLDSVIK</t>
        </is>
      </c>
      <c r="F12585" t="inlineStr">
        <is>
          <t>Holmen skog AB</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10023-2024</t>
        </is>
      </c>
      <c r="B12586" s="1" t="n">
        <v>45364</v>
      </c>
      <c r="C12586" s="1" t="n">
        <v>45657</v>
      </c>
      <c r="D12586" t="inlineStr">
        <is>
          <t>VÄSTERNORRLANDS LÄN</t>
        </is>
      </c>
      <c r="E12586" t="inlineStr">
        <is>
          <t>ÅNGE</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10035-2024</t>
        </is>
      </c>
      <c r="B12587" s="1" t="n">
        <v>45364</v>
      </c>
      <c r="C12587" s="1" t="n">
        <v>45657</v>
      </c>
      <c r="D12587" t="inlineStr">
        <is>
          <t>VÄSTERNORRLANDS LÄN</t>
        </is>
      </c>
      <c r="E12587" t="inlineStr">
        <is>
          <t>KRAMFORS</t>
        </is>
      </c>
      <c r="F12587" t="inlineStr">
        <is>
          <t>SCA</t>
        </is>
      </c>
      <c r="G12587" t="n">
        <v>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10038-2024</t>
        </is>
      </c>
      <c r="B12588" s="1" t="n">
        <v>45364</v>
      </c>
      <c r="C12588" s="1" t="n">
        <v>45657</v>
      </c>
      <c r="D12588" t="inlineStr">
        <is>
          <t>VÄSTERNORRLANDS LÄN</t>
        </is>
      </c>
      <c r="E12588" t="inlineStr">
        <is>
          <t>SOLLEFTEÅ</t>
        </is>
      </c>
      <c r="F12588" t="inlineStr">
        <is>
          <t>SCA</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10150-2024</t>
        </is>
      </c>
      <c r="B12589" s="1" t="n">
        <v>45364</v>
      </c>
      <c r="C12589" s="1" t="n">
        <v>45657</v>
      </c>
      <c r="D12589" t="inlineStr">
        <is>
          <t>VÄSTERNORRLANDS LÄN</t>
        </is>
      </c>
      <c r="E12589" t="inlineStr">
        <is>
          <t>ÖRNSKÖLDSVIK</t>
        </is>
      </c>
      <c r="F12589" t="inlineStr">
        <is>
          <t>Holmen skog AB</t>
        </is>
      </c>
      <c r="G12589" t="n">
        <v>11.4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10052-2024</t>
        </is>
      </c>
      <c r="B12590" s="1" t="n">
        <v>45364</v>
      </c>
      <c r="C12590" s="1" t="n">
        <v>45657</v>
      </c>
      <c r="D12590" t="inlineStr">
        <is>
          <t>VÄSTERNORRLANDS LÄN</t>
        </is>
      </c>
      <c r="E12590" t="inlineStr">
        <is>
          <t>ÖRNSKÖLDSVIK</t>
        </is>
      </c>
      <c r="F12590" t="inlineStr">
        <is>
          <t>Holmen skog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10195-2024</t>
        </is>
      </c>
      <c r="B12591" s="1" t="n">
        <v>45364</v>
      </c>
      <c r="C12591" s="1" t="n">
        <v>45657</v>
      </c>
      <c r="D12591" t="inlineStr">
        <is>
          <t>VÄSTERNORRLANDS LÄN</t>
        </is>
      </c>
      <c r="E12591" t="inlineStr">
        <is>
          <t>ÅNGE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10199-2024</t>
        </is>
      </c>
      <c r="B12592" s="1" t="n">
        <v>45364</v>
      </c>
      <c r="C12592" s="1" t="n">
        <v>45657</v>
      </c>
      <c r="D12592" t="inlineStr">
        <is>
          <t>VÄSTERNORRLANDS LÄN</t>
        </is>
      </c>
      <c r="E12592" t="inlineStr">
        <is>
          <t>ÅNGE</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10200-2024</t>
        </is>
      </c>
      <c r="B12593" s="1" t="n">
        <v>45364</v>
      </c>
      <c r="C12593" s="1" t="n">
        <v>45657</v>
      </c>
      <c r="D12593" t="inlineStr">
        <is>
          <t>VÄSTERNORRLANDS LÄN</t>
        </is>
      </c>
      <c r="E12593" t="inlineStr">
        <is>
          <t>SUNDSVALL</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10201-2024</t>
        </is>
      </c>
      <c r="B12594" s="1" t="n">
        <v>45364</v>
      </c>
      <c r="C12594" s="1" t="n">
        <v>45657</v>
      </c>
      <c r="D12594" t="inlineStr">
        <is>
          <t>VÄSTERNORRLANDS LÄN</t>
        </is>
      </c>
      <c r="E12594" t="inlineStr">
        <is>
          <t>SUNDSVALL</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10198-2024</t>
        </is>
      </c>
      <c r="B12595" s="1" t="n">
        <v>45364</v>
      </c>
      <c r="C12595" s="1" t="n">
        <v>45657</v>
      </c>
      <c r="D12595" t="inlineStr">
        <is>
          <t>VÄSTERNORRLANDS LÄN</t>
        </is>
      </c>
      <c r="E12595" t="inlineStr">
        <is>
          <t>ÅNGE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10202-2024</t>
        </is>
      </c>
      <c r="B12596" s="1" t="n">
        <v>45364</v>
      </c>
      <c r="C12596" s="1" t="n">
        <v>45657</v>
      </c>
      <c r="D12596" t="inlineStr">
        <is>
          <t>VÄSTERNORRLANDS LÄN</t>
        </is>
      </c>
      <c r="E12596" t="inlineStr">
        <is>
          <t>ÅNGE</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10292-2024</t>
        </is>
      </c>
      <c r="B12597" s="1" t="n">
        <v>45365</v>
      </c>
      <c r="C12597" s="1" t="n">
        <v>45657</v>
      </c>
      <c r="D12597" t="inlineStr">
        <is>
          <t>VÄSTERNORRLANDS LÄN</t>
        </is>
      </c>
      <c r="E12597" t="inlineStr">
        <is>
          <t>HÄRNÖSAND</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10300-2024</t>
        </is>
      </c>
      <c r="B12598" s="1" t="n">
        <v>45365</v>
      </c>
      <c r="C12598" s="1" t="n">
        <v>45657</v>
      </c>
      <c r="D12598" t="inlineStr">
        <is>
          <t>VÄSTERNORRLANDS LÄN</t>
        </is>
      </c>
      <c r="E12598" t="inlineStr">
        <is>
          <t>HÄRNÖSAND</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10308-2024</t>
        </is>
      </c>
      <c r="B12599" s="1" t="n">
        <v>45365</v>
      </c>
      <c r="C12599" s="1" t="n">
        <v>45657</v>
      </c>
      <c r="D12599" t="inlineStr">
        <is>
          <t>VÄSTERNORRLANDS LÄN</t>
        </is>
      </c>
      <c r="E12599" t="inlineStr">
        <is>
          <t>HÄRNÖSAND</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10312-2024</t>
        </is>
      </c>
      <c r="B12600" s="1" t="n">
        <v>45365</v>
      </c>
      <c r="C12600" s="1" t="n">
        <v>45657</v>
      </c>
      <c r="D12600" t="inlineStr">
        <is>
          <t>VÄSTERNORRLANDS LÄN</t>
        </is>
      </c>
      <c r="E12600" t="inlineStr">
        <is>
          <t>KRAMFORS</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10328-2024</t>
        </is>
      </c>
      <c r="B12601" s="1" t="n">
        <v>45365</v>
      </c>
      <c r="C12601" s="1" t="n">
        <v>45657</v>
      </c>
      <c r="D12601" t="inlineStr">
        <is>
          <t>VÄSTERNORRLANDS LÄN</t>
        </is>
      </c>
      <c r="E12601" t="inlineStr">
        <is>
          <t>KRAMFORS</t>
        </is>
      </c>
      <c r="G12601" t="n">
        <v>8.6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10235-2024</t>
        </is>
      </c>
      <c r="B12602" s="1" t="n">
        <v>45365</v>
      </c>
      <c r="C12602" s="1" t="n">
        <v>45657</v>
      </c>
      <c r="D12602" t="inlineStr">
        <is>
          <t>VÄSTERNORRLANDS LÄN</t>
        </is>
      </c>
      <c r="E12602" t="inlineStr">
        <is>
          <t>ÖRNSKÖLDSVIK</t>
        </is>
      </c>
      <c r="F12602" t="inlineStr">
        <is>
          <t>Holmen skog AB</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10311-2024</t>
        </is>
      </c>
      <c r="B12603" s="1" t="n">
        <v>45365</v>
      </c>
      <c r="C12603" s="1" t="n">
        <v>45657</v>
      </c>
      <c r="D12603" t="inlineStr">
        <is>
          <t>VÄSTERNORRLANDS LÄN</t>
        </is>
      </c>
      <c r="E12603" t="inlineStr">
        <is>
          <t>KRAMFORS</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10365-2024</t>
        </is>
      </c>
      <c r="B12604" s="1" t="n">
        <v>45365</v>
      </c>
      <c r="C12604" s="1" t="n">
        <v>45657</v>
      </c>
      <c r="D12604" t="inlineStr">
        <is>
          <t>VÄSTERNORRLANDS LÄN</t>
        </is>
      </c>
      <c r="E12604" t="inlineStr">
        <is>
          <t>KRAMFORS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10290-2024</t>
        </is>
      </c>
      <c r="B12605" s="1" t="n">
        <v>45365</v>
      </c>
      <c r="C12605" s="1" t="n">
        <v>45657</v>
      </c>
      <c r="D12605" t="inlineStr">
        <is>
          <t>VÄSTERNORRLANDS LÄN</t>
        </is>
      </c>
      <c r="E12605" t="inlineStr">
        <is>
          <t>ÖRNSKÖLDSVIK</t>
        </is>
      </c>
      <c r="F12605" t="inlineStr">
        <is>
          <t>Holmen skog AB</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10314-2024</t>
        </is>
      </c>
      <c r="B12606" s="1" t="n">
        <v>45365</v>
      </c>
      <c r="C12606" s="1" t="n">
        <v>45657</v>
      </c>
      <c r="D12606" t="inlineStr">
        <is>
          <t>VÄSTERNORRLANDS LÄN</t>
        </is>
      </c>
      <c r="E12606" t="inlineStr">
        <is>
          <t>HÄRNÖSAND</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10305-2024</t>
        </is>
      </c>
      <c r="B12607" s="1" t="n">
        <v>45365</v>
      </c>
      <c r="C12607" s="1" t="n">
        <v>45657</v>
      </c>
      <c r="D12607" t="inlineStr">
        <is>
          <t>VÄSTERNORRLANDS LÄN</t>
        </is>
      </c>
      <c r="E12607" t="inlineStr">
        <is>
          <t>ÖRNSKÖLDSVIK</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10362-2024</t>
        </is>
      </c>
      <c r="B12608" s="1" t="n">
        <v>45365</v>
      </c>
      <c r="C12608" s="1" t="n">
        <v>45657</v>
      </c>
      <c r="D12608" t="inlineStr">
        <is>
          <t>VÄSTERNORRLANDS LÄN</t>
        </is>
      </c>
      <c r="E12608" t="inlineStr">
        <is>
          <t>KRAMFORS</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10370-2024</t>
        </is>
      </c>
      <c r="B12609" s="1" t="n">
        <v>45365</v>
      </c>
      <c r="C12609" s="1" t="n">
        <v>45657</v>
      </c>
      <c r="D12609" t="inlineStr">
        <is>
          <t>VÄSTERNORRLANDS LÄN</t>
        </is>
      </c>
      <c r="E12609" t="inlineStr">
        <is>
          <t>KRAMFORS</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10376-2024</t>
        </is>
      </c>
      <c r="B12610" s="1" t="n">
        <v>45365</v>
      </c>
      <c r="C12610" s="1" t="n">
        <v>45657</v>
      </c>
      <c r="D12610" t="inlineStr">
        <is>
          <t>VÄSTERNORRLANDS LÄN</t>
        </is>
      </c>
      <c r="E12610" t="inlineStr">
        <is>
          <t>KRAMFORS</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10392-2024</t>
        </is>
      </c>
      <c r="B12611" s="1" t="n">
        <v>45365</v>
      </c>
      <c r="C12611" s="1" t="n">
        <v>45657</v>
      </c>
      <c r="D12611" t="inlineStr">
        <is>
          <t>VÄSTERNORRLANDS LÄN</t>
        </is>
      </c>
      <c r="E12611" t="inlineStr">
        <is>
          <t>KRAMFORS</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10397-2024</t>
        </is>
      </c>
      <c r="B12612" s="1" t="n">
        <v>45365</v>
      </c>
      <c r="C12612" s="1" t="n">
        <v>45657</v>
      </c>
      <c r="D12612" t="inlineStr">
        <is>
          <t>VÄSTERNORRLANDS LÄN</t>
        </is>
      </c>
      <c r="E12612" t="inlineStr">
        <is>
          <t>KRAMFORS</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10413-2024</t>
        </is>
      </c>
      <c r="B12613" s="1" t="n">
        <v>45365</v>
      </c>
      <c r="C12613" s="1" t="n">
        <v>45657</v>
      </c>
      <c r="D12613" t="inlineStr">
        <is>
          <t>VÄSTERNORRLANDS LÄN</t>
        </is>
      </c>
      <c r="E12613" t="inlineStr">
        <is>
          <t>KRAMFORS</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10433-2024</t>
        </is>
      </c>
      <c r="B12614" s="1" t="n">
        <v>45365</v>
      </c>
      <c r="C12614" s="1" t="n">
        <v>45657</v>
      </c>
      <c r="D12614" t="inlineStr">
        <is>
          <t>VÄSTERNORRLANDS LÄN</t>
        </is>
      </c>
      <c r="E12614" t="inlineStr">
        <is>
          <t>KRAMFORS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10399-2024</t>
        </is>
      </c>
      <c r="B12615" s="1" t="n">
        <v>45365</v>
      </c>
      <c r="C12615" s="1" t="n">
        <v>45657</v>
      </c>
      <c r="D12615" t="inlineStr">
        <is>
          <t>VÄSTERNORRLANDS LÄN</t>
        </is>
      </c>
      <c r="E12615" t="inlineStr">
        <is>
          <t>KRAMFORS</t>
        </is>
      </c>
      <c r="G12615" t="n">
        <v>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10411-2024</t>
        </is>
      </c>
      <c r="B12616" s="1" t="n">
        <v>45365</v>
      </c>
      <c r="C12616" s="1" t="n">
        <v>45657</v>
      </c>
      <c r="D12616" t="inlineStr">
        <is>
          <t>VÄSTERNORRLANDS LÄN</t>
        </is>
      </c>
      <c r="E12616" t="inlineStr">
        <is>
          <t>ÖRNSKÖLDSVIK</t>
        </is>
      </c>
      <c r="F12616" t="inlineStr">
        <is>
          <t>Kyrkan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10415-2024</t>
        </is>
      </c>
      <c r="B12617" s="1" t="n">
        <v>45365</v>
      </c>
      <c r="C12617" s="1" t="n">
        <v>45657</v>
      </c>
      <c r="D12617" t="inlineStr">
        <is>
          <t>VÄSTERNORRLANDS LÄN</t>
        </is>
      </c>
      <c r="E12617" t="inlineStr">
        <is>
          <t>SOLLEFTEÅ</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10479-2024</t>
        </is>
      </c>
      <c r="B12618" s="1" t="n">
        <v>45366</v>
      </c>
      <c r="C12618" s="1" t="n">
        <v>45657</v>
      </c>
      <c r="D12618" t="inlineStr">
        <is>
          <t>VÄSTERNORRLANDS LÄN</t>
        </is>
      </c>
      <c r="E12618" t="inlineStr">
        <is>
          <t>ÖRNSKÖLDSVIK</t>
        </is>
      </c>
      <c r="F12618" t="inlineStr">
        <is>
          <t>Holmen skog AB</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10499-2024</t>
        </is>
      </c>
      <c r="B12619" s="1" t="n">
        <v>45366</v>
      </c>
      <c r="C12619" s="1" t="n">
        <v>45657</v>
      </c>
      <c r="D12619" t="inlineStr">
        <is>
          <t>VÄSTERNORRLANDS LÄN</t>
        </is>
      </c>
      <c r="E12619" t="inlineStr">
        <is>
          <t>ÖRNSKÖLDSVIK</t>
        </is>
      </c>
      <c r="F12619" t="inlineStr">
        <is>
          <t>Holmen skog AB</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10497-2024</t>
        </is>
      </c>
      <c r="B12620" s="1" t="n">
        <v>45366</v>
      </c>
      <c r="C12620" s="1" t="n">
        <v>45657</v>
      </c>
      <c r="D12620" t="inlineStr">
        <is>
          <t>VÄSTERNORRLANDS LÄN</t>
        </is>
      </c>
      <c r="E12620" t="inlineStr">
        <is>
          <t>ÖRNSKÖLDSVIK</t>
        </is>
      </c>
      <c r="F12620" t="inlineStr">
        <is>
          <t>Holmen skog AB</t>
        </is>
      </c>
      <c r="G12620" t="n">
        <v>9.699999999999999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10510-2024</t>
        </is>
      </c>
      <c r="B12621" s="1" t="n">
        <v>45366</v>
      </c>
      <c r="C12621" s="1" t="n">
        <v>45657</v>
      </c>
      <c r="D12621" t="inlineStr">
        <is>
          <t>VÄSTERNORRLANDS LÄN</t>
        </is>
      </c>
      <c r="E12621" t="inlineStr">
        <is>
          <t>KRAMFORS</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10526-2024</t>
        </is>
      </c>
      <c r="B12622" s="1" t="n">
        <v>45366</v>
      </c>
      <c r="C12622" s="1" t="n">
        <v>45657</v>
      </c>
      <c r="D12622" t="inlineStr">
        <is>
          <t>VÄSTERNORRLANDS LÄN</t>
        </is>
      </c>
      <c r="E12622" t="inlineStr">
        <is>
          <t>SOLLEFTEÅ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10532-2024</t>
        </is>
      </c>
      <c r="B12623" s="1" t="n">
        <v>45366</v>
      </c>
      <c r="C12623" s="1" t="n">
        <v>45657</v>
      </c>
      <c r="D12623" t="inlineStr">
        <is>
          <t>VÄSTERNORRLANDS LÄN</t>
        </is>
      </c>
      <c r="E12623" t="inlineStr">
        <is>
          <t>SOLLEFTEÅ</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10556-2024</t>
        </is>
      </c>
      <c r="B12624" s="1" t="n">
        <v>45366</v>
      </c>
      <c r="C12624" s="1" t="n">
        <v>45657</v>
      </c>
      <c r="D12624" t="inlineStr">
        <is>
          <t>VÄSTERNORRLANDS LÄN</t>
        </is>
      </c>
      <c r="E12624" t="inlineStr">
        <is>
          <t>ÖRNSKÖLDSVIK</t>
        </is>
      </c>
      <c r="F12624" t="inlineStr">
        <is>
          <t>Holmen skog AB</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10578-2024</t>
        </is>
      </c>
      <c r="B12625" s="1" t="n">
        <v>45366</v>
      </c>
      <c r="C12625" s="1" t="n">
        <v>45657</v>
      </c>
      <c r="D12625" t="inlineStr">
        <is>
          <t>VÄSTERNORRLANDS LÄN</t>
        </is>
      </c>
      <c r="E12625" t="inlineStr">
        <is>
          <t>ÖRNSKÖLDSVIK</t>
        </is>
      </c>
      <c r="F12625" t="inlineStr">
        <is>
          <t>Holmen skog AB</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10478-2024</t>
        </is>
      </c>
      <c r="B12626" s="1" t="n">
        <v>45366</v>
      </c>
      <c r="C12626" s="1" t="n">
        <v>45657</v>
      </c>
      <c r="D12626" t="inlineStr">
        <is>
          <t>VÄSTERNORRLANDS LÄN</t>
        </is>
      </c>
      <c r="E12626" t="inlineStr">
        <is>
          <t>ÖRNSKÖLDSVIK</t>
        </is>
      </c>
      <c r="F12626" t="inlineStr">
        <is>
          <t>Holmen skog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10490-2024</t>
        </is>
      </c>
      <c r="B12627" s="1" t="n">
        <v>45366</v>
      </c>
      <c r="C12627" s="1" t="n">
        <v>45657</v>
      </c>
      <c r="D12627" t="inlineStr">
        <is>
          <t>VÄSTERNORRLANDS LÄN</t>
        </is>
      </c>
      <c r="E12627" t="inlineStr">
        <is>
          <t>ÖRNSKÖLDSVIK</t>
        </is>
      </c>
      <c r="F12627" t="inlineStr">
        <is>
          <t>Holmen skog AB</t>
        </is>
      </c>
      <c r="G12627" t="n">
        <v>14.7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10539-2024</t>
        </is>
      </c>
      <c r="B12628" s="1" t="n">
        <v>45366</v>
      </c>
      <c r="C12628" s="1" t="n">
        <v>45657</v>
      </c>
      <c r="D12628" t="inlineStr">
        <is>
          <t>VÄSTERNORRLANDS LÄN</t>
        </is>
      </c>
      <c r="E12628" t="inlineStr">
        <is>
          <t>SOLLEFTEÅ</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10580-2024</t>
        </is>
      </c>
      <c r="B12629" s="1" t="n">
        <v>45366</v>
      </c>
      <c r="C12629" s="1" t="n">
        <v>45657</v>
      </c>
      <c r="D12629" t="inlineStr">
        <is>
          <t>VÄSTERNORRLANDS LÄN</t>
        </is>
      </c>
      <c r="E12629" t="inlineStr">
        <is>
          <t>ÖRNSKÖLDSVIK</t>
        </is>
      </c>
      <c r="F12629" t="inlineStr">
        <is>
          <t>Holmen skog AB</t>
        </is>
      </c>
      <c r="G12629" t="n">
        <v>12.5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10492-2024</t>
        </is>
      </c>
      <c r="B12630" s="1" t="n">
        <v>45366</v>
      </c>
      <c r="C12630" s="1" t="n">
        <v>45657</v>
      </c>
      <c r="D12630" t="inlineStr">
        <is>
          <t>VÄSTERNORRLANDS LÄN</t>
        </is>
      </c>
      <c r="E12630" t="inlineStr">
        <is>
          <t>SUNDSVALL</t>
        </is>
      </c>
      <c r="G12630" t="n">
        <v>10.5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10500-2024</t>
        </is>
      </c>
      <c r="B12631" s="1" t="n">
        <v>45366</v>
      </c>
      <c r="C12631" s="1" t="n">
        <v>45657</v>
      </c>
      <c r="D12631" t="inlineStr">
        <is>
          <t>VÄSTERNORRLANDS LÄN</t>
        </is>
      </c>
      <c r="E12631" t="inlineStr">
        <is>
          <t>ÖRNSKÖLDSVIK</t>
        </is>
      </c>
      <c r="F12631" t="inlineStr">
        <is>
          <t>Holmen skog AB</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10529-2024</t>
        </is>
      </c>
      <c r="B12632" s="1" t="n">
        <v>45366</v>
      </c>
      <c r="C12632" s="1" t="n">
        <v>45657</v>
      </c>
      <c r="D12632" t="inlineStr">
        <is>
          <t>VÄSTERNORRLANDS LÄN</t>
        </is>
      </c>
      <c r="E12632" t="inlineStr">
        <is>
          <t>ÖRNSKÖLDSVIK</t>
        </is>
      </c>
      <c r="F12632" t="inlineStr">
        <is>
          <t>Holmen skog AB</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10537-2024</t>
        </is>
      </c>
      <c r="B12633" s="1" t="n">
        <v>45366</v>
      </c>
      <c r="C12633" s="1" t="n">
        <v>45657</v>
      </c>
      <c r="D12633" t="inlineStr">
        <is>
          <t>VÄSTERNORRLANDS LÄN</t>
        </is>
      </c>
      <c r="E12633" t="inlineStr">
        <is>
          <t>SOLLEFTEÅ</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10549-2024</t>
        </is>
      </c>
      <c r="B12634" s="1" t="n">
        <v>45366</v>
      </c>
      <c r="C12634" s="1" t="n">
        <v>45657</v>
      </c>
      <c r="D12634" t="inlineStr">
        <is>
          <t>VÄSTERNORRLANDS LÄN</t>
        </is>
      </c>
      <c r="E12634" t="inlineStr">
        <is>
          <t>HÄRNÖSAND</t>
        </is>
      </c>
      <c r="G12634" t="n">
        <v>8.4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10557-2024</t>
        </is>
      </c>
      <c r="B12635" s="1" t="n">
        <v>45366</v>
      </c>
      <c r="C12635" s="1" t="n">
        <v>45657</v>
      </c>
      <c r="D12635" t="inlineStr">
        <is>
          <t>VÄSTERNORRLANDS LÄN</t>
        </is>
      </c>
      <c r="E12635" t="inlineStr">
        <is>
          <t>SUNDSVALL</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10569-2024</t>
        </is>
      </c>
      <c r="B12636" s="1" t="n">
        <v>45366</v>
      </c>
      <c r="C12636" s="1" t="n">
        <v>45657</v>
      </c>
      <c r="D12636" t="inlineStr">
        <is>
          <t>VÄSTERNORRLANDS LÄN</t>
        </is>
      </c>
      <c r="E12636" t="inlineStr">
        <is>
          <t>SOLLEFTEÅ</t>
        </is>
      </c>
      <c r="F12636" t="inlineStr">
        <is>
          <t>Holmen skog AB</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10581-2024</t>
        </is>
      </c>
      <c r="B12637" s="1" t="n">
        <v>45366</v>
      </c>
      <c r="C12637" s="1" t="n">
        <v>45657</v>
      </c>
      <c r="D12637" t="inlineStr">
        <is>
          <t>VÄSTERNORRLANDS LÄN</t>
        </is>
      </c>
      <c r="E12637" t="inlineStr">
        <is>
          <t>ÖRNSKÖLDSVIK</t>
        </is>
      </c>
      <c r="G12637" t="n">
        <v>10.7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10616-2024</t>
        </is>
      </c>
      <c r="B12638" s="1" t="n">
        <v>45367</v>
      </c>
      <c r="C12638" s="1" t="n">
        <v>45657</v>
      </c>
      <c r="D12638" t="inlineStr">
        <is>
          <t>VÄSTERNORRLANDS LÄN</t>
        </is>
      </c>
      <c r="E12638" t="inlineStr">
        <is>
          <t>KRAMFORS</t>
        </is>
      </c>
      <c r="F12638" t="inlineStr">
        <is>
          <t>SCA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10620-2024</t>
        </is>
      </c>
      <c r="B12639" s="1" t="n">
        <v>45367</v>
      </c>
      <c r="C12639" s="1" t="n">
        <v>45657</v>
      </c>
      <c r="D12639" t="inlineStr">
        <is>
          <t>VÄSTERNORRLANDS LÄN</t>
        </is>
      </c>
      <c r="E12639" t="inlineStr">
        <is>
          <t>SUNDSVALL</t>
        </is>
      </c>
      <c r="F12639" t="inlineStr">
        <is>
          <t>SCA</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10607-2024</t>
        </is>
      </c>
      <c r="B12640" s="1" t="n">
        <v>45367</v>
      </c>
      <c r="C12640" s="1" t="n">
        <v>45657</v>
      </c>
      <c r="D12640" t="inlineStr">
        <is>
          <t>VÄSTERNORRLANDS LÄN</t>
        </is>
      </c>
      <c r="E12640" t="inlineStr">
        <is>
          <t>KRAMFORS</t>
        </is>
      </c>
      <c r="F12640" t="inlineStr">
        <is>
          <t>SCA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10618-2024</t>
        </is>
      </c>
      <c r="B12641" s="1" t="n">
        <v>45367</v>
      </c>
      <c r="C12641" s="1" t="n">
        <v>45657</v>
      </c>
      <c r="D12641" t="inlineStr">
        <is>
          <t>VÄSTERNORRLANDS LÄN</t>
        </is>
      </c>
      <c r="E12641" t="inlineStr">
        <is>
          <t>SOLLEFTEÅ</t>
        </is>
      </c>
      <c r="F12641" t="inlineStr">
        <is>
          <t>SCA</t>
        </is>
      </c>
      <c r="G12641" t="n">
        <v>21.1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10629-2024</t>
        </is>
      </c>
      <c r="B12642" s="1" t="n">
        <v>45367</v>
      </c>
      <c r="C12642" s="1" t="n">
        <v>45657</v>
      </c>
      <c r="D12642" t="inlineStr">
        <is>
          <t>VÄSTERNORRLANDS LÄN</t>
        </is>
      </c>
      <c r="E12642" t="inlineStr">
        <is>
          <t>SUNDSVALL</t>
        </is>
      </c>
      <c r="F12642" t="inlineStr">
        <is>
          <t>SCA</t>
        </is>
      </c>
      <c r="G12642" t="n">
        <v>22.1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10668-2024</t>
        </is>
      </c>
      <c r="B12643" s="1" t="n">
        <v>45369</v>
      </c>
      <c r="C12643" s="1" t="n">
        <v>45657</v>
      </c>
      <c r="D12643" t="inlineStr">
        <is>
          <t>VÄSTERNORRLANDS LÄN</t>
        </is>
      </c>
      <c r="E12643" t="inlineStr">
        <is>
          <t>ÖRNSKÖLDSVIK</t>
        </is>
      </c>
      <c r="F12643" t="inlineStr">
        <is>
          <t>Holmen skog AB</t>
        </is>
      </c>
      <c r="G12643" t="n">
        <v>9.199999999999999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10687-2024</t>
        </is>
      </c>
      <c r="B12644" s="1" t="n">
        <v>45369</v>
      </c>
      <c r="C12644" s="1" t="n">
        <v>45657</v>
      </c>
      <c r="D12644" t="inlineStr">
        <is>
          <t>VÄSTERNORRLANDS LÄN</t>
        </is>
      </c>
      <c r="E12644" t="inlineStr">
        <is>
          <t>SOLLEFTEÅ</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10763-2024</t>
        </is>
      </c>
      <c r="B12645" s="1" t="n">
        <v>45369</v>
      </c>
      <c r="C12645" s="1" t="n">
        <v>45657</v>
      </c>
      <c r="D12645" t="inlineStr">
        <is>
          <t>VÄSTERNORRLANDS LÄN</t>
        </is>
      </c>
      <c r="E12645" t="inlineStr">
        <is>
          <t>ÖRNSKÖLDSVIK</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10822-2024</t>
        </is>
      </c>
      <c r="B12646" s="1" t="n">
        <v>45369</v>
      </c>
      <c r="C12646" s="1" t="n">
        <v>45657</v>
      </c>
      <c r="D12646" t="inlineStr">
        <is>
          <t>VÄSTERNORRLANDS LÄN</t>
        </is>
      </c>
      <c r="E12646" t="inlineStr">
        <is>
          <t>HÄRNÖSAND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10781-2024</t>
        </is>
      </c>
      <c r="B12647" s="1" t="n">
        <v>45369</v>
      </c>
      <c r="C12647" s="1" t="n">
        <v>45657</v>
      </c>
      <c r="D12647" t="inlineStr">
        <is>
          <t>VÄSTERNORRLANDS LÄN</t>
        </is>
      </c>
      <c r="E12647" t="inlineStr">
        <is>
          <t>ÅNGE</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10776-2024</t>
        </is>
      </c>
      <c r="B12648" s="1" t="n">
        <v>45369</v>
      </c>
      <c r="C12648" s="1" t="n">
        <v>45657</v>
      </c>
      <c r="D12648" t="inlineStr">
        <is>
          <t>VÄSTERNORRLANDS LÄN</t>
        </is>
      </c>
      <c r="E12648" t="inlineStr">
        <is>
          <t>ÖRNSKÖLDSVIK</t>
        </is>
      </c>
      <c r="F12648" t="inlineStr">
        <is>
          <t>Holmen skog AB</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10686-2024</t>
        </is>
      </c>
      <c r="B12649" s="1" t="n">
        <v>45369</v>
      </c>
      <c r="C12649" s="1" t="n">
        <v>45657</v>
      </c>
      <c r="D12649" t="inlineStr">
        <is>
          <t>VÄSTERNORRLANDS LÄN</t>
        </is>
      </c>
      <c r="E12649" t="inlineStr">
        <is>
          <t>ÖRNSKÖLDSVIK</t>
        </is>
      </c>
      <c r="F12649" t="inlineStr">
        <is>
          <t>Holmen skog AB</t>
        </is>
      </c>
      <c r="G12649" t="n">
        <v>12.3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10835-2024</t>
        </is>
      </c>
      <c r="B12650" s="1" t="n">
        <v>45369</v>
      </c>
      <c r="C12650" s="1" t="n">
        <v>45657</v>
      </c>
      <c r="D12650" t="inlineStr">
        <is>
          <t>VÄSTERNORRLANDS LÄN</t>
        </is>
      </c>
      <c r="E12650" t="inlineStr">
        <is>
          <t>ÖRNSKÖLDSVIK</t>
        </is>
      </c>
      <c r="G12650" t="n">
        <v>7.2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10745-2024</t>
        </is>
      </c>
      <c r="B12651" s="1" t="n">
        <v>45369</v>
      </c>
      <c r="C12651" s="1" t="n">
        <v>45657</v>
      </c>
      <c r="D12651" t="inlineStr">
        <is>
          <t>VÄSTERNORRLANDS LÄN</t>
        </is>
      </c>
      <c r="E12651" t="inlineStr">
        <is>
          <t>TIMRÅ</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10851-2024</t>
        </is>
      </c>
      <c r="B12652" s="1" t="n">
        <v>45370</v>
      </c>
      <c r="C12652" s="1" t="n">
        <v>45657</v>
      </c>
      <c r="D12652" t="inlineStr">
        <is>
          <t>VÄSTERNORRLANDS LÄN</t>
        </is>
      </c>
      <c r="E12652" t="inlineStr">
        <is>
          <t>SUNDSVALL</t>
        </is>
      </c>
      <c r="F12652" t="inlineStr">
        <is>
          <t>SCA</t>
        </is>
      </c>
      <c r="G12652" t="n">
        <v>9.5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10866-2024</t>
        </is>
      </c>
      <c r="B12653" s="1" t="n">
        <v>45370</v>
      </c>
      <c r="C12653" s="1" t="n">
        <v>45657</v>
      </c>
      <c r="D12653" t="inlineStr">
        <is>
          <t>VÄSTERNORRLANDS LÄN</t>
        </is>
      </c>
      <c r="E12653" t="inlineStr">
        <is>
          <t>SUNDSVALL</t>
        </is>
      </c>
      <c r="F12653" t="inlineStr">
        <is>
          <t>Naturvårdsverket</t>
        </is>
      </c>
      <c r="G12653" t="n">
        <v>17.7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10870-2024</t>
        </is>
      </c>
      <c r="B12654" s="1" t="n">
        <v>45370</v>
      </c>
      <c r="C12654" s="1" t="n">
        <v>45657</v>
      </c>
      <c r="D12654" t="inlineStr">
        <is>
          <t>VÄSTERNORRLANDS LÄN</t>
        </is>
      </c>
      <c r="E12654" t="inlineStr">
        <is>
          <t>SOLLEFTEÅ</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10874-2024</t>
        </is>
      </c>
      <c r="B12655" s="1" t="n">
        <v>45370</v>
      </c>
      <c r="C12655" s="1" t="n">
        <v>45657</v>
      </c>
      <c r="D12655" t="inlineStr">
        <is>
          <t>VÄSTERNORRLANDS LÄN</t>
        </is>
      </c>
      <c r="E12655" t="inlineStr">
        <is>
          <t>SUNDSVALL</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10878-2024</t>
        </is>
      </c>
      <c r="B12656" s="1" t="n">
        <v>45370</v>
      </c>
      <c r="C12656" s="1" t="n">
        <v>45657</v>
      </c>
      <c r="D12656" t="inlineStr">
        <is>
          <t>VÄSTERNORRLANDS LÄN</t>
        </is>
      </c>
      <c r="E12656" t="inlineStr">
        <is>
          <t>ÅNGE</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10853-2024</t>
        </is>
      </c>
      <c r="B12657" s="1" t="n">
        <v>45370</v>
      </c>
      <c r="C12657" s="1" t="n">
        <v>45657</v>
      </c>
      <c r="D12657" t="inlineStr">
        <is>
          <t>VÄSTERNORRLANDS LÄN</t>
        </is>
      </c>
      <c r="E12657" t="inlineStr">
        <is>
          <t>SOLLEFTEÅ</t>
        </is>
      </c>
      <c r="F12657" t="inlineStr">
        <is>
          <t>SCA</t>
        </is>
      </c>
      <c r="G12657" t="n">
        <v>37.7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10869-2024</t>
        </is>
      </c>
      <c r="B12658" s="1" t="n">
        <v>45370</v>
      </c>
      <c r="C12658" s="1" t="n">
        <v>45657</v>
      </c>
      <c r="D12658" t="inlineStr">
        <is>
          <t>VÄSTERNORRLANDS LÄN</t>
        </is>
      </c>
      <c r="E12658" t="inlineStr">
        <is>
          <t>SOLLEFTEÅ</t>
        </is>
      </c>
      <c r="F12658" t="inlineStr">
        <is>
          <t>SCA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10885-2024</t>
        </is>
      </c>
      <c r="B12659" s="1" t="n">
        <v>45370</v>
      </c>
      <c r="C12659" s="1" t="n">
        <v>45657</v>
      </c>
      <c r="D12659" t="inlineStr">
        <is>
          <t>VÄSTERNORRLANDS LÄN</t>
        </is>
      </c>
      <c r="E12659" t="inlineStr">
        <is>
          <t>ÖRNSKÖLDSVIK</t>
        </is>
      </c>
      <c r="G12659" t="n">
        <v>22.3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10914-2024</t>
        </is>
      </c>
      <c r="B12660" s="1" t="n">
        <v>45370</v>
      </c>
      <c r="C12660" s="1" t="n">
        <v>45657</v>
      </c>
      <c r="D12660" t="inlineStr">
        <is>
          <t>VÄSTERNORRLANDS LÄN</t>
        </is>
      </c>
      <c r="E12660" t="inlineStr">
        <is>
          <t>ÅNGE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10922-2024</t>
        </is>
      </c>
      <c r="B12661" s="1" t="n">
        <v>45370</v>
      </c>
      <c r="C12661" s="1" t="n">
        <v>45657</v>
      </c>
      <c r="D12661" t="inlineStr">
        <is>
          <t>VÄSTERNORRLANDS LÄN</t>
        </is>
      </c>
      <c r="E12661" t="inlineStr">
        <is>
          <t>ÅNGE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10852-2024</t>
        </is>
      </c>
      <c r="B12662" s="1" t="n">
        <v>45370</v>
      </c>
      <c r="C12662" s="1" t="n">
        <v>45657</v>
      </c>
      <c r="D12662" t="inlineStr">
        <is>
          <t>VÄSTERNORRLANDS LÄN</t>
        </is>
      </c>
      <c r="E12662" t="inlineStr">
        <is>
          <t>TIMRÅ</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10868-2024</t>
        </is>
      </c>
      <c r="B12663" s="1" t="n">
        <v>45370</v>
      </c>
      <c r="C12663" s="1" t="n">
        <v>45657</v>
      </c>
      <c r="D12663" t="inlineStr">
        <is>
          <t>VÄSTERNORRLANDS LÄN</t>
        </is>
      </c>
      <c r="E12663" t="inlineStr">
        <is>
          <t>SUNDSVALL</t>
        </is>
      </c>
      <c r="F12663" t="inlineStr">
        <is>
          <t>Naturvårdsverket</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10917-2024</t>
        </is>
      </c>
      <c r="B12664" s="1" t="n">
        <v>45370</v>
      </c>
      <c r="C12664" s="1" t="n">
        <v>45657</v>
      </c>
      <c r="D12664" t="inlineStr">
        <is>
          <t>VÄSTERNORRLANDS LÄN</t>
        </is>
      </c>
      <c r="E12664" t="inlineStr">
        <is>
          <t>ÅNGE</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10945-2024</t>
        </is>
      </c>
      <c r="B12665" s="1" t="n">
        <v>45370</v>
      </c>
      <c r="C12665" s="1" t="n">
        <v>45657</v>
      </c>
      <c r="D12665" t="inlineStr">
        <is>
          <t>VÄSTERNORRLANDS LÄN</t>
        </is>
      </c>
      <c r="E12665" t="inlineStr">
        <is>
          <t>SUNDSVALL</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11002-2024</t>
        </is>
      </c>
      <c r="B12666" s="1" t="n">
        <v>45370</v>
      </c>
      <c r="C12666" s="1" t="n">
        <v>45657</v>
      </c>
      <c r="D12666" t="inlineStr">
        <is>
          <t>VÄSTERNORRLANDS LÄN</t>
        </is>
      </c>
      <c r="E12666" t="inlineStr">
        <is>
          <t>ÖRNSKÖLDSVIK</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11005-2024</t>
        </is>
      </c>
      <c r="B12667" s="1" t="n">
        <v>45370</v>
      </c>
      <c r="C12667" s="1" t="n">
        <v>45657</v>
      </c>
      <c r="D12667" t="inlineStr">
        <is>
          <t>VÄSTERNORRLANDS LÄN</t>
        </is>
      </c>
      <c r="E12667" t="inlineStr">
        <is>
          <t>ÖRNSKÖLDSVIK</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11009-2024</t>
        </is>
      </c>
      <c r="B12668" s="1" t="n">
        <v>45370</v>
      </c>
      <c r="C12668" s="1" t="n">
        <v>45657</v>
      </c>
      <c r="D12668" t="inlineStr">
        <is>
          <t>VÄSTERNORRLANDS LÄN</t>
        </is>
      </c>
      <c r="E12668" t="inlineStr">
        <is>
          <t>SOLLEFTEÅ</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11090-2024</t>
        </is>
      </c>
      <c r="B12669" s="1" t="n">
        <v>45370</v>
      </c>
      <c r="C12669" s="1" t="n">
        <v>45657</v>
      </c>
      <c r="D12669" t="inlineStr">
        <is>
          <t>VÄSTERNORRLANDS LÄN</t>
        </is>
      </c>
      <c r="E12669" t="inlineStr">
        <is>
          <t>SOLLEFTEÅ</t>
        </is>
      </c>
      <c r="F12669" t="inlineStr">
        <is>
          <t>SCA</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10915-2024</t>
        </is>
      </c>
      <c r="B12670" s="1" t="n">
        <v>45370</v>
      </c>
      <c r="C12670" s="1" t="n">
        <v>45657</v>
      </c>
      <c r="D12670" t="inlineStr">
        <is>
          <t>VÄSTERNORRLANDS LÄN</t>
        </is>
      </c>
      <c r="E12670" t="inlineStr">
        <is>
          <t>ÖRNSKÖLDSVIK</t>
        </is>
      </c>
      <c r="G12670" t="n">
        <v>11.7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10919-2024</t>
        </is>
      </c>
      <c r="B12671" s="1" t="n">
        <v>45370</v>
      </c>
      <c r="C12671" s="1" t="n">
        <v>45657</v>
      </c>
      <c r="D12671" t="inlineStr">
        <is>
          <t>VÄSTERNORRLANDS LÄN</t>
        </is>
      </c>
      <c r="E12671" t="inlineStr">
        <is>
          <t>ÅNGE</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11083-2024</t>
        </is>
      </c>
      <c r="B12672" s="1" t="n">
        <v>45370</v>
      </c>
      <c r="C12672" s="1" t="n">
        <v>45657</v>
      </c>
      <c r="D12672" t="inlineStr">
        <is>
          <t>VÄSTERNORRLANDS LÄN</t>
        </is>
      </c>
      <c r="E12672" t="inlineStr">
        <is>
          <t>SOLLEFTEÅ</t>
        </is>
      </c>
      <c r="F12672" t="inlineStr">
        <is>
          <t>SCA</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11091-2024</t>
        </is>
      </c>
      <c r="B12673" s="1" t="n">
        <v>45370</v>
      </c>
      <c r="C12673" s="1" t="n">
        <v>45657</v>
      </c>
      <c r="D12673" t="inlineStr">
        <is>
          <t>VÄSTERNORRLANDS LÄN</t>
        </is>
      </c>
      <c r="E12673" t="inlineStr">
        <is>
          <t>HÄRNÖSAND</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11087-2024</t>
        </is>
      </c>
      <c r="B12674" s="1" t="n">
        <v>45370</v>
      </c>
      <c r="C12674" s="1" t="n">
        <v>45657</v>
      </c>
      <c r="D12674" t="inlineStr">
        <is>
          <t>VÄSTERNORRLANDS LÄN</t>
        </is>
      </c>
      <c r="E12674" t="inlineStr">
        <is>
          <t>SOLLEFTEÅ</t>
        </is>
      </c>
      <c r="F12674" t="inlineStr">
        <is>
          <t>SCA</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11043-2024</t>
        </is>
      </c>
      <c r="B12675" s="1" t="n">
        <v>45370</v>
      </c>
      <c r="C12675" s="1" t="n">
        <v>45657</v>
      </c>
      <c r="D12675" t="inlineStr">
        <is>
          <t>VÄSTERNORRLANDS LÄN</t>
        </is>
      </c>
      <c r="E12675" t="inlineStr">
        <is>
          <t>SOLLEFTEÅ</t>
        </is>
      </c>
      <c r="G12675" t="n">
        <v>36.5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11049-2024</t>
        </is>
      </c>
      <c r="B12676" s="1" t="n">
        <v>45370</v>
      </c>
      <c r="C12676" s="1" t="n">
        <v>45657</v>
      </c>
      <c r="D12676" t="inlineStr">
        <is>
          <t>VÄSTERNORRLANDS LÄN</t>
        </is>
      </c>
      <c r="E12676" t="inlineStr">
        <is>
          <t>ÖRNSKÖLDSVIK</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11048-2024</t>
        </is>
      </c>
      <c r="B12677" s="1" t="n">
        <v>45370</v>
      </c>
      <c r="C12677" s="1" t="n">
        <v>45657</v>
      </c>
      <c r="D12677" t="inlineStr">
        <is>
          <t>VÄSTERNORRLANDS LÄN</t>
        </is>
      </c>
      <c r="E12677" t="inlineStr">
        <is>
          <t>ÖRNSKÖLDSVIK</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11088-2024</t>
        </is>
      </c>
      <c r="B12678" s="1" t="n">
        <v>45370</v>
      </c>
      <c r="C12678" s="1" t="n">
        <v>45657</v>
      </c>
      <c r="D12678" t="inlineStr">
        <is>
          <t>VÄSTERNORRLANDS LÄN</t>
        </is>
      </c>
      <c r="E12678" t="inlineStr">
        <is>
          <t>ÅNGE</t>
        </is>
      </c>
      <c r="F12678" t="inlineStr">
        <is>
          <t>SCA</t>
        </is>
      </c>
      <c r="G12678" t="n">
        <v>9.300000000000001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11089-2024</t>
        </is>
      </c>
      <c r="B12679" s="1" t="n">
        <v>45370</v>
      </c>
      <c r="C12679" s="1" t="n">
        <v>45657</v>
      </c>
      <c r="D12679" t="inlineStr">
        <is>
          <t>VÄSTERNORRLANDS LÄN</t>
        </is>
      </c>
      <c r="E12679" t="inlineStr">
        <is>
          <t>SOLLEFTEÅ</t>
        </is>
      </c>
      <c r="F12679" t="inlineStr">
        <is>
          <t>SCA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11110-2024</t>
        </is>
      </c>
      <c r="B12680" s="1" t="n">
        <v>45371</v>
      </c>
      <c r="C12680" s="1" t="n">
        <v>45657</v>
      </c>
      <c r="D12680" t="inlineStr">
        <is>
          <t>VÄSTERNORRLANDS LÄN</t>
        </is>
      </c>
      <c r="E12680" t="inlineStr">
        <is>
          <t>ÖRNSKÖLDSVIK</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11225-2024</t>
        </is>
      </c>
      <c r="B12681" s="1" t="n">
        <v>45371</v>
      </c>
      <c r="C12681" s="1" t="n">
        <v>45657</v>
      </c>
      <c r="D12681" t="inlineStr">
        <is>
          <t>VÄSTERNORRLANDS LÄN</t>
        </is>
      </c>
      <c r="E12681" t="inlineStr">
        <is>
          <t>KRAMFORS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11314-2024</t>
        </is>
      </c>
      <c r="B12682" s="1" t="n">
        <v>45371</v>
      </c>
      <c r="C12682" s="1" t="n">
        <v>45657</v>
      </c>
      <c r="D12682" t="inlineStr">
        <is>
          <t>VÄSTERNORRLANDS LÄN</t>
        </is>
      </c>
      <c r="E12682" t="inlineStr">
        <is>
          <t>HÄRNÖSAND</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11252-2024</t>
        </is>
      </c>
      <c r="B12683" s="1" t="n">
        <v>45371</v>
      </c>
      <c r="C12683" s="1" t="n">
        <v>45657</v>
      </c>
      <c r="D12683" t="inlineStr">
        <is>
          <t>VÄSTERNORRLANDS LÄN</t>
        </is>
      </c>
      <c r="E12683" t="inlineStr">
        <is>
          <t>ÖRNSKÖLDSVIK</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11308-2024</t>
        </is>
      </c>
      <c r="B12684" s="1" t="n">
        <v>45371</v>
      </c>
      <c r="C12684" s="1" t="n">
        <v>45657</v>
      </c>
      <c r="D12684" t="inlineStr">
        <is>
          <t>VÄSTERNORRLANDS LÄN</t>
        </is>
      </c>
      <c r="E12684" t="inlineStr">
        <is>
          <t>ÖRNSKÖLDSVIK</t>
        </is>
      </c>
      <c r="F12684" t="inlineStr">
        <is>
          <t>Kyrkan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11334-2024</t>
        </is>
      </c>
      <c r="B12685" s="1" t="n">
        <v>45372</v>
      </c>
      <c r="C12685" s="1" t="n">
        <v>45657</v>
      </c>
      <c r="D12685" t="inlineStr">
        <is>
          <t>VÄSTERNORRLANDS LÄN</t>
        </is>
      </c>
      <c r="E12685" t="inlineStr">
        <is>
          <t>SOLLEFTEÅ</t>
        </is>
      </c>
      <c r="F12685" t="inlineStr">
        <is>
          <t>SCA</t>
        </is>
      </c>
      <c r="G12685" t="n">
        <v>11.7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11391-2024</t>
        </is>
      </c>
      <c r="B12686" s="1" t="n">
        <v>45372</v>
      </c>
      <c r="C12686" s="1" t="n">
        <v>45657</v>
      </c>
      <c r="D12686" t="inlineStr">
        <is>
          <t>VÄSTERNORRLANDS LÄN</t>
        </is>
      </c>
      <c r="E12686" t="inlineStr">
        <is>
          <t>ÖRNSKÖLDSVIK</t>
        </is>
      </c>
      <c r="F12686" t="inlineStr">
        <is>
          <t>Holmen skog AB</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11339-2024</t>
        </is>
      </c>
      <c r="B12687" s="1" t="n">
        <v>45372</v>
      </c>
      <c r="C12687" s="1" t="n">
        <v>45657</v>
      </c>
      <c r="D12687" t="inlineStr">
        <is>
          <t>VÄSTERNORRLANDS LÄN</t>
        </is>
      </c>
      <c r="E12687" t="inlineStr">
        <is>
          <t>ÅNGE</t>
        </is>
      </c>
      <c r="F12687" t="inlineStr">
        <is>
          <t>SCA</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11396-2024</t>
        </is>
      </c>
      <c r="B12688" s="1" t="n">
        <v>45372</v>
      </c>
      <c r="C12688" s="1" t="n">
        <v>45657</v>
      </c>
      <c r="D12688" t="inlineStr">
        <is>
          <t>VÄSTERNORRLANDS LÄN</t>
        </is>
      </c>
      <c r="E12688" t="inlineStr">
        <is>
          <t>ÅNGE</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11332-2024</t>
        </is>
      </c>
      <c r="B12689" s="1" t="n">
        <v>45372</v>
      </c>
      <c r="C12689" s="1" t="n">
        <v>45657</v>
      </c>
      <c r="D12689" t="inlineStr">
        <is>
          <t>VÄSTERNORRLANDS LÄN</t>
        </is>
      </c>
      <c r="E12689" t="inlineStr">
        <is>
          <t>SOLLEFTEÅ</t>
        </is>
      </c>
      <c r="F12689" t="inlineStr">
        <is>
          <t>SCA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11333-2024</t>
        </is>
      </c>
      <c r="B12690" s="1" t="n">
        <v>45372</v>
      </c>
      <c r="C12690" s="1" t="n">
        <v>45657</v>
      </c>
      <c r="D12690" t="inlineStr">
        <is>
          <t>VÄSTERNORRLANDS LÄN</t>
        </is>
      </c>
      <c r="E12690" t="inlineStr">
        <is>
          <t>SOLLEFTEÅ</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11390-2024</t>
        </is>
      </c>
      <c r="B12691" s="1" t="n">
        <v>45372</v>
      </c>
      <c r="C12691" s="1" t="n">
        <v>45657</v>
      </c>
      <c r="D12691" t="inlineStr">
        <is>
          <t>VÄSTERNORRLANDS LÄN</t>
        </is>
      </c>
      <c r="E12691" t="inlineStr">
        <is>
          <t>SUNDSVALL</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11394-2024</t>
        </is>
      </c>
      <c r="B12692" s="1" t="n">
        <v>45372</v>
      </c>
      <c r="C12692" s="1" t="n">
        <v>45657</v>
      </c>
      <c r="D12692" t="inlineStr">
        <is>
          <t>VÄSTERNORRLANDS LÄN</t>
        </is>
      </c>
      <c r="E12692" t="inlineStr">
        <is>
          <t>SOLLEFTEÅ</t>
        </is>
      </c>
      <c r="G12692" t="n">
        <v>10.9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11414-2024</t>
        </is>
      </c>
      <c r="B12693" s="1" t="n">
        <v>45372</v>
      </c>
      <c r="C12693" s="1" t="n">
        <v>45657</v>
      </c>
      <c r="D12693" t="inlineStr">
        <is>
          <t>VÄSTERNORRLANDS LÄN</t>
        </is>
      </c>
      <c r="E12693" t="inlineStr">
        <is>
          <t>SUNDSVALL</t>
        </is>
      </c>
      <c r="F12693" t="inlineStr">
        <is>
          <t>Kommuner</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11458-2024</t>
        </is>
      </c>
      <c r="B12694" s="1" t="n">
        <v>45372</v>
      </c>
      <c r="C12694" s="1" t="n">
        <v>45657</v>
      </c>
      <c r="D12694" t="inlineStr">
        <is>
          <t>VÄSTERNORRLANDS LÄN</t>
        </is>
      </c>
      <c r="E12694" t="inlineStr">
        <is>
          <t>ÖRNSKÖLDSVIK</t>
        </is>
      </c>
      <c r="F12694" t="inlineStr">
        <is>
          <t>Holmen skog AB</t>
        </is>
      </c>
      <c r="G12694" t="n">
        <v>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11468-2024</t>
        </is>
      </c>
      <c r="B12695" s="1" t="n">
        <v>45372</v>
      </c>
      <c r="C12695" s="1" t="n">
        <v>45657</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11510-2024</t>
        </is>
      </c>
      <c r="B12696" s="1" t="n">
        <v>45372</v>
      </c>
      <c r="C12696" s="1" t="n">
        <v>45657</v>
      </c>
      <c r="D12696" t="inlineStr">
        <is>
          <t>VÄSTERNORRLANDS LÄN</t>
        </is>
      </c>
      <c r="E12696" t="inlineStr">
        <is>
          <t>ÖRNSKÖLDSVIK</t>
        </is>
      </c>
      <c r="F12696" t="inlineStr">
        <is>
          <t>Holmen skog AB</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11539-2024</t>
        </is>
      </c>
      <c r="B12697" s="1" t="n">
        <v>45372</v>
      </c>
      <c r="C12697" s="1" t="n">
        <v>45657</v>
      </c>
      <c r="D12697" t="inlineStr">
        <is>
          <t>VÄSTERNORRLANDS LÄN</t>
        </is>
      </c>
      <c r="E12697" t="inlineStr">
        <is>
          <t>SOLLEFTEÅ</t>
        </is>
      </c>
      <c r="F12697" t="inlineStr">
        <is>
          <t>SCA</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11548-2024</t>
        </is>
      </c>
      <c r="B12698" s="1" t="n">
        <v>45372</v>
      </c>
      <c r="C12698" s="1" t="n">
        <v>45657</v>
      </c>
      <c r="D12698" t="inlineStr">
        <is>
          <t>VÄSTERNORRLANDS LÄN</t>
        </is>
      </c>
      <c r="E12698" t="inlineStr">
        <is>
          <t>ÅNGE</t>
        </is>
      </c>
      <c r="F12698" t="inlineStr">
        <is>
          <t>SCA</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11556-2024</t>
        </is>
      </c>
      <c r="B12699" s="1" t="n">
        <v>45373</v>
      </c>
      <c r="C12699" s="1" t="n">
        <v>45657</v>
      </c>
      <c r="D12699" t="inlineStr">
        <is>
          <t>VÄSTERNORRLANDS LÄN</t>
        </is>
      </c>
      <c r="E12699" t="inlineStr">
        <is>
          <t>TIMRÅ</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11542-2024</t>
        </is>
      </c>
      <c r="B12700" s="1" t="n">
        <v>45372</v>
      </c>
      <c r="C12700" s="1" t="n">
        <v>45657</v>
      </c>
      <c r="D12700" t="inlineStr">
        <is>
          <t>VÄSTERNORRLANDS LÄN</t>
        </is>
      </c>
      <c r="E12700" t="inlineStr">
        <is>
          <t>SOLLEFTEÅ</t>
        </is>
      </c>
      <c r="F12700" t="inlineStr">
        <is>
          <t>SCA</t>
        </is>
      </c>
      <c r="G12700" t="n">
        <v>13.1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11549-2024</t>
        </is>
      </c>
      <c r="B12701" s="1" t="n">
        <v>45372</v>
      </c>
      <c r="C12701" s="1" t="n">
        <v>45657</v>
      </c>
      <c r="D12701" t="inlineStr">
        <is>
          <t>VÄSTERNORRLANDS LÄN</t>
        </is>
      </c>
      <c r="E12701" t="inlineStr">
        <is>
          <t>SUNDSVALL</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11761-2024</t>
        </is>
      </c>
      <c r="B12702" s="1" t="n">
        <v>45373</v>
      </c>
      <c r="C12702" s="1" t="n">
        <v>45657</v>
      </c>
      <c r="D12702" t="inlineStr">
        <is>
          <t>VÄSTERNORRLANDS LÄN</t>
        </is>
      </c>
      <c r="E12702" t="inlineStr">
        <is>
          <t>SUNDSVALL</t>
        </is>
      </c>
      <c r="F12702" t="inlineStr">
        <is>
          <t>Naturvårdsverket</t>
        </is>
      </c>
      <c r="G12702" t="n">
        <v>15.1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11767-2024</t>
        </is>
      </c>
      <c r="B12703" s="1" t="n">
        <v>45373</v>
      </c>
      <c r="C12703" s="1" t="n">
        <v>45657</v>
      </c>
      <c r="D12703" t="inlineStr">
        <is>
          <t>VÄSTERNORRLANDS LÄN</t>
        </is>
      </c>
      <c r="E12703" t="inlineStr">
        <is>
          <t>SOLLEFTEÅ</t>
        </is>
      </c>
      <c r="F12703" t="inlineStr">
        <is>
          <t>SCA</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11618-2024</t>
        </is>
      </c>
      <c r="B12704" s="1" t="n">
        <v>45373</v>
      </c>
      <c r="C12704" s="1" t="n">
        <v>45657</v>
      </c>
      <c r="D12704" t="inlineStr">
        <is>
          <t>VÄSTERNORRLANDS LÄN</t>
        </is>
      </c>
      <c r="E12704" t="inlineStr">
        <is>
          <t>ÖRNSKÖLDSVIK</t>
        </is>
      </c>
      <c r="F12704" t="inlineStr">
        <is>
          <t>Holmen skog AB</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11749-2024</t>
        </is>
      </c>
      <c r="B12705" s="1" t="n">
        <v>45373</v>
      </c>
      <c r="C12705" s="1" t="n">
        <v>45657</v>
      </c>
      <c r="D12705" t="inlineStr">
        <is>
          <t>VÄSTERNORRLANDS LÄN</t>
        </is>
      </c>
      <c r="E12705" t="inlineStr">
        <is>
          <t>SOLLEFTEÅ</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11689-2024</t>
        </is>
      </c>
      <c r="B12706" s="1" t="n">
        <v>45373</v>
      </c>
      <c r="C12706" s="1" t="n">
        <v>45657</v>
      </c>
      <c r="D12706" t="inlineStr">
        <is>
          <t>VÄSTERNORRLANDS LÄN</t>
        </is>
      </c>
      <c r="E12706" t="inlineStr">
        <is>
          <t>ÖRNSKÖLDSVIK</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11701-2024</t>
        </is>
      </c>
      <c r="B12707" s="1" t="n">
        <v>45373</v>
      </c>
      <c r="C12707" s="1" t="n">
        <v>45657</v>
      </c>
      <c r="D12707" t="inlineStr">
        <is>
          <t>VÄSTERNORRLANDS LÄN</t>
        </is>
      </c>
      <c r="E12707" t="inlineStr">
        <is>
          <t>SUNDSVALL</t>
        </is>
      </c>
      <c r="G12707" t="n">
        <v>10.1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11687-2024</t>
        </is>
      </c>
      <c r="B12708" s="1" t="n">
        <v>45373</v>
      </c>
      <c r="C12708" s="1" t="n">
        <v>45657</v>
      </c>
      <c r="D12708" t="inlineStr">
        <is>
          <t>VÄSTERNORRLANDS LÄN</t>
        </is>
      </c>
      <c r="E12708" t="inlineStr">
        <is>
          <t>ÖRNSKÖLDSVIK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11690-2024</t>
        </is>
      </c>
      <c r="B12709" s="1" t="n">
        <v>45373</v>
      </c>
      <c r="C12709" s="1" t="n">
        <v>45657</v>
      </c>
      <c r="D12709" t="inlineStr">
        <is>
          <t>VÄSTERNORRLANDS LÄN</t>
        </is>
      </c>
      <c r="E12709" t="inlineStr">
        <is>
          <t>ÖRNSKÖLDSVIK</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11606-2024</t>
        </is>
      </c>
      <c r="B12710" s="1" t="n">
        <v>45373</v>
      </c>
      <c r="C12710" s="1" t="n">
        <v>45657</v>
      </c>
      <c r="D12710" t="inlineStr">
        <is>
          <t>VÄSTERNORRLANDS LÄN</t>
        </is>
      </c>
      <c r="E12710" t="inlineStr">
        <is>
          <t>KRAMFORS</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11764-2024</t>
        </is>
      </c>
      <c r="B12711" s="1" t="n">
        <v>45373</v>
      </c>
      <c r="C12711" s="1" t="n">
        <v>45657</v>
      </c>
      <c r="D12711" t="inlineStr">
        <is>
          <t>VÄSTERNORRLANDS LÄN</t>
        </is>
      </c>
      <c r="E12711" t="inlineStr">
        <is>
          <t>ÅNGE</t>
        </is>
      </c>
      <c r="F12711" t="inlineStr">
        <is>
          <t>SCA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11760-2024</t>
        </is>
      </c>
      <c r="B12712" s="1" t="n">
        <v>45373</v>
      </c>
      <c r="C12712" s="1" t="n">
        <v>45657</v>
      </c>
      <c r="D12712" t="inlineStr">
        <is>
          <t>VÄSTERNORRLANDS LÄN</t>
        </is>
      </c>
      <c r="E12712" t="inlineStr">
        <is>
          <t>SUNDSVALL</t>
        </is>
      </c>
      <c r="F12712" t="inlineStr">
        <is>
          <t>SCA</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11756-2024</t>
        </is>
      </c>
      <c r="B12713" s="1" t="n">
        <v>45373</v>
      </c>
      <c r="C12713" s="1" t="n">
        <v>45657</v>
      </c>
      <c r="D12713" t="inlineStr">
        <is>
          <t>VÄSTERNORRLANDS LÄN</t>
        </is>
      </c>
      <c r="E12713" t="inlineStr">
        <is>
          <t>SUNDSVALL</t>
        </is>
      </c>
      <c r="F12713" t="inlineStr">
        <is>
          <t>Naturvårdsverket</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11685-2024</t>
        </is>
      </c>
      <c r="B12714" s="1" t="n">
        <v>45373</v>
      </c>
      <c r="C12714" s="1" t="n">
        <v>45657</v>
      </c>
      <c r="D12714" t="inlineStr">
        <is>
          <t>VÄSTERNORRLANDS LÄN</t>
        </is>
      </c>
      <c r="E12714" t="inlineStr">
        <is>
          <t>SUNDSVALL</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11682-2024</t>
        </is>
      </c>
      <c r="B12715" s="1" t="n">
        <v>45373</v>
      </c>
      <c r="C12715" s="1" t="n">
        <v>45657</v>
      </c>
      <c r="D12715" t="inlineStr">
        <is>
          <t>VÄSTERNORRLANDS LÄN</t>
        </is>
      </c>
      <c r="E12715" t="inlineStr">
        <is>
          <t>SUNDSVALL</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11602-2024</t>
        </is>
      </c>
      <c r="B12716" s="1" t="n">
        <v>45373</v>
      </c>
      <c r="C12716" s="1" t="n">
        <v>45657</v>
      </c>
      <c r="D12716" t="inlineStr">
        <is>
          <t>VÄSTERNORRLANDS LÄN</t>
        </is>
      </c>
      <c r="E12716" t="inlineStr">
        <is>
          <t>KRAMFORS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11804-2024</t>
        </is>
      </c>
      <c r="B12717" s="1" t="n">
        <v>45375</v>
      </c>
      <c r="C12717" s="1" t="n">
        <v>45657</v>
      </c>
      <c r="D12717" t="inlineStr">
        <is>
          <t>VÄSTERNORRLANDS LÄN</t>
        </is>
      </c>
      <c r="E12717" t="inlineStr">
        <is>
          <t>ÖRNSKÖLDSVIK</t>
        </is>
      </c>
      <c r="G12717" t="n">
        <v>0.2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11852-2024</t>
        </is>
      </c>
      <c r="B12718" s="1" t="n">
        <v>45376</v>
      </c>
      <c r="C12718" s="1" t="n">
        <v>45657</v>
      </c>
      <c r="D12718" t="inlineStr">
        <is>
          <t>VÄSTERNORRLANDS LÄN</t>
        </is>
      </c>
      <c r="E12718" t="inlineStr">
        <is>
          <t>HÄRNÖSAND</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11881-2024</t>
        </is>
      </c>
      <c r="B12719" s="1" t="n">
        <v>45376</v>
      </c>
      <c r="C12719" s="1" t="n">
        <v>45657</v>
      </c>
      <c r="D12719" t="inlineStr">
        <is>
          <t>VÄSTERNORRLANDS LÄN</t>
        </is>
      </c>
      <c r="E12719" t="inlineStr">
        <is>
          <t>HÄRNÖSAND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11871-2024</t>
        </is>
      </c>
      <c r="B12720" s="1" t="n">
        <v>45376</v>
      </c>
      <c r="C12720" s="1" t="n">
        <v>45657</v>
      </c>
      <c r="D12720" t="inlineStr">
        <is>
          <t>VÄSTERNORRLANDS LÄN</t>
        </is>
      </c>
      <c r="E12720" t="inlineStr">
        <is>
          <t>HÄRNÖSAND</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11879-2024</t>
        </is>
      </c>
      <c r="B12721" s="1" t="n">
        <v>45376</v>
      </c>
      <c r="C12721" s="1" t="n">
        <v>45657</v>
      </c>
      <c r="D12721" t="inlineStr">
        <is>
          <t>VÄSTERNORRLANDS LÄN</t>
        </is>
      </c>
      <c r="E12721" t="inlineStr">
        <is>
          <t>SUNDSVALL</t>
        </is>
      </c>
      <c r="G12721" t="n">
        <v>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11936-2024</t>
        </is>
      </c>
      <c r="B12722" s="1" t="n">
        <v>45376</v>
      </c>
      <c r="C12722" s="1" t="n">
        <v>45657</v>
      </c>
      <c r="D12722" t="inlineStr">
        <is>
          <t>VÄSTERNORRLANDS LÄN</t>
        </is>
      </c>
      <c r="E12722" t="inlineStr">
        <is>
          <t>ÖRNSKÖLDSVIK</t>
        </is>
      </c>
      <c r="F12722" t="inlineStr">
        <is>
          <t>Holmen skog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11977-2024</t>
        </is>
      </c>
      <c r="B12723" s="1" t="n">
        <v>45376</v>
      </c>
      <c r="C12723" s="1" t="n">
        <v>45657</v>
      </c>
      <c r="D12723" t="inlineStr">
        <is>
          <t>VÄSTERNORRLANDS LÄN</t>
        </is>
      </c>
      <c r="E12723" t="inlineStr">
        <is>
          <t>SUNDSVALL</t>
        </is>
      </c>
      <c r="F12723" t="inlineStr">
        <is>
          <t>SCA</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11981-2024</t>
        </is>
      </c>
      <c r="B12724" s="1" t="n">
        <v>45376</v>
      </c>
      <c r="C12724" s="1" t="n">
        <v>45657</v>
      </c>
      <c r="D12724" t="inlineStr">
        <is>
          <t>VÄSTERNORRLANDS LÄN</t>
        </is>
      </c>
      <c r="E12724" t="inlineStr">
        <is>
          <t>SUNDSVALL</t>
        </is>
      </c>
      <c r="F12724" t="inlineStr">
        <is>
          <t>SCA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11985-2024</t>
        </is>
      </c>
      <c r="B12725" s="1" t="n">
        <v>45376</v>
      </c>
      <c r="C12725" s="1" t="n">
        <v>45657</v>
      </c>
      <c r="D12725" t="inlineStr">
        <is>
          <t>VÄSTERNORRLANDS LÄN</t>
        </is>
      </c>
      <c r="E12725" t="inlineStr">
        <is>
          <t>HÄRNÖSAND</t>
        </is>
      </c>
      <c r="F12725" t="inlineStr">
        <is>
          <t>SCA</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11989-2024</t>
        </is>
      </c>
      <c r="B12726" s="1" t="n">
        <v>45376</v>
      </c>
      <c r="C12726" s="1" t="n">
        <v>45657</v>
      </c>
      <c r="D12726" t="inlineStr">
        <is>
          <t>VÄSTERNORRLANDS LÄN</t>
        </is>
      </c>
      <c r="E12726" t="inlineStr">
        <is>
          <t>SUNDSVALL</t>
        </is>
      </c>
      <c r="F12726" t="inlineStr">
        <is>
          <t>SCA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11979-2024</t>
        </is>
      </c>
      <c r="B12727" s="1" t="n">
        <v>45376</v>
      </c>
      <c r="C12727" s="1" t="n">
        <v>45657</v>
      </c>
      <c r="D12727" t="inlineStr">
        <is>
          <t>VÄSTERNORRLANDS LÄN</t>
        </is>
      </c>
      <c r="E12727" t="inlineStr">
        <is>
          <t>ÖRNSKÖLDSVIK</t>
        </is>
      </c>
      <c r="F12727" t="inlineStr">
        <is>
          <t>SCA</t>
        </is>
      </c>
      <c r="G12727" t="n">
        <v>12.6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11983-2024</t>
        </is>
      </c>
      <c r="B12728" s="1" t="n">
        <v>45376</v>
      </c>
      <c r="C12728" s="1" t="n">
        <v>45657</v>
      </c>
      <c r="D12728" t="inlineStr">
        <is>
          <t>VÄSTERNORRLANDS LÄN</t>
        </is>
      </c>
      <c r="E12728" t="inlineStr">
        <is>
          <t>SUNDSVALL</t>
        </is>
      </c>
      <c r="F12728" t="inlineStr">
        <is>
          <t>SCA</t>
        </is>
      </c>
      <c r="G12728" t="n">
        <v>6.1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11925-2024</t>
        </is>
      </c>
      <c r="B12729" s="1" t="n">
        <v>45376</v>
      </c>
      <c r="C12729" s="1" t="n">
        <v>45657</v>
      </c>
      <c r="D12729" t="inlineStr">
        <is>
          <t>VÄSTERNORRLANDS LÄN</t>
        </is>
      </c>
      <c r="E12729" t="inlineStr">
        <is>
          <t>ÖRNSKÖLDSVIK</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11853-2024</t>
        </is>
      </c>
      <c r="B12730" s="1" t="n">
        <v>45376</v>
      </c>
      <c r="C12730" s="1" t="n">
        <v>45657</v>
      </c>
      <c r="D12730" t="inlineStr">
        <is>
          <t>VÄSTERNORRLANDS LÄN</t>
        </is>
      </c>
      <c r="E12730" t="inlineStr">
        <is>
          <t>ÖRNSKÖLDSVIK</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11861-2024</t>
        </is>
      </c>
      <c r="B12731" s="1" t="n">
        <v>45376</v>
      </c>
      <c r="C12731" s="1" t="n">
        <v>45657</v>
      </c>
      <c r="D12731" t="inlineStr">
        <is>
          <t>VÄSTERNORRLANDS LÄN</t>
        </is>
      </c>
      <c r="E12731" t="inlineStr">
        <is>
          <t>HÄRNÖSAND</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11895-2024</t>
        </is>
      </c>
      <c r="B12732" s="1" t="n">
        <v>45376</v>
      </c>
      <c r="C12732" s="1" t="n">
        <v>45657</v>
      </c>
      <c r="D12732" t="inlineStr">
        <is>
          <t>VÄSTERNORRLANDS LÄN</t>
        </is>
      </c>
      <c r="E12732" t="inlineStr">
        <is>
          <t>HÄRNÖSAND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11903-2024</t>
        </is>
      </c>
      <c r="B12733" s="1" t="n">
        <v>45376</v>
      </c>
      <c r="C12733" s="1" t="n">
        <v>45657</v>
      </c>
      <c r="D12733" t="inlineStr">
        <is>
          <t>VÄSTERNORRLANDS LÄN</t>
        </is>
      </c>
      <c r="E12733" t="inlineStr">
        <is>
          <t>HÄRNÖSAND</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11976-2024</t>
        </is>
      </c>
      <c r="B12734" s="1" t="n">
        <v>45376</v>
      </c>
      <c r="C12734" s="1" t="n">
        <v>45657</v>
      </c>
      <c r="D12734" t="inlineStr">
        <is>
          <t>VÄSTERNORRLANDS LÄN</t>
        </is>
      </c>
      <c r="E12734" t="inlineStr">
        <is>
          <t>SOLLEFTEÅ</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11980-2024</t>
        </is>
      </c>
      <c r="B12735" s="1" t="n">
        <v>45376</v>
      </c>
      <c r="C12735" s="1" t="n">
        <v>45657</v>
      </c>
      <c r="D12735" t="inlineStr">
        <is>
          <t>VÄSTERNORRLANDS LÄN</t>
        </is>
      </c>
      <c r="E12735" t="inlineStr">
        <is>
          <t>SUNDSVALL</t>
        </is>
      </c>
      <c r="F12735" t="inlineStr">
        <is>
          <t>SCA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11988-2024</t>
        </is>
      </c>
      <c r="B12736" s="1" t="n">
        <v>45376</v>
      </c>
      <c r="C12736" s="1" t="n">
        <v>45657</v>
      </c>
      <c r="D12736" t="inlineStr">
        <is>
          <t>VÄSTERNORRLANDS LÄN</t>
        </is>
      </c>
      <c r="E12736" t="inlineStr">
        <is>
          <t>SOLLEFTEÅ</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11994-2024</t>
        </is>
      </c>
      <c r="B12737" s="1" t="n">
        <v>45376</v>
      </c>
      <c r="C12737" s="1" t="n">
        <v>45657</v>
      </c>
      <c r="D12737" t="inlineStr">
        <is>
          <t>VÄSTERNORRLANDS LÄN</t>
        </is>
      </c>
      <c r="E12737" t="inlineStr">
        <is>
          <t>SUNDSVALL</t>
        </is>
      </c>
      <c r="F12737" t="inlineStr">
        <is>
          <t>SCA</t>
        </is>
      </c>
      <c r="G12737" t="n">
        <v>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12101-2024</t>
        </is>
      </c>
      <c r="B12738" s="1" t="n">
        <v>45376</v>
      </c>
      <c r="C12738" s="1" t="n">
        <v>45657</v>
      </c>
      <c r="D12738" t="inlineStr">
        <is>
          <t>VÄSTERNORRLANDS LÄN</t>
        </is>
      </c>
      <c r="E12738" t="inlineStr">
        <is>
          <t>SUNDSVALL</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12123-2024</t>
        </is>
      </c>
      <c r="B12739" s="1" t="n">
        <v>45377</v>
      </c>
      <c r="C12739" s="1" t="n">
        <v>45657</v>
      </c>
      <c r="D12739" t="inlineStr">
        <is>
          <t>VÄSTERNORRLANDS LÄN</t>
        </is>
      </c>
      <c r="E12739" t="inlineStr">
        <is>
          <t>ÅNGE</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12184-2024</t>
        </is>
      </c>
      <c r="B12740" s="1" t="n">
        <v>45377</v>
      </c>
      <c r="C12740" s="1" t="n">
        <v>45657</v>
      </c>
      <c r="D12740" t="inlineStr">
        <is>
          <t>VÄSTERNORRLANDS LÄN</t>
        </is>
      </c>
      <c r="E12740" t="inlineStr">
        <is>
          <t>SOLLEFTEÅ</t>
        </is>
      </c>
      <c r="F12740" t="inlineStr">
        <is>
          <t>SCA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12310-2024</t>
        </is>
      </c>
      <c r="B12741" s="1" t="n">
        <v>45377</v>
      </c>
      <c r="C12741" s="1" t="n">
        <v>45657</v>
      </c>
      <c r="D12741" t="inlineStr">
        <is>
          <t>VÄSTERNORRLANDS LÄN</t>
        </is>
      </c>
      <c r="E12741" t="inlineStr">
        <is>
          <t>SUNDSVALL</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12194-2024</t>
        </is>
      </c>
      <c r="B12742" s="1" t="n">
        <v>45377</v>
      </c>
      <c r="C12742" s="1" t="n">
        <v>45657</v>
      </c>
      <c r="D12742" t="inlineStr">
        <is>
          <t>VÄSTERNORRLANDS LÄN</t>
        </is>
      </c>
      <c r="E12742" t="inlineStr">
        <is>
          <t>SUNDSVALL</t>
        </is>
      </c>
      <c r="F12742" t="inlineStr">
        <is>
          <t>SCA</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12200-2024</t>
        </is>
      </c>
      <c r="B12743" s="1" t="n">
        <v>45377</v>
      </c>
      <c r="C12743" s="1" t="n">
        <v>45657</v>
      </c>
      <c r="D12743" t="inlineStr">
        <is>
          <t>VÄSTERNORRLANDS LÄN</t>
        </is>
      </c>
      <c r="E12743" t="inlineStr">
        <is>
          <t>SUNDSVALL</t>
        </is>
      </c>
      <c r="F12743" t="inlineStr">
        <is>
          <t>SCA</t>
        </is>
      </c>
      <c r="G12743" t="n">
        <v>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12186-2024</t>
        </is>
      </c>
      <c r="B12744" s="1" t="n">
        <v>45377</v>
      </c>
      <c r="C12744" s="1" t="n">
        <v>45657</v>
      </c>
      <c r="D12744" t="inlineStr">
        <is>
          <t>VÄSTERNORRLANDS LÄN</t>
        </is>
      </c>
      <c r="E12744" t="inlineStr">
        <is>
          <t>SOLLEFTEÅ</t>
        </is>
      </c>
      <c r="F12744" t="inlineStr">
        <is>
          <t>SCA</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12182-2024</t>
        </is>
      </c>
      <c r="B12745" s="1" t="n">
        <v>45377</v>
      </c>
      <c r="C12745" s="1" t="n">
        <v>45657</v>
      </c>
      <c r="D12745" t="inlineStr">
        <is>
          <t>VÄSTERNORRLANDS LÄN</t>
        </is>
      </c>
      <c r="E12745" t="inlineStr">
        <is>
          <t>TIMRÅ</t>
        </is>
      </c>
      <c r="F12745" t="inlineStr">
        <is>
          <t>SCA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12138-2024</t>
        </is>
      </c>
      <c r="B12746" s="1" t="n">
        <v>45377</v>
      </c>
      <c r="C12746" s="1" t="n">
        <v>45657</v>
      </c>
      <c r="D12746" t="inlineStr">
        <is>
          <t>VÄSTERNORRLANDS LÄN</t>
        </is>
      </c>
      <c r="E12746" t="inlineStr">
        <is>
          <t>HÄRNÖSAND</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12187-2024</t>
        </is>
      </c>
      <c r="B12747" s="1" t="n">
        <v>45377</v>
      </c>
      <c r="C12747" s="1" t="n">
        <v>45657</v>
      </c>
      <c r="D12747" t="inlineStr">
        <is>
          <t>VÄSTERNORRLANDS LÄN</t>
        </is>
      </c>
      <c r="E12747" t="inlineStr">
        <is>
          <t>SOLLEFTEÅ</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12240-2024</t>
        </is>
      </c>
      <c r="B12748" s="1" t="n">
        <v>45378</v>
      </c>
      <c r="C12748" s="1" t="n">
        <v>45657</v>
      </c>
      <c r="D12748" t="inlineStr">
        <is>
          <t>VÄSTERNORRLANDS LÄN</t>
        </is>
      </c>
      <c r="E12748" t="inlineStr">
        <is>
          <t>KRAMFORS</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12318-2024</t>
        </is>
      </c>
      <c r="B12749" s="1" t="n">
        <v>45378</v>
      </c>
      <c r="C12749" s="1" t="n">
        <v>45657</v>
      </c>
      <c r="D12749" t="inlineStr">
        <is>
          <t>VÄSTERNORRLANDS LÄN</t>
        </is>
      </c>
      <c r="E12749" t="inlineStr">
        <is>
          <t>ÖRNSKÖLDSVIK</t>
        </is>
      </c>
      <c r="F12749" t="inlineStr">
        <is>
          <t>Holmen skog AB</t>
        </is>
      </c>
      <c r="G12749" t="n">
        <v>8.800000000000001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12223-2024</t>
        </is>
      </c>
      <c r="B12750" s="1" t="n">
        <v>45378</v>
      </c>
      <c r="C12750" s="1" t="n">
        <v>45657</v>
      </c>
      <c r="D12750" t="inlineStr">
        <is>
          <t>VÄSTERNORRLANDS LÄN</t>
        </is>
      </c>
      <c r="E12750" t="inlineStr">
        <is>
          <t>KRAMFORS</t>
        </is>
      </c>
      <c r="G12750" t="n">
        <v>35.1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12235-2024</t>
        </is>
      </c>
      <c r="B12751" s="1" t="n">
        <v>45378</v>
      </c>
      <c r="C12751" s="1" t="n">
        <v>45657</v>
      </c>
      <c r="D12751" t="inlineStr">
        <is>
          <t>VÄSTERNORRLANDS LÄN</t>
        </is>
      </c>
      <c r="E12751" t="inlineStr">
        <is>
          <t>KRAMFORS</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12213-2024</t>
        </is>
      </c>
      <c r="B12752" s="1" t="n">
        <v>45378</v>
      </c>
      <c r="C12752" s="1" t="n">
        <v>45657</v>
      </c>
      <c r="D12752" t="inlineStr">
        <is>
          <t>VÄSTERNORRLANDS LÄN</t>
        </is>
      </c>
      <c r="E12752" t="inlineStr">
        <is>
          <t>ÖRNSKÖLDSVIK</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12354-2024</t>
        </is>
      </c>
      <c r="B12753" s="1" t="n">
        <v>45378</v>
      </c>
      <c r="C12753" s="1" t="n">
        <v>45657</v>
      </c>
      <c r="D12753" t="inlineStr">
        <is>
          <t>VÄSTERNORRLANDS LÄN</t>
        </is>
      </c>
      <c r="E12753" t="inlineStr">
        <is>
          <t>SOLLEFTEÅ</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12365-2024</t>
        </is>
      </c>
      <c r="B12754" s="1" t="n">
        <v>45378</v>
      </c>
      <c r="C12754" s="1" t="n">
        <v>45657</v>
      </c>
      <c r="D12754" t="inlineStr">
        <is>
          <t>VÄSTERNORRLANDS LÄN</t>
        </is>
      </c>
      <c r="E12754" t="inlineStr">
        <is>
          <t>SUNDSVALL</t>
        </is>
      </c>
      <c r="F12754" t="inlineStr">
        <is>
          <t>SCA</t>
        </is>
      </c>
      <c r="G12754" t="n">
        <v>18.3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12368-2024</t>
        </is>
      </c>
      <c r="B12755" s="1" t="n">
        <v>45378</v>
      </c>
      <c r="C12755" s="1" t="n">
        <v>45657</v>
      </c>
      <c r="D12755" t="inlineStr">
        <is>
          <t>VÄSTERNORRLANDS LÄN</t>
        </is>
      </c>
      <c r="E12755" t="inlineStr">
        <is>
          <t>SOLLEFTEÅ</t>
        </is>
      </c>
      <c r="F12755" t="inlineStr">
        <is>
          <t>SCA</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12438-2024</t>
        </is>
      </c>
      <c r="B12756" s="1" t="n">
        <v>45378</v>
      </c>
      <c r="C12756" s="1" t="n">
        <v>45657</v>
      </c>
      <c r="D12756" t="inlineStr">
        <is>
          <t>VÄSTERNORRLANDS LÄN</t>
        </is>
      </c>
      <c r="E12756" t="inlineStr">
        <is>
          <t>SUNDSVALL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12351-2024</t>
        </is>
      </c>
      <c r="B12757" s="1" t="n">
        <v>45378</v>
      </c>
      <c r="C12757" s="1" t="n">
        <v>45657</v>
      </c>
      <c r="D12757" t="inlineStr">
        <is>
          <t>VÄSTERNORRLANDS LÄN</t>
        </is>
      </c>
      <c r="E12757" t="inlineStr">
        <is>
          <t>SOLLEFTEÅ</t>
        </is>
      </c>
      <c r="G12757" t="n">
        <v>23.9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12355-2024</t>
        </is>
      </c>
      <c r="B12758" s="1" t="n">
        <v>45378</v>
      </c>
      <c r="C12758" s="1" t="n">
        <v>45657</v>
      </c>
      <c r="D12758" t="inlineStr">
        <is>
          <t>VÄSTERNORRLANDS LÄN</t>
        </is>
      </c>
      <c r="E12758" t="inlineStr">
        <is>
          <t>SOLLEFTEÅ</t>
        </is>
      </c>
      <c r="F12758" t="inlineStr">
        <is>
          <t>SCA</t>
        </is>
      </c>
      <c r="G12758" t="n">
        <v>10.5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12363-2024</t>
        </is>
      </c>
      <c r="B12759" s="1" t="n">
        <v>45378</v>
      </c>
      <c r="C12759" s="1" t="n">
        <v>45657</v>
      </c>
      <c r="D12759" t="inlineStr">
        <is>
          <t>VÄSTERNORRLANDS LÄN</t>
        </is>
      </c>
      <c r="E12759" t="inlineStr">
        <is>
          <t>SOLLEFTEÅ</t>
        </is>
      </c>
      <c r="F12759" t="inlineStr">
        <is>
          <t>SCA</t>
        </is>
      </c>
      <c r="G12759" t="n">
        <v>16.3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12367-2024</t>
        </is>
      </c>
      <c r="B12760" s="1" t="n">
        <v>45378</v>
      </c>
      <c r="C12760" s="1" t="n">
        <v>45657</v>
      </c>
      <c r="D12760" t="inlineStr">
        <is>
          <t>VÄSTERNORRLANDS LÄN</t>
        </is>
      </c>
      <c r="E12760" t="inlineStr">
        <is>
          <t>SUNDSVALL</t>
        </is>
      </c>
      <c r="F12760" t="inlineStr">
        <is>
          <t>SCA</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12366-2024</t>
        </is>
      </c>
      <c r="B12761" s="1" t="n">
        <v>45378</v>
      </c>
      <c r="C12761" s="1" t="n">
        <v>45657</v>
      </c>
      <c r="D12761" t="inlineStr">
        <is>
          <t>VÄSTERNORRLANDS LÄN</t>
        </is>
      </c>
      <c r="E12761" t="inlineStr">
        <is>
          <t>SUNDSVALL</t>
        </is>
      </c>
      <c r="F12761" t="inlineStr">
        <is>
          <t>SCA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12561-2024</t>
        </is>
      </c>
      <c r="B12762" s="1" t="n">
        <v>45379</v>
      </c>
      <c r="C12762" s="1" t="n">
        <v>45657</v>
      </c>
      <c r="D12762" t="inlineStr">
        <is>
          <t>VÄSTERNORRLANDS LÄN</t>
        </is>
      </c>
      <c r="E12762" t="inlineStr">
        <is>
          <t>KRAMFORS</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12565-2024</t>
        </is>
      </c>
      <c r="B12763" s="1" t="n">
        <v>45379</v>
      </c>
      <c r="C12763" s="1" t="n">
        <v>45657</v>
      </c>
      <c r="D12763" t="inlineStr">
        <is>
          <t>VÄSTERNORRLANDS LÄN</t>
        </is>
      </c>
      <c r="E12763" t="inlineStr">
        <is>
          <t>KRAMFORS</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12477-2024</t>
        </is>
      </c>
      <c r="B12764" s="1" t="n">
        <v>45379</v>
      </c>
      <c r="C12764" s="1" t="n">
        <v>45657</v>
      </c>
      <c r="D12764" t="inlineStr">
        <is>
          <t>VÄSTERNORRLANDS LÄN</t>
        </is>
      </c>
      <c r="E12764" t="inlineStr">
        <is>
          <t>ÖRNSKÖLDSVIK</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12475-2024</t>
        </is>
      </c>
      <c r="B12765" s="1" t="n">
        <v>45379</v>
      </c>
      <c r="C12765" s="1" t="n">
        <v>45657</v>
      </c>
      <c r="D12765" t="inlineStr">
        <is>
          <t>VÄSTERNORRLANDS LÄN</t>
        </is>
      </c>
      <c r="E12765" t="inlineStr">
        <is>
          <t>ÖRNSKÖLDSVIK</t>
        </is>
      </c>
      <c r="G12765" t="n">
        <v>10.9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12590-2024</t>
        </is>
      </c>
      <c r="B12766" s="1" t="n">
        <v>45379</v>
      </c>
      <c r="C12766" s="1" t="n">
        <v>45657</v>
      </c>
      <c r="D12766" t="inlineStr">
        <is>
          <t>VÄSTERNORRLANDS LÄN</t>
        </is>
      </c>
      <c r="E12766" t="inlineStr">
        <is>
          <t>SOLLEFTEÅ</t>
        </is>
      </c>
      <c r="F12766" t="inlineStr">
        <is>
          <t>SCA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12582-2024</t>
        </is>
      </c>
      <c r="B12767" s="1" t="n">
        <v>45379</v>
      </c>
      <c r="C12767" s="1" t="n">
        <v>45657</v>
      </c>
      <c r="D12767" t="inlineStr">
        <is>
          <t>VÄSTERNORRLANDS LÄN</t>
        </is>
      </c>
      <c r="E12767" t="inlineStr">
        <is>
          <t>SOLLEFTEÅ</t>
        </is>
      </c>
      <c r="F12767" t="inlineStr">
        <is>
          <t>SCA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12564-2024</t>
        </is>
      </c>
      <c r="B12768" s="1" t="n">
        <v>45379</v>
      </c>
      <c r="C12768" s="1" t="n">
        <v>45657</v>
      </c>
      <c r="D12768" t="inlineStr">
        <is>
          <t>VÄSTERNORRLANDS LÄN</t>
        </is>
      </c>
      <c r="E12768" t="inlineStr">
        <is>
          <t>KRAMFORS</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12581-2024</t>
        </is>
      </c>
      <c r="B12769" s="1" t="n">
        <v>45379</v>
      </c>
      <c r="C12769" s="1" t="n">
        <v>45657</v>
      </c>
      <c r="D12769" t="inlineStr">
        <is>
          <t>VÄSTERNORRLANDS LÄN</t>
        </is>
      </c>
      <c r="E12769" t="inlineStr">
        <is>
          <t>ÅNGE</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12682-2024</t>
        </is>
      </c>
      <c r="B12770" s="1" t="n">
        <v>45384</v>
      </c>
      <c r="C12770" s="1" t="n">
        <v>45657</v>
      </c>
      <c r="D12770" t="inlineStr">
        <is>
          <t>VÄSTERNORRLANDS LÄN</t>
        </is>
      </c>
      <c r="E12770" t="inlineStr">
        <is>
          <t>ÖRNSKÖLDSVIK</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12713-2024</t>
        </is>
      </c>
      <c r="B12771" s="1" t="n">
        <v>45384</v>
      </c>
      <c r="C12771" s="1" t="n">
        <v>45657</v>
      </c>
      <c r="D12771" t="inlineStr">
        <is>
          <t>VÄSTERNORRLANDS LÄN</t>
        </is>
      </c>
      <c r="E12771" t="inlineStr">
        <is>
          <t>ÖRNSKÖLDSVIK</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12742-2024</t>
        </is>
      </c>
      <c r="B12772" s="1" t="n">
        <v>45384</v>
      </c>
      <c r="C12772" s="1" t="n">
        <v>45657</v>
      </c>
      <c r="D12772" t="inlineStr">
        <is>
          <t>VÄSTERNORRLANDS LÄN</t>
        </is>
      </c>
      <c r="E12772" t="inlineStr">
        <is>
          <t>SUNDSVALL</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12803-2024</t>
        </is>
      </c>
      <c r="B12773" s="1" t="n">
        <v>45384</v>
      </c>
      <c r="C12773" s="1" t="n">
        <v>45657</v>
      </c>
      <c r="D12773" t="inlineStr">
        <is>
          <t>VÄSTERNORRLANDS LÄN</t>
        </is>
      </c>
      <c r="E12773" t="inlineStr">
        <is>
          <t>SUNDSVALL</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12791-2024</t>
        </is>
      </c>
      <c r="B12774" s="1" t="n">
        <v>45384</v>
      </c>
      <c r="C12774" s="1" t="n">
        <v>45657</v>
      </c>
      <c r="D12774" t="inlineStr">
        <is>
          <t>VÄSTERNORRLANDS LÄN</t>
        </is>
      </c>
      <c r="E12774" t="inlineStr">
        <is>
          <t>HÄRNÖSAND</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12794-2024</t>
        </is>
      </c>
      <c r="B12775" s="1" t="n">
        <v>45384</v>
      </c>
      <c r="C12775" s="1" t="n">
        <v>45657</v>
      </c>
      <c r="D12775" t="inlineStr">
        <is>
          <t>VÄSTERNORRLANDS LÄN</t>
        </is>
      </c>
      <c r="E12775" t="inlineStr">
        <is>
          <t>ÅNGE</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12839-2024</t>
        </is>
      </c>
      <c r="B12776" s="1" t="n">
        <v>45384</v>
      </c>
      <c r="C12776" s="1" t="n">
        <v>45657</v>
      </c>
      <c r="D12776" t="inlineStr">
        <is>
          <t>VÄSTERNORRLANDS LÄN</t>
        </is>
      </c>
      <c r="E12776" t="inlineStr">
        <is>
          <t>ÖRNSKÖLDSVIK</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12865-2024</t>
        </is>
      </c>
      <c r="B12777" s="1" t="n">
        <v>45384</v>
      </c>
      <c r="C12777" s="1" t="n">
        <v>45657</v>
      </c>
      <c r="D12777" t="inlineStr">
        <is>
          <t>VÄSTERNORRLANDS LÄN</t>
        </is>
      </c>
      <c r="E12777" t="inlineStr">
        <is>
          <t>SOLLEFTEÅ</t>
        </is>
      </c>
      <c r="F12777" t="inlineStr">
        <is>
          <t>SCA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12873-2024</t>
        </is>
      </c>
      <c r="B12778" s="1" t="n">
        <v>45384</v>
      </c>
      <c r="C12778" s="1" t="n">
        <v>45657</v>
      </c>
      <c r="D12778" t="inlineStr">
        <is>
          <t>VÄSTERNORRLANDS LÄN</t>
        </is>
      </c>
      <c r="E12778" t="inlineStr">
        <is>
          <t>TIMRÅ</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12871-2024</t>
        </is>
      </c>
      <c r="B12779" s="1" t="n">
        <v>45385</v>
      </c>
      <c r="C12779" s="1" t="n">
        <v>45657</v>
      </c>
      <c r="D12779" t="inlineStr">
        <is>
          <t>VÄSTERNORRLANDS LÄN</t>
        </is>
      </c>
      <c r="E12779" t="inlineStr">
        <is>
          <t>SUNDSVALL</t>
        </is>
      </c>
      <c r="F12779" t="inlineStr">
        <is>
          <t>Naturvårdsverket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12872-2024</t>
        </is>
      </c>
      <c r="B12780" s="1" t="n">
        <v>45385</v>
      </c>
      <c r="C12780" s="1" t="n">
        <v>45657</v>
      </c>
      <c r="D12780" t="inlineStr">
        <is>
          <t>VÄSTERNORRLANDS LÄN</t>
        </is>
      </c>
      <c r="E12780" t="inlineStr">
        <is>
          <t>SUNDSVALL</t>
        </is>
      </c>
      <c r="F12780" t="inlineStr">
        <is>
          <t>Naturvårdsverket</t>
        </is>
      </c>
      <c r="G12780" t="n">
        <v>11.4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12838-2024</t>
        </is>
      </c>
      <c r="B12781" s="1" t="n">
        <v>45384</v>
      </c>
      <c r="C12781" s="1" t="n">
        <v>45657</v>
      </c>
      <c r="D12781" t="inlineStr">
        <is>
          <t>VÄSTERNORRLANDS LÄN</t>
        </is>
      </c>
      <c r="E12781" t="inlineStr">
        <is>
          <t>ÖRNSKÖLDSVIK</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12870-2024</t>
        </is>
      </c>
      <c r="B12782" s="1" t="n">
        <v>45384</v>
      </c>
      <c r="C12782" s="1" t="n">
        <v>45657</v>
      </c>
      <c r="D12782" t="inlineStr">
        <is>
          <t>VÄSTERNORRLANDS LÄN</t>
        </is>
      </c>
      <c r="E12782" t="inlineStr">
        <is>
          <t>HÄRNÖSAND</t>
        </is>
      </c>
      <c r="F12782" t="inlineStr">
        <is>
          <t>SCA</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13088-2024</t>
        </is>
      </c>
      <c r="B12783" s="1" t="n">
        <v>45385</v>
      </c>
      <c r="C12783" s="1" t="n">
        <v>45657</v>
      </c>
      <c r="D12783" t="inlineStr">
        <is>
          <t>VÄSTERNORRLANDS LÄN</t>
        </is>
      </c>
      <c r="E12783" t="inlineStr">
        <is>
          <t>ÅNGE</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13096-2024</t>
        </is>
      </c>
      <c r="B12784" s="1" t="n">
        <v>45385</v>
      </c>
      <c r="C12784" s="1" t="n">
        <v>45657</v>
      </c>
      <c r="D12784" t="inlineStr">
        <is>
          <t>VÄSTERNORRLANDS LÄN</t>
        </is>
      </c>
      <c r="E12784" t="inlineStr">
        <is>
          <t>ÅNGE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13091-2024</t>
        </is>
      </c>
      <c r="B12785" s="1" t="n">
        <v>45385</v>
      </c>
      <c r="C12785" s="1" t="n">
        <v>45657</v>
      </c>
      <c r="D12785" t="inlineStr">
        <is>
          <t>VÄSTERNORRLANDS LÄN</t>
        </is>
      </c>
      <c r="E12785" t="inlineStr">
        <is>
          <t>ÅNGE</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13056-2024</t>
        </is>
      </c>
      <c r="B12786" s="1" t="n">
        <v>45385</v>
      </c>
      <c r="C12786" s="1" t="n">
        <v>45657</v>
      </c>
      <c r="D12786" t="inlineStr">
        <is>
          <t>VÄSTERNORRLANDS LÄN</t>
        </is>
      </c>
      <c r="E12786" t="inlineStr">
        <is>
          <t>ÅNGE</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13101-2024</t>
        </is>
      </c>
      <c r="B12787" s="1" t="n">
        <v>45385</v>
      </c>
      <c r="C12787" s="1" t="n">
        <v>45657</v>
      </c>
      <c r="D12787" t="inlineStr">
        <is>
          <t>VÄSTERNORRLANDS LÄN</t>
        </is>
      </c>
      <c r="E12787" t="inlineStr">
        <is>
          <t>ÅNGE</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13127-2024</t>
        </is>
      </c>
      <c r="B12788" s="1" t="n">
        <v>45385</v>
      </c>
      <c r="C12788" s="1" t="n">
        <v>45657</v>
      </c>
      <c r="D12788" t="inlineStr">
        <is>
          <t>VÄSTERNORRLANDS LÄN</t>
        </is>
      </c>
      <c r="E12788" t="inlineStr">
        <is>
          <t>SUNDSVALL</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13128-2024</t>
        </is>
      </c>
      <c r="B12789" s="1" t="n">
        <v>45386</v>
      </c>
      <c r="C12789" s="1" t="n">
        <v>45657</v>
      </c>
      <c r="D12789" t="inlineStr">
        <is>
          <t>VÄSTERNORRLANDS LÄN</t>
        </is>
      </c>
      <c r="E12789" t="inlineStr">
        <is>
          <t>ÅNGE</t>
        </is>
      </c>
      <c r="F12789" t="inlineStr">
        <is>
          <t>SCA</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13234-2024</t>
        </is>
      </c>
      <c r="B12790" s="1" t="n">
        <v>45386</v>
      </c>
      <c r="C12790" s="1" t="n">
        <v>45657</v>
      </c>
      <c r="D12790" t="inlineStr">
        <is>
          <t>VÄSTERNORRLANDS LÄN</t>
        </is>
      </c>
      <c r="E12790" t="inlineStr">
        <is>
          <t>SUNDSVALL</t>
        </is>
      </c>
      <c r="F12790" t="inlineStr">
        <is>
          <t>Kommuner</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13248-2024</t>
        </is>
      </c>
      <c r="B12791" s="1" t="n">
        <v>45386</v>
      </c>
      <c r="C12791" s="1" t="n">
        <v>45657</v>
      </c>
      <c r="D12791" t="inlineStr">
        <is>
          <t>VÄSTERNORRLANDS LÄN</t>
        </is>
      </c>
      <c r="E12791" t="inlineStr">
        <is>
          <t>ÖRNSKÖLDSVIK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13333-2024</t>
        </is>
      </c>
      <c r="B12792" s="1" t="n">
        <v>45386</v>
      </c>
      <c r="C12792" s="1" t="n">
        <v>45657</v>
      </c>
      <c r="D12792" t="inlineStr">
        <is>
          <t>VÄSTERNORRLANDS LÄN</t>
        </is>
      </c>
      <c r="E12792" t="inlineStr">
        <is>
          <t>KRAMFORS</t>
        </is>
      </c>
      <c r="F12792" t="inlineStr">
        <is>
          <t>Kommuner</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13341-2024</t>
        </is>
      </c>
      <c r="B12793" s="1" t="n">
        <v>45387</v>
      </c>
      <c r="C12793" s="1" t="n">
        <v>45657</v>
      </c>
      <c r="D12793" t="inlineStr">
        <is>
          <t>VÄSTERNORRLANDS LÄN</t>
        </is>
      </c>
      <c r="E12793" t="inlineStr">
        <is>
          <t>TIMRÅ</t>
        </is>
      </c>
      <c r="F12793" t="inlineStr">
        <is>
          <t>SCA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13343-2024</t>
        </is>
      </c>
      <c r="B12794" s="1" t="n">
        <v>45387</v>
      </c>
      <c r="C12794" s="1" t="n">
        <v>45657</v>
      </c>
      <c r="D12794" t="inlineStr">
        <is>
          <t>VÄSTERNORRLANDS LÄN</t>
        </is>
      </c>
      <c r="E12794" t="inlineStr">
        <is>
          <t>TIMRÅ</t>
        </is>
      </c>
      <c r="F12794" t="inlineStr">
        <is>
          <t>SCA</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13347-2024</t>
        </is>
      </c>
      <c r="B12795" s="1" t="n">
        <v>45386</v>
      </c>
      <c r="C12795" s="1" t="n">
        <v>45657</v>
      </c>
      <c r="D12795" t="inlineStr">
        <is>
          <t>VÄSTERNORRLANDS LÄN</t>
        </is>
      </c>
      <c r="E12795" t="inlineStr">
        <is>
          <t>SUNDSVALL</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13138-2024</t>
        </is>
      </c>
      <c r="B12796" s="1" t="n">
        <v>45386</v>
      </c>
      <c r="C12796" s="1" t="n">
        <v>45657</v>
      </c>
      <c r="D12796" t="inlineStr">
        <is>
          <t>VÄSTERNORRLANDS LÄN</t>
        </is>
      </c>
      <c r="E12796" t="inlineStr">
        <is>
          <t>SOLLEFTEÅ</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13154-2024</t>
        </is>
      </c>
      <c r="B12797" s="1" t="n">
        <v>45386</v>
      </c>
      <c r="C12797" s="1" t="n">
        <v>45657</v>
      </c>
      <c r="D12797" t="inlineStr">
        <is>
          <t>VÄSTERNORRLANDS LÄN</t>
        </is>
      </c>
      <c r="E12797" t="inlineStr">
        <is>
          <t>SOLLEFTEÅ</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13546-2024</t>
        </is>
      </c>
      <c r="B12798" s="1" t="n">
        <v>45388</v>
      </c>
      <c r="C12798" s="1" t="n">
        <v>45657</v>
      </c>
      <c r="D12798" t="inlineStr">
        <is>
          <t>VÄSTERNORRLANDS LÄN</t>
        </is>
      </c>
      <c r="E12798" t="inlineStr">
        <is>
          <t>SOLLEFTEÅ</t>
        </is>
      </c>
      <c r="F12798" t="inlineStr">
        <is>
          <t>SCA</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13718-2024</t>
        </is>
      </c>
      <c r="B12799" s="1" t="n">
        <v>45387</v>
      </c>
      <c r="C12799" s="1" t="n">
        <v>45657</v>
      </c>
      <c r="D12799" t="inlineStr">
        <is>
          <t>VÄSTERNORRLANDS LÄN</t>
        </is>
      </c>
      <c r="E12799" t="inlineStr">
        <is>
          <t>ÖRNSKÖLDSVIK</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13550-2024</t>
        </is>
      </c>
      <c r="B12800" s="1" t="n">
        <v>45388</v>
      </c>
      <c r="C12800" s="1" t="n">
        <v>45657</v>
      </c>
      <c r="D12800" t="inlineStr">
        <is>
          <t>VÄSTERNORRLANDS LÄN</t>
        </is>
      </c>
      <c r="E12800" t="inlineStr">
        <is>
          <t>SUNDSVALL</t>
        </is>
      </c>
      <c r="F12800" t="inlineStr">
        <is>
          <t>SCA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13539-2024</t>
        </is>
      </c>
      <c r="B12801" s="1" t="n">
        <v>45388</v>
      </c>
      <c r="C12801" s="1" t="n">
        <v>45657</v>
      </c>
      <c r="D12801" t="inlineStr">
        <is>
          <t>VÄSTERNORRLANDS LÄN</t>
        </is>
      </c>
      <c r="E12801" t="inlineStr">
        <is>
          <t>SOLLEFTEÅ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13720-2024</t>
        </is>
      </c>
      <c r="B12802" s="1" t="n">
        <v>45387</v>
      </c>
      <c r="C12802" s="1" t="n">
        <v>45657</v>
      </c>
      <c r="D12802" t="inlineStr">
        <is>
          <t>VÄSTERNORRLANDS LÄN</t>
        </is>
      </c>
      <c r="E12802" t="inlineStr">
        <is>
          <t>ÖRNSKÖLDSVIK</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13360-2024</t>
        </is>
      </c>
      <c r="B12803" s="1" t="n">
        <v>45387</v>
      </c>
      <c r="C12803" s="1" t="n">
        <v>45657</v>
      </c>
      <c r="D12803" t="inlineStr">
        <is>
          <t>VÄSTERNORRLANDS LÄN</t>
        </is>
      </c>
      <c r="E12803" t="inlineStr">
        <is>
          <t>SUNDSVALL</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13722-2024</t>
        </is>
      </c>
      <c r="B12804" s="1" t="n">
        <v>45387</v>
      </c>
      <c r="C12804" s="1" t="n">
        <v>45657</v>
      </c>
      <c r="D12804" t="inlineStr">
        <is>
          <t>VÄSTERNORRLANDS LÄN</t>
        </is>
      </c>
      <c r="E12804" t="inlineStr">
        <is>
          <t>SUNDSVALL</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13709-2024</t>
        </is>
      </c>
      <c r="B12805" s="1" t="n">
        <v>45387</v>
      </c>
      <c r="C12805" s="1" t="n">
        <v>45657</v>
      </c>
      <c r="D12805" t="inlineStr">
        <is>
          <t>VÄSTERNORRLANDS LÄN</t>
        </is>
      </c>
      <c r="E12805" t="inlineStr">
        <is>
          <t>ÖRNSKÖLDSVIK</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13555-2024</t>
        </is>
      </c>
      <c r="B12806" s="1" t="n">
        <v>45388</v>
      </c>
      <c r="C12806" s="1" t="n">
        <v>45657</v>
      </c>
      <c r="D12806" t="inlineStr">
        <is>
          <t>VÄSTERNORRLANDS LÄN</t>
        </is>
      </c>
      <c r="E12806" t="inlineStr">
        <is>
          <t>SUNDSVALL</t>
        </is>
      </c>
      <c r="F12806" t="inlineStr">
        <is>
          <t>SCA</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13551-2024</t>
        </is>
      </c>
      <c r="B12807" s="1" t="n">
        <v>45388</v>
      </c>
      <c r="C12807" s="1" t="n">
        <v>45657</v>
      </c>
      <c r="D12807" t="inlineStr">
        <is>
          <t>VÄSTERNORRLANDS LÄN</t>
        </is>
      </c>
      <c r="E12807" t="inlineStr">
        <is>
          <t>SUNDSVALL</t>
        </is>
      </c>
      <c r="F12807" t="inlineStr">
        <is>
          <t>SCA</t>
        </is>
      </c>
      <c r="G12807" t="n">
        <v>7.1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13421-2024</t>
        </is>
      </c>
      <c r="B12808" s="1" t="n">
        <v>45387</v>
      </c>
      <c r="C12808" s="1" t="n">
        <v>45657</v>
      </c>
      <c r="D12808" t="inlineStr">
        <is>
          <t>VÄSTERNORRLANDS LÄN</t>
        </is>
      </c>
      <c r="E12808" t="inlineStr">
        <is>
          <t>SUNDSVALL</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13353-2024</t>
        </is>
      </c>
      <c r="B12809" s="1" t="n">
        <v>45387</v>
      </c>
      <c r="C12809" s="1" t="n">
        <v>45657</v>
      </c>
      <c r="D12809" t="inlineStr">
        <is>
          <t>VÄSTERNORRLANDS LÄN</t>
        </is>
      </c>
      <c r="E12809" t="inlineStr">
        <is>
          <t>SUNDSVALL</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13605-2024</t>
        </is>
      </c>
      <c r="B12810" s="1" t="n">
        <v>45390</v>
      </c>
      <c r="C12810" s="1" t="n">
        <v>45657</v>
      </c>
      <c r="D12810" t="inlineStr">
        <is>
          <t>VÄSTERNORRLANDS LÄN</t>
        </is>
      </c>
      <c r="E12810" t="inlineStr">
        <is>
          <t>HÄRNÖSAND</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13674-2024</t>
        </is>
      </c>
      <c r="B12811" s="1" t="n">
        <v>45390</v>
      </c>
      <c r="C12811" s="1" t="n">
        <v>45657</v>
      </c>
      <c r="D12811" t="inlineStr">
        <is>
          <t>VÄSTERNORRLANDS LÄN</t>
        </is>
      </c>
      <c r="E12811" t="inlineStr">
        <is>
          <t>SUNDSVALL</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13604-2024</t>
        </is>
      </c>
      <c r="B12812" s="1" t="n">
        <v>45390</v>
      </c>
      <c r="C12812" s="1" t="n">
        <v>45657</v>
      </c>
      <c r="D12812" t="inlineStr">
        <is>
          <t>VÄSTERNORRLANDS LÄN</t>
        </is>
      </c>
      <c r="E12812" t="inlineStr">
        <is>
          <t>HÄRNÖSAND</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13759-2024</t>
        </is>
      </c>
      <c r="B12813" s="1" t="n">
        <v>45390</v>
      </c>
      <c r="C12813" s="1" t="n">
        <v>45657</v>
      </c>
      <c r="D12813" t="inlineStr">
        <is>
          <t>VÄSTERNORRLANDS LÄN</t>
        </is>
      </c>
      <c r="E12813" t="inlineStr">
        <is>
          <t>ÅNGE</t>
        </is>
      </c>
      <c r="F12813" t="inlineStr">
        <is>
          <t>SCA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13763-2024</t>
        </is>
      </c>
      <c r="B12814" s="1" t="n">
        <v>45390</v>
      </c>
      <c r="C12814" s="1" t="n">
        <v>45657</v>
      </c>
      <c r="D12814" t="inlineStr">
        <is>
          <t>VÄSTERNORRLANDS LÄN</t>
        </is>
      </c>
      <c r="E12814" t="inlineStr">
        <is>
          <t>TIMRÅ</t>
        </is>
      </c>
      <c r="F12814" t="inlineStr">
        <is>
          <t>SCA</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13761-2024</t>
        </is>
      </c>
      <c r="B12815" s="1" t="n">
        <v>45390</v>
      </c>
      <c r="C12815" s="1" t="n">
        <v>45657</v>
      </c>
      <c r="D12815" t="inlineStr">
        <is>
          <t>VÄSTERNORRLANDS LÄN</t>
        </is>
      </c>
      <c r="E12815" t="inlineStr">
        <is>
          <t>ÅNGE</t>
        </is>
      </c>
      <c r="F12815" t="inlineStr">
        <is>
          <t>SCA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13765-2024</t>
        </is>
      </c>
      <c r="B12816" s="1" t="n">
        <v>45390</v>
      </c>
      <c r="C12816" s="1" t="n">
        <v>45657</v>
      </c>
      <c r="D12816" t="inlineStr">
        <is>
          <t>VÄSTERNORRLANDS LÄN</t>
        </is>
      </c>
      <c r="E12816" t="inlineStr">
        <is>
          <t>ÅNGE</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13769-2024</t>
        </is>
      </c>
      <c r="B12817" s="1" t="n">
        <v>45390</v>
      </c>
      <c r="C12817" s="1" t="n">
        <v>45657</v>
      </c>
      <c r="D12817" t="inlineStr">
        <is>
          <t>VÄSTERNORRLANDS LÄN</t>
        </is>
      </c>
      <c r="E12817" t="inlineStr">
        <is>
          <t>ÅNGE</t>
        </is>
      </c>
      <c r="F12817" t="inlineStr">
        <is>
          <t>SCA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13773-2024</t>
        </is>
      </c>
      <c r="B12818" s="1" t="n">
        <v>45391</v>
      </c>
      <c r="C12818" s="1" t="n">
        <v>45657</v>
      </c>
      <c r="D12818" t="inlineStr">
        <is>
          <t>VÄSTERNORRLANDS LÄN</t>
        </is>
      </c>
      <c r="E12818" t="inlineStr">
        <is>
          <t>ÅNGE</t>
        </is>
      </c>
      <c r="F12818" t="inlineStr">
        <is>
          <t>SCA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13760-2024</t>
        </is>
      </c>
      <c r="B12819" s="1" t="n">
        <v>45390</v>
      </c>
      <c r="C12819" s="1" t="n">
        <v>45657</v>
      </c>
      <c r="D12819" t="inlineStr">
        <is>
          <t>VÄSTERNORRLANDS LÄN</t>
        </is>
      </c>
      <c r="E12819" t="inlineStr">
        <is>
          <t>ÅNGE</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13764-2024</t>
        </is>
      </c>
      <c r="B12820" s="1" t="n">
        <v>45390</v>
      </c>
      <c r="C12820" s="1" t="n">
        <v>45657</v>
      </c>
      <c r="D12820" t="inlineStr">
        <is>
          <t>VÄSTERNORRLANDS LÄN</t>
        </is>
      </c>
      <c r="E12820" t="inlineStr">
        <is>
          <t>ÅNGE</t>
        </is>
      </c>
      <c r="F12820" t="inlineStr">
        <is>
          <t>SCA</t>
        </is>
      </c>
      <c r="G12820" t="n">
        <v>8.699999999999999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13772-2024</t>
        </is>
      </c>
      <c r="B12821" s="1" t="n">
        <v>45391</v>
      </c>
      <c r="C12821" s="1" t="n">
        <v>45657</v>
      </c>
      <c r="D12821" t="inlineStr">
        <is>
          <t>VÄSTERNORRLANDS LÄN</t>
        </is>
      </c>
      <c r="E12821" t="inlineStr">
        <is>
          <t>ÅNGE</t>
        </is>
      </c>
      <c r="F12821" t="inlineStr">
        <is>
          <t>SCA</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13771-2024</t>
        </is>
      </c>
      <c r="B12822" s="1" t="n">
        <v>45391</v>
      </c>
      <c r="C12822" s="1" t="n">
        <v>45657</v>
      </c>
      <c r="D12822" t="inlineStr">
        <is>
          <t>VÄSTERNORRLANDS LÄN</t>
        </is>
      </c>
      <c r="E12822" t="inlineStr">
        <is>
          <t>ÅNGE</t>
        </is>
      </c>
      <c r="F12822" t="inlineStr">
        <is>
          <t>SCA</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13834-2024</t>
        </is>
      </c>
      <c r="B12823" s="1" t="n">
        <v>45390</v>
      </c>
      <c r="C12823" s="1" t="n">
        <v>45657</v>
      </c>
      <c r="D12823" t="inlineStr">
        <is>
          <t>VÄSTERNORRLANDS LÄN</t>
        </is>
      </c>
      <c r="E12823" t="inlineStr">
        <is>
          <t>SUNDSVALL</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13844-2024</t>
        </is>
      </c>
      <c r="B12824" s="1" t="n">
        <v>45390</v>
      </c>
      <c r="C12824" s="1" t="n">
        <v>45657</v>
      </c>
      <c r="D12824" t="inlineStr">
        <is>
          <t>VÄSTERNORRLANDS LÄN</t>
        </is>
      </c>
      <c r="E12824" t="inlineStr">
        <is>
          <t>KRAMFORS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13770-2024</t>
        </is>
      </c>
      <c r="B12825" s="1" t="n">
        <v>45390</v>
      </c>
      <c r="C12825" s="1" t="n">
        <v>45657</v>
      </c>
      <c r="D12825" t="inlineStr">
        <is>
          <t>VÄSTERNORRLANDS LÄN</t>
        </is>
      </c>
      <c r="E12825" t="inlineStr">
        <is>
          <t>TIMRÅ</t>
        </is>
      </c>
      <c r="F12825" t="inlineStr">
        <is>
          <t>SCA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13816-2024</t>
        </is>
      </c>
      <c r="B12826" s="1" t="n">
        <v>45390</v>
      </c>
      <c r="C12826" s="1" t="n">
        <v>45657</v>
      </c>
      <c r="D12826" t="inlineStr">
        <is>
          <t>VÄSTERNORRLANDS LÄN</t>
        </is>
      </c>
      <c r="E12826" t="inlineStr">
        <is>
          <t>ÖRNSKÖLDSVIK</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13818-2024</t>
        </is>
      </c>
      <c r="B12827" s="1" t="n">
        <v>45391</v>
      </c>
      <c r="C12827" s="1" t="n">
        <v>45657</v>
      </c>
      <c r="D12827" t="inlineStr">
        <is>
          <t>VÄSTERNORRLANDS LÄN</t>
        </is>
      </c>
      <c r="E12827" t="inlineStr">
        <is>
          <t>SUNDSVALL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13915-2024</t>
        </is>
      </c>
      <c r="B12828" s="1" t="n">
        <v>45391</v>
      </c>
      <c r="C12828" s="1" t="n">
        <v>45657</v>
      </c>
      <c r="D12828" t="inlineStr">
        <is>
          <t>VÄSTERNORRLANDS LÄN</t>
        </is>
      </c>
      <c r="E12828" t="inlineStr">
        <is>
          <t>SUNDSVALL</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13855-2024</t>
        </is>
      </c>
      <c r="B12829" s="1" t="n">
        <v>45391</v>
      </c>
      <c r="C12829" s="1" t="n">
        <v>45657</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13937-2024</t>
        </is>
      </c>
      <c r="B12830" s="1" t="n">
        <v>45391</v>
      </c>
      <c r="C12830" s="1" t="n">
        <v>45657</v>
      </c>
      <c r="D12830" t="inlineStr">
        <is>
          <t>VÄSTERNORRLANDS LÄN</t>
        </is>
      </c>
      <c r="E12830" t="inlineStr">
        <is>
          <t>SUNDSVALL</t>
        </is>
      </c>
      <c r="F12830" t="inlineStr">
        <is>
          <t>SCA</t>
        </is>
      </c>
      <c r="G12830" t="n">
        <v>13.5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13942-2024</t>
        </is>
      </c>
      <c r="B12831" s="1" t="n">
        <v>45392</v>
      </c>
      <c r="C12831" s="1" t="n">
        <v>45657</v>
      </c>
      <c r="D12831" t="inlineStr">
        <is>
          <t>VÄSTERNORRLANDS LÄN</t>
        </is>
      </c>
      <c r="E12831" t="inlineStr">
        <is>
          <t>SOLLEFTEÅ</t>
        </is>
      </c>
      <c r="F12831" t="inlineStr">
        <is>
          <t>SCA</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13930-2024</t>
        </is>
      </c>
      <c r="B12832" s="1" t="n">
        <v>45392</v>
      </c>
      <c r="C12832" s="1" t="n">
        <v>45657</v>
      </c>
      <c r="D12832" t="inlineStr">
        <is>
          <t>VÄSTERNORRLANDS LÄN</t>
        </is>
      </c>
      <c r="E12832" t="inlineStr">
        <is>
          <t>SUNDSVALL</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13904-2024</t>
        </is>
      </c>
      <c r="B12833" s="1" t="n">
        <v>45391</v>
      </c>
      <c r="C12833" s="1" t="n">
        <v>45657</v>
      </c>
      <c r="D12833" t="inlineStr">
        <is>
          <t>VÄSTERNORRLANDS LÄN</t>
        </is>
      </c>
      <c r="E12833" t="inlineStr">
        <is>
          <t>ÖRNSKÖLDSVIK</t>
        </is>
      </c>
      <c r="F12833" t="inlineStr">
        <is>
          <t>Kommuner</t>
        </is>
      </c>
      <c r="G12833" t="n">
        <v>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13940-2024</t>
        </is>
      </c>
      <c r="B12834" s="1" t="n">
        <v>45392</v>
      </c>
      <c r="C12834" s="1" t="n">
        <v>45657</v>
      </c>
      <c r="D12834" t="inlineStr">
        <is>
          <t>VÄSTERNORRLANDS LÄN</t>
        </is>
      </c>
      <c r="E12834" t="inlineStr">
        <is>
          <t>SUNDSVALL</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14009-2024</t>
        </is>
      </c>
      <c r="B12835" s="1" t="n">
        <v>45392</v>
      </c>
      <c r="C12835" s="1" t="n">
        <v>45657</v>
      </c>
      <c r="D12835" t="inlineStr">
        <is>
          <t>VÄSTERNORRLANDS LÄN</t>
        </is>
      </c>
      <c r="E12835" t="inlineStr">
        <is>
          <t>HÄRNÖSAND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13962-2024</t>
        </is>
      </c>
      <c r="B12836" s="1" t="n">
        <v>45392</v>
      </c>
      <c r="C12836" s="1" t="n">
        <v>45657</v>
      </c>
      <c r="D12836" t="inlineStr">
        <is>
          <t>VÄSTERNORRLANDS LÄN</t>
        </is>
      </c>
      <c r="E12836" t="inlineStr">
        <is>
          <t>ÖRNSKÖLDSVIK</t>
        </is>
      </c>
      <c r="G12836" t="n">
        <v>8.6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14099-2024</t>
        </is>
      </c>
      <c r="B12837" s="1" t="n">
        <v>45392</v>
      </c>
      <c r="C12837" s="1" t="n">
        <v>45657</v>
      </c>
      <c r="D12837" t="inlineStr">
        <is>
          <t>VÄSTERNORRLANDS LÄN</t>
        </is>
      </c>
      <c r="E12837" t="inlineStr">
        <is>
          <t>ÖRNSKÖLDSVIK</t>
        </is>
      </c>
      <c r="F12837" t="inlineStr">
        <is>
          <t>Holmen skog AB</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14109-2024</t>
        </is>
      </c>
      <c r="B12838" s="1" t="n">
        <v>45392</v>
      </c>
      <c r="C12838" s="1" t="n">
        <v>45657</v>
      </c>
      <c r="D12838" t="inlineStr">
        <is>
          <t>VÄSTERNORRLANDS LÄN</t>
        </is>
      </c>
      <c r="E12838" t="inlineStr">
        <is>
          <t>SOLLEFTEÅ</t>
        </is>
      </c>
      <c r="F12838" t="inlineStr">
        <is>
          <t>Övriga Aktiebolag</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14117-2024</t>
        </is>
      </c>
      <c r="B12839" s="1" t="n">
        <v>45392</v>
      </c>
      <c r="C12839" s="1" t="n">
        <v>45657</v>
      </c>
      <c r="D12839" t="inlineStr">
        <is>
          <t>VÄSTERNORRLANDS LÄN</t>
        </is>
      </c>
      <c r="E12839" t="inlineStr">
        <is>
          <t>ÖRNSKÖLDSVIK</t>
        </is>
      </c>
      <c r="F12839" t="inlineStr">
        <is>
          <t>Holmen skog AB</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14124-2024</t>
        </is>
      </c>
      <c r="B12840" s="1" t="n">
        <v>45392</v>
      </c>
      <c r="C12840" s="1" t="n">
        <v>45657</v>
      </c>
      <c r="D12840" t="inlineStr">
        <is>
          <t>VÄSTERNORRLANDS LÄN</t>
        </is>
      </c>
      <c r="E12840" t="inlineStr">
        <is>
          <t>ÖRNSKÖLDSVIK</t>
        </is>
      </c>
      <c r="F12840" t="inlineStr">
        <is>
          <t>Holmen skog AB</t>
        </is>
      </c>
      <c r="G12840" t="n">
        <v>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14152-2024</t>
        </is>
      </c>
      <c r="B12841" s="1" t="n">
        <v>45392</v>
      </c>
      <c r="C12841" s="1" t="n">
        <v>45657</v>
      </c>
      <c r="D12841" t="inlineStr">
        <is>
          <t>VÄSTERNORRLANDS LÄN</t>
        </is>
      </c>
      <c r="E12841" t="inlineStr">
        <is>
          <t>SUNDSVALL</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14040-2024</t>
        </is>
      </c>
      <c r="B12842" s="1" t="n">
        <v>45392</v>
      </c>
      <c r="C12842" s="1" t="n">
        <v>45657</v>
      </c>
      <c r="D12842" t="inlineStr">
        <is>
          <t>VÄSTERNORRLANDS LÄN</t>
        </is>
      </c>
      <c r="E12842" t="inlineStr">
        <is>
          <t>SUNDSVALL</t>
        </is>
      </c>
      <c r="F12842" t="inlineStr">
        <is>
          <t>Holmen skog AB</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14073-2024</t>
        </is>
      </c>
      <c r="B12843" s="1" t="n">
        <v>45392</v>
      </c>
      <c r="C12843" s="1" t="n">
        <v>45657</v>
      </c>
      <c r="D12843" t="inlineStr">
        <is>
          <t>VÄSTERNORRLANDS LÄN</t>
        </is>
      </c>
      <c r="E12843" t="inlineStr">
        <is>
          <t>ÖRNSKÖLDSVIK</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14081-2024</t>
        </is>
      </c>
      <c r="B12844" s="1" t="n">
        <v>45392</v>
      </c>
      <c r="C12844" s="1" t="n">
        <v>45657</v>
      </c>
      <c r="D12844" t="inlineStr">
        <is>
          <t>VÄSTERNORRLANDS LÄN</t>
        </is>
      </c>
      <c r="E12844" t="inlineStr">
        <is>
          <t>ÖRNSKÖLDSVIK</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14110-2024</t>
        </is>
      </c>
      <c r="B12845" s="1" t="n">
        <v>45392</v>
      </c>
      <c r="C12845" s="1" t="n">
        <v>45657</v>
      </c>
      <c r="D12845" t="inlineStr">
        <is>
          <t>VÄSTERNORRLANDS LÄN</t>
        </is>
      </c>
      <c r="E12845" t="inlineStr">
        <is>
          <t>SOLLEFTEÅ</t>
        </is>
      </c>
      <c r="F12845" t="inlineStr">
        <is>
          <t>Övriga Aktiebolag</t>
        </is>
      </c>
      <c r="G12845" t="n">
        <v>11.6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14150-2024</t>
        </is>
      </c>
      <c r="B12846" s="1" t="n">
        <v>45392</v>
      </c>
      <c r="C12846" s="1" t="n">
        <v>45657</v>
      </c>
      <c r="D12846" t="inlineStr">
        <is>
          <t>VÄSTERNORRLANDS LÄN</t>
        </is>
      </c>
      <c r="E12846" t="inlineStr">
        <is>
          <t>KRAMFORS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14154-2024</t>
        </is>
      </c>
      <c r="B12847" s="1" t="n">
        <v>45393</v>
      </c>
      <c r="C12847" s="1" t="n">
        <v>45657</v>
      </c>
      <c r="D12847" t="inlineStr">
        <is>
          <t>VÄSTERNORRLANDS LÄN</t>
        </is>
      </c>
      <c r="E12847" t="inlineStr">
        <is>
          <t>SUNDSVALL</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14018-2024</t>
        </is>
      </c>
      <c r="B12848" s="1" t="n">
        <v>45392</v>
      </c>
      <c r="C12848" s="1" t="n">
        <v>45657</v>
      </c>
      <c r="D12848" t="inlineStr">
        <is>
          <t>VÄSTERNORRLANDS LÄN</t>
        </is>
      </c>
      <c r="E12848" t="inlineStr">
        <is>
          <t>HÄRNÖSAND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14038-2024</t>
        </is>
      </c>
      <c r="B12849" s="1" t="n">
        <v>45392</v>
      </c>
      <c r="C12849" s="1" t="n">
        <v>45657</v>
      </c>
      <c r="D12849" t="inlineStr">
        <is>
          <t>VÄSTERNORRLANDS LÄN</t>
        </is>
      </c>
      <c r="E12849" t="inlineStr">
        <is>
          <t>SUNDSVALL</t>
        </is>
      </c>
      <c r="F12849" t="inlineStr">
        <is>
          <t>Holmen skog AB</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14075-2024</t>
        </is>
      </c>
      <c r="B12850" s="1" t="n">
        <v>45392</v>
      </c>
      <c r="C12850" s="1" t="n">
        <v>45657</v>
      </c>
      <c r="D12850" t="inlineStr">
        <is>
          <t>VÄSTERNORRLANDS LÄN</t>
        </is>
      </c>
      <c r="E12850" t="inlineStr">
        <is>
          <t>ÖRNSKÖLDSVIK</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14087-2024</t>
        </is>
      </c>
      <c r="B12851" s="1" t="n">
        <v>45392</v>
      </c>
      <c r="C12851" s="1" t="n">
        <v>45657</v>
      </c>
      <c r="D12851" t="inlineStr">
        <is>
          <t>VÄSTERNORRLANDS LÄN</t>
        </is>
      </c>
      <c r="E12851" t="inlineStr">
        <is>
          <t>SOLLEFTEÅ</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14149-2024</t>
        </is>
      </c>
      <c r="B12852" s="1" t="n">
        <v>45393</v>
      </c>
      <c r="C12852" s="1" t="n">
        <v>45657</v>
      </c>
      <c r="D12852" t="inlineStr">
        <is>
          <t>VÄSTERNORRLANDS LÄN</t>
        </is>
      </c>
      <c r="E12852" t="inlineStr">
        <is>
          <t>KRAMFORS</t>
        </is>
      </c>
      <c r="G12852" t="n">
        <v>7.6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14153-2024</t>
        </is>
      </c>
      <c r="B12853" s="1" t="n">
        <v>45392</v>
      </c>
      <c r="C12853" s="1" t="n">
        <v>45657</v>
      </c>
      <c r="D12853" t="inlineStr">
        <is>
          <t>VÄSTERNORRLANDS LÄN</t>
        </is>
      </c>
      <c r="E12853" t="inlineStr">
        <is>
          <t>SUNDSVALL</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14165-2024</t>
        </is>
      </c>
      <c r="B12854" s="1" t="n">
        <v>45393</v>
      </c>
      <c r="C12854" s="1" t="n">
        <v>45657</v>
      </c>
      <c r="D12854" t="inlineStr">
        <is>
          <t>VÄSTERNORRLANDS LÄN</t>
        </is>
      </c>
      <c r="E12854" t="inlineStr">
        <is>
          <t>SOLLEFTEÅ</t>
        </is>
      </c>
      <c r="F12854" t="inlineStr">
        <is>
          <t>SCA</t>
        </is>
      </c>
      <c r="G12854" t="n">
        <v>10.5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14169-2024</t>
        </is>
      </c>
      <c r="B12855" s="1" t="n">
        <v>45393</v>
      </c>
      <c r="C12855" s="1" t="n">
        <v>45657</v>
      </c>
      <c r="D12855" t="inlineStr">
        <is>
          <t>VÄSTERNORRLANDS LÄN</t>
        </is>
      </c>
      <c r="E12855" t="inlineStr">
        <is>
          <t>SOLLEFTEÅ</t>
        </is>
      </c>
      <c r="F12855" t="inlineStr">
        <is>
          <t>SCA</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14199-2024</t>
        </is>
      </c>
      <c r="B12856" s="1" t="n">
        <v>45393</v>
      </c>
      <c r="C12856" s="1" t="n">
        <v>45657</v>
      </c>
      <c r="D12856" t="inlineStr">
        <is>
          <t>VÄSTERNORRLANDS LÄN</t>
        </is>
      </c>
      <c r="E12856" t="inlineStr">
        <is>
          <t>ÅNGE</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14344-2024</t>
        </is>
      </c>
      <c r="B12857" s="1" t="n">
        <v>45393</v>
      </c>
      <c r="C12857" s="1" t="n">
        <v>45657</v>
      </c>
      <c r="D12857" t="inlineStr">
        <is>
          <t>VÄSTERNORRLANDS LÄN</t>
        </is>
      </c>
      <c r="E12857" t="inlineStr">
        <is>
          <t>SOLLEFTEÅ</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14372-2024</t>
        </is>
      </c>
      <c r="B12858" s="1" t="n">
        <v>45393</v>
      </c>
      <c r="C12858" s="1" t="n">
        <v>45657</v>
      </c>
      <c r="D12858" t="inlineStr">
        <is>
          <t>VÄSTERNORRLANDS LÄN</t>
        </is>
      </c>
      <c r="E12858" t="inlineStr">
        <is>
          <t>HÄRNÖSAND</t>
        </is>
      </c>
      <c r="F12858" t="inlineStr">
        <is>
          <t>SCA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14365-2024</t>
        </is>
      </c>
      <c r="B12859" s="1" t="n">
        <v>45394</v>
      </c>
      <c r="C12859" s="1" t="n">
        <v>45657</v>
      </c>
      <c r="D12859" t="inlineStr">
        <is>
          <t>VÄSTERNORRLANDS LÄN</t>
        </is>
      </c>
      <c r="E12859" t="inlineStr">
        <is>
          <t>SOLLEFTEÅ</t>
        </is>
      </c>
      <c r="F12859" t="inlineStr">
        <is>
          <t>SCA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14371-2024</t>
        </is>
      </c>
      <c r="B12860" s="1" t="n">
        <v>45393</v>
      </c>
      <c r="C12860" s="1" t="n">
        <v>45657</v>
      </c>
      <c r="D12860" t="inlineStr">
        <is>
          <t>VÄSTERNORRLANDS LÄN</t>
        </is>
      </c>
      <c r="E12860" t="inlineStr">
        <is>
          <t>HÄRNÖSAND</t>
        </is>
      </c>
      <c r="F12860" t="inlineStr">
        <is>
          <t>SCA</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14375-2024</t>
        </is>
      </c>
      <c r="B12861" s="1" t="n">
        <v>45394</v>
      </c>
      <c r="C12861" s="1" t="n">
        <v>45657</v>
      </c>
      <c r="D12861" t="inlineStr">
        <is>
          <t>VÄSTERNORRLANDS LÄN</t>
        </is>
      </c>
      <c r="E12861" t="inlineStr">
        <is>
          <t>TIMRÅ</t>
        </is>
      </c>
      <c r="F12861" t="inlineStr">
        <is>
          <t>SCA</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14554-2024</t>
        </is>
      </c>
      <c r="B12862" s="1" t="n">
        <v>45394</v>
      </c>
      <c r="C12862" s="1" t="n">
        <v>45657</v>
      </c>
      <c r="D12862" t="inlineStr">
        <is>
          <t>VÄSTERNORRLANDS LÄN</t>
        </is>
      </c>
      <c r="E12862" t="inlineStr">
        <is>
          <t>SOLLEFTEÅ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14562-2024</t>
        </is>
      </c>
      <c r="B12863" s="1" t="n">
        <v>45394</v>
      </c>
      <c r="C12863" s="1" t="n">
        <v>45657</v>
      </c>
      <c r="D12863" t="inlineStr">
        <is>
          <t>VÄSTERNORRLANDS LÄN</t>
        </is>
      </c>
      <c r="E12863" t="inlineStr">
        <is>
          <t>HÄRNÖSAND</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14461-2024</t>
        </is>
      </c>
      <c r="B12864" s="1" t="n">
        <v>45394</v>
      </c>
      <c r="C12864" s="1" t="n">
        <v>45657</v>
      </c>
      <c r="D12864" t="inlineStr">
        <is>
          <t>VÄSTERNORRLANDS LÄN</t>
        </is>
      </c>
      <c r="E12864" t="inlineStr">
        <is>
          <t>ÖRNSKÖLDSVIK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14578-2024</t>
        </is>
      </c>
      <c r="B12865" s="1" t="n">
        <v>45395</v>
      </c>
      <c r="C12865" s="1" t="n">
        <v>45657</v>
      </c>
      <c r="D12865" t="inlineStr">
        <is>
          <t>VÄSTERNORRLANDS LÄN</t>
        </is>
      </c>
      <c r="E12865" t="inlineStr">
        <is>
          <t>TIMRÅ</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14564-2024</t>
        </is>
      </c>
      <c r="B12866" s="1" t="n">
        <v>45394</v>
      </c>
      <c r="C12866" s="1" t="n">
        <v>45657</v>
      </c>
      <c r="D12866" t="inlineStr">
        <is>
          <t>VÄSTERNORRLANDS LÄN</t>
        </is>
      </c>
      <c r="E12866" t="inlineStr">
        <is>
          <t>SUNDSVALL</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14572-2024</t>
        </is>
      </c>
      <c r="B12867" s="1" t="n">
        <v>45395</v>
      </c>
      <c r="C12867" s="1" t="n">
        <v>45657</v>
      </c>
      <c r="D12867" t="inlineStr">
        <is>
          <t>VÄSTERNORRLANDS LÄN</t>
        </is>
      </c>
      <c r="E12867" t="inlineStr">
        <is>
          <t>TIMRÅ</t>
        </is>
      </c>
      <c r="F12867" t="inlineStr">
        <is>
          <t>SCA</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14565-2024</t>
        </is>
      </c>
      <c r="B12868" s="1" t="n">
        <v>45394</v>
      </c>
      <c r="C12868" s="1" t="n">
        <v>45657</v>
      </c>
      <c r="D12868" t="inlineStr">
        <is>
          <t>VÄSTERNORRLANDS LÄN</t>
        </is>
      </c>
      <c r="E12868" t="inlineStr">
        <is>
          <t>ÖRNSKÖLDSVIK</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14581-2024</t>
        </is>
      </c>
      <c r="B12869" s="1" t="n">
        <v>45395</v>
      </c>
      <c r="C12869" s="1" t="n">
        <v>45657</v>
      </c>
      <c r="D12869" t="inlineStr">
        <is>
          <t>VÄSTERNORRLANDS LÄN</t>
        </is>
      </c>
      <c r="E12869" t="inlineStr">
        <is>
          <t>SOLLEFTEÅ</t>
        </is>
      </c>
      <c r="F12869" t="inlineStr">
        <is>
          <t>SCA</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14464-2024</t>
        </is>
      </c>
      <c r="B12870" s="1" t="n">
        <v>45394</v>
      </c>
      <c r="C12870" s="1" t="n">
        <v>45657</v>
      </c>
      <c r="D12870" t="inlineStr">
        <is>
          <t>VÄSTERNORRLANDS LÄN</t>
        </is>
      </c>
      <c r="E12870" t="inlineStr">
        <is>
          <t>ÖRNSKÖLDSVIK</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14432-2024</t>
        </is>
      </c>
      <c r="B12871" s="1" t="n">
        <v>45394</v>
      </c>
      <c r="C12871" s="1" t="n">
        <v>45657</v>
      </c>
      <c r="D12871" t="inlineStr">
        <is>
          <t>VÄSTERNORRLANDS LÄN</t>
        </is>
      </c>
      <c r="E12871" t="inlineStr">
        <is>
          <t>SUNDSVALL</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14551-2024</t>
        </is>
      </c>
      <c r="B12872" s="1" t="n">
        <v>45394</v>
      </c>
      <c r="C12872" s="1" t="n">
        <v>45657</v>
      </c>
      <c r="D12872" t="inlineStr">
        <is>
          <t>VÄSTERNORRLANDS LÄN</t>
        </is>
      </c>
      <c r="E12872" t="inlineStr">
        <is>
          <t>KRAMFORS</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14571-2024</t>
        </is>
      </c>
      <c r="B12873" s="1" t="n">
        <v>45394</v>
      </c>
      <c r="C12873" s="1" t="n">
        <v>45657</v>
      </c>
      <c r="D12873" t="inlineStr">
        <is>
          <t>VÄSTERNORRLANDS LÄN</t>
        </is>
      </c>
      <c r="E12873" t="inlineStr">
        <is>
          <t>SOLLEFTEÅ</t>
        </is>
      </c>
      <c r="F12873" t="inlineStr">
        <is>
          <t>SCA</t>
        </is>
      </c>
      <c r="G12873" t="n">
        <v>20.8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14577-2024</t>
        </is>
      </c>
      <c r="B12874" s="1" t="n">
        <v>45395</v>
      </c>
      <c r="C12874" s="1" t="n">
        <v>45657</v>
      </c>
      <c r="D12874" t="inlineStr">
        <is>
          <t>VÄSTERNORRLANDS LÄN</t>
        </is>
      </c>
      <c r="E12874" t="inlineStr">
        <is>
          <t>SOLLEFTEÅ</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14573-2024</t>
        </is>
      </c>
      <c r="B12875" s="1" t="n">
        <v>45395</v>
      </c>
      <c r="C12875" s="1" t="n">
        <v>45657</v>
      </c>
      <c r="D12875" t="inlineStr">
        <is>
          <t>VÄSTERNORRLANDS LÄN</t>
        </is>
      </c>
      <c r="E12875" t="inlineStr">
        <is>
          <t>TIMRÅ</t>
        </is>
      </c>
      <c r="F12875" t="inlineStr">
        <is>
          <t>SCA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14537-2024</t>
        </is>
      </c>
      <c r="B12876" s="1" t="n">
        <v>45394</v>
      </c>
      <c r="C12876" s="1" t="n">
        <v>45657</v>
      </c>
      <c r="D12876" t="inlineStr">
        <is>
          <t>VÄSTERNORRLANDS LÄN</t>
        </is>
      </c>
      <c r="E12876" t="inlineStr">
        <is>
          <t>SUNDSVALL</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14465-2024</t>
        </is>
      </c>
      <c r="B12877" s="1" t="n">
        <v>45394</v>
      </c>
      <c r="C12877" s="1" t="n">
        <v>45657</v>
      </c>
      <c r="D12877" t="inlineStr">
        <is>
          <t>VÄSTERNORRLANDS LÄN</t>
        </is>
      </c>
      <c r="E12877" t="inlineStr">
        <is>
          <t>ÖRNSKÖLDSVIK</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14601-2024</t>
        </is>
      </c>
      <c r="B12878" s="1" t="n">
        <v>45395</v>
      </c>
      <c r="C12878" s="1" t="n">
        <v>45657</v>
      </c>
      <c r="D12878" t="inlineStr">
        <is>
          <t>VÄSTERNORRLANDS LÄN</t>
        </is>
      </c>
      <c r="E12878" t="inlineStr">
        <is>
          <t>ÖRNSKÖLDSVIK</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14600-2024</t>
        </is>
      </c>
      <c r="B12879" s="1" t="n">
        <v>45395</v>
      </c>
      <c r="C12879" s="1" t="n">
        <v>45657</v>
      </c>
      <c r="D12879" t="inlineStr">
        <is>
          <t>VÄSTERNORRLANDS LÄN</t>
        </is>
      </c>
      <c r="E12879" t="inlineStr">
        <is>
          <t>ÖRNSKÖLDSVIK</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14613-2024</t>
        </is>
      </c>
      <c r="B12880" s="1" t="n">
        <v>45396</v>
      </c>
      <c r="C12880" s="1" t="n">
        <v>45657</v>
      </c>
      <c r="D12880" t="inlineStr">
        <is>
          <t>VÄSTERNORRLANDS LÄN</t>
        </is>
      </c>
      <c r="E12880" t="inlineStr">
        <is>
          <t>ÖRNSKÖLDSVIK</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14671-2024</t>
        </is>
      </c>
      <c r="B12881" s="1" t="n">
        <v>45397</v>
      </c>
      <c r="C12881" s="1" t="n">
        <v>45657</v>
      </c>
      <c r="D12881" t="inlineStr">
        <is>
          <t>VÄSTERNORRLANDS LÄN</t>
        </is>
      </c>
      <c r="E12881" t="inlineStr">
        <is>
          <t>ÖRNSKÖLDSVIK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14731-2024</t>
        </is>
      </c>
      <c r="B12882" s="1" t="n">
        <v>45397</v>
      </c>
      <c r="C12882" s="1" t="n">
        <v>45657</v>
      </c>
      <c r="D12882" t="inlineStr">
        <is>
          <t>VÄSTERNORRLANDS LÄN</t>
        </is>
      </c>
      <c r="E12882" t="inlineStr">
        <is>
          <t>ÖRNSKÖLDSVIK</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14819-2024</t>
        </is>
      </c>
      <c r="B12883" s="1" t="n">
        <v>45397</v>
      </c>
      <c r="C12883" s="1" t="n">
        <v>45657</v>
      </c>
      <c r="D12883" t="inlineStr">
        <is>
          <t>VÄSTERNORRLANDS LÄN</t>
        </is>
      </c>
      <c r="E12883" t="inlineStr">
        <is>
          <t>SOLLEFTEÅ</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14806-2024</t>
        </is>
      </c>
      <c r="B12884" s="1" t="n">
        <v>45398</v>
      </c>
      <c r="C12884" s="1" t="n">
        <v>45657</v>
      </c>
      <c r="D12884" t="inlineStr">
        <is>
          <t>VÄSTERNORRLANDS LÄN</t>
        </is>
      </c>
      <c r="E12884" t="inlineStr">
        <is>
          <t>TIMRÅ</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14818-2024</t>
        </is>
      </c>
      <c r="B12885" s="1" t="n">
        <v>45397</v>
      </c>
      <c r="C12885" s="1" t="n">
        <v>45657</v>
      </c>
      <c r="D12885" t="inlineStr">
        <is>
          <t>VÄSTERNORRLANDS LÄN</t>
        </is>
      </c>
      <c r="E12885" t="inlineStr">
        <is>
          <t>TIMRÅ</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14804-2024</t>
        </is>
      </c>
      <c r="B12886" s="1" t="n">
        <v>45397</v>
      </c>
      <c r="C12886" s="1" t="n">
        <v>45657</v>
      </c>
      <c r="D12886" t="inlineStr">
        <is>
          <t>VÄSTERNORRLANDS LÄN</t>
        </is>
      </c>
      <c r="E12886" t="inlineStr">
        <is>
          <t>SUNDSVALL</t>
        </is>
      </c>
      <c r="G12886" t="n">
        <v>7.4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14829-2024</t>
        </is>
      </c>
      <c r="B12887" s="1" t="n">
        <v>45397</v>
      </c>
      <c r="C12887" s="1" t="n">
        <v>45657</v>
      </c>
      <c r="D12887" t="inlineStr">
        <is>
          <t>VÄSTERNORRLANDS LÄN</t>
        </is>
      </c>
      <c r="E12887" t="inlineStr">
        <is>
          <t>ÅNGE</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14711-2024</t>
        </is>
      </c>
      <c r="B12888" s="1" t="n">
        <v>45397</v>
      </c>
      <c r="C12888" s="1" t="n">
        <v>45657</v>
      </c>
      <c r="D12888" t="inlineStr">
        <is>
          <t>VÄSTERNORRLANDS LÄN</t>
        </is>
      </c>
      <c r="E12888" t="inlineStr">
        <is>
          <t>SUNDSVALL</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14733-2024</t>
        </is>
      </c>
      <c r="B12889" s="1" t="n">
        <v>45397</v>
      </c>
      <c r="C12889" s="1" t="n">
        <v>45657</v>
      </c>
      <c r="D12889" t="inlineStr">
        <is>
          <t>VÄSTERNORRLANDS LÄN</t>
        </is>
      </c>
      <c r="E12889" t="inlineStr">
        <is>
          <t>ÖRNSKÖLDSVIK</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14905-2024</t>
        </is>
      </c>
      <c r="B12890" s="1" t="n">
        <v>45398</v>
      </c>
      <c r="C12890" s="1" t="n">
        <v>45657</v>
      </c>
      <c r="D12890" t="inlineStr">
        <is>
          <t>VÄSTERNORRLANDS LÄN</t>
        </is>
      </c>
      <c r="E12890" t="inlineStr">
        <is>
          <t>SUNDSVALL</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14970-2024</t>
        </is>
      </c>
      <c r="B12891" s="1" t="n">
        <v>45398</v>
      </c>
      <c r="C12891" s="1" t="n">
        <v>45657</v>
      </c>
      <c r="D12891" t="inlineStr">
        <is>
          <t>VÄSTERNORRLANDS LÄN</t>
        </is>
      </c>
      <c r="E12891" t="inlineStr">
        <is>
          <t>SOLLEFTEÅ</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14982-2024</t>
        </is>
      </c>
      <c r="B12892" s="1" t="n">
        <v>45399</v>
      </c>
      <c r="C12892" s="1" t="n">
        <v>45657</v>
      </c>
      <c r="D12892" t="inlineStr">
        <is>
          <t>VÄSTERNORRLANDS LÄN</t>
        </is>
      </c>
      <c r="E12892" t="inlineStr">
        <is>
          <t>SOLLEFTEÅ</t>
        </is>
      </c>
      <c r="F12892" t="inlineStr">
        <is>
          <t>SCA</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14914-2024</t>
        </is>
      </c>
      <c r="B12893" s="1" t="n">
        <v>45398</v>
      </c>
      <c r="C12893" s="1" t="n">
        <v>45657</v>
      </c>
      <c r="D12893" t="inlineStr">
        <is>
          <t>VÄSTERNORRLANDS LÄN</t>
        </is>
      </c>
      <c r="E12893" t="inlineStr">
        <is>
          <t>SUNDSVALL</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14922-2024</t>
        </is>
      </c>
      <c r="B12894" s="1" t="n">
        <v>45398</v>
      </c>
      <c r="C12894" s="1" t="n">
        <v>45657</v>
      </c>
      <c r="D12894" t="inlineStr">
        <is>
          <t>VÄSTERNORRLANDS LÄN</t>
        </is>
      </c>
      <c r="E12894" t="inlineStr">
        <is>
          <t>SUNDSVALL</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14971-2024</t>
        </is>
      </c>
      <c r="B12895" s="1" t="n">
        <v>45399</v>
      </c>
      <c r="C12895" s="1" t="n">
        <v>45657</v>
      </c>
      <c r="D12895" t="inlineStr">
        <is>
          <t>VÄSTERNORRLANDS LÄN</t>
        </is>
      </c>
      <c r="E12895" t="inlineStr">
        <is>
          <t>SOLLEFTEÅ</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14975-2024</t>
        </is>
      </c>
      <c r="B12896" s="1" t="n">
        <v>45399</v>
      </c>
      <c r="C12896" s="1" t="n">
        <v>45657</v>
      </c>
      <c r="D12896" t="inlineStr">
        <is>
          <t>VÄSTERNORRLANDS LÄN</t>
        </is>
      </c>
      <c r="E12896" t="inlineStr">
        <is>
          <t>SOLLEFTEÅ</t>
        </is>
      </c>
      <c r="F12896" t="inlineStr">
        <is>
          <t>SCA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14983-2024</t>
        </is>
      </c>
      <c r="B12897" s="1" t="n">
        <v>45399</v>
      </c>
      <c r="C12897" s="1" t="n">
        <v>45657</v>
      </c>
      <c r="D12897" t="inlineStr">
        <is>
          <t>VÄSTERNORRLANDS LÄN</t>
        </is>
      </c>
      <c r="E12897" t="inlineStr">
        <is>
          <t>SOLLEFTEÅ</t>
        </is>
      </c>
      <c r="F12897" t="inlineStr">
        <is>
          <t>SCA</t>
        </is>
      </c>
      <c r="G12897" t="n">
        <v>6.7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14856-2024</t>
        </is>
      </c>
      <c r="B12898" s="1" t="n">
        <v>45398</v>
      </c>
      <c r="C12898" s="1" t="n">
        <v>45657</v>
      </c>
      <c r="D12898" t="inlineStr">
        <is>
          <t>VÄSTERNORRLANDS LÄN</t>
        </is>
      </c>
      <c r="E12898" t="inlineStr">
        <is>
          <t>ÅNGE</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14976-2024</t>
        </is>
      </c>
      <c r="B12899" s="1" t="n">
        <v>45399</v>
      </c>
      <c r="C12899" s="1" t="n">
        <v>45657</v>
      </c>
      <c r="D12899" t="inlineStr">
        <is>
          <t>VÄSTERNORRLANDS LÄN</t>
        </is>
      </c>
      <c r="E12899" t="inlineStr">
        <is>
          <t>SUNDSVALL</t>
        </is>
      </c>
      <c r="F12899" t="inlineStr">
        <is>
          <t>SCA</t>
        </is>
      </c>
      <c r="G12899" t="n">
        <v>10.6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14989-2024</t>
        </is>
      </c>
      <c r="B12900" s="1" t="n">
        <v>45399</v>
      </c>
      <c r="C12900" s="1" t="n">
        <v>45657</v>
      </c>
      <c r="D12900" t="inlineStr">
        <is>
          <t>VÄSTERNORRLANDS LÄN</t>
        </is>
      </c>
      <c r="E12900" t="inlineStr">
        <is>
          <t>ÖRNSKÖLDSVIK</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15071-2024</t>
        </is>
      </c>
      <c r="B12901" s="1" t="n">
        <v>45399</v>
      </c>
      <c r="C12901" s="1" t="n">
        <v>45657</v>
      </c>
      <c r="D12901" t="inlineStr">
        <is>
          <t>VÄSTERNORRLANDS LÄN</t>
        </is>
      </c>
      <c r="E12901" t="inlineStr">
        <is>
          <t>ÖRNSKÖLDSVIK</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14994-2024</t>
        </is>
      </c>
      <c r="B12902" s="1" t="n">
        <v>45399</v>
      </c>
      <c r="C12902" s="1" t="n">
        <v>45657</v>
      </c>
      <c r="D12902" t="inlineStr">
        <is>
          <t>VÄSTERNORRLANDS LÄN</t>
        </is>
      </c>
      <c r="E12902" t="inlineStr">
        <is>
          <t>ÖRNSKÖLDSVIK</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15150-2024</t>
        </is>
      </c>
      <c r="B12903" s="1" t="n">
        <v>45400</v>
      </c>
      <c r="C12903" s="1" t="n">
        <v>45657</v>
      </c>
      <c r="D12903" t="inlineStr">
        <is>
          <t>VÄSTERNORRLANDS LÄN</t>
        </is>
      </c>
      <c r="E12903" t="inlineStr">
        <is>
          <t>TIMRÅ</t>
        </is>
      </c>
      <c r="F12903" t="inlineStr">
        <is>
          <t>SCA</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15154-2024</t>
        </is>
      </c>
      <c r="B12904" s="1" t="n">
        <v>45400</v>
      </c>
      <c r="C12904" s="1" t="n">
        <v>45657</v>
      </c>
      <c r="D12904" t="inlineStr">
        <is>
          <t>VÄSTERNORRLANDS LÄN</t>
        </is>
      </c>
      <c r="E12904" t="inlineStr">
        <is>
          <t>SOLLEFTEÅ</t>
        </is>
      </c>
      <c r="F12904" t="inlineStr">
        <is>
          <t>SCA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15157-2024</t>
        </is>
      </c>
      <c r="B12905" s="1" t="n">
        <v>45400</v>
      </c>
      <c r="C12905" s="1" t="n">
        <v>45657</v>
      </c>
      <c r="D12905" t="inlineStr">
        <is>
          <t>VÄSTERNORRLANDS LÄN</t>
        </is>
      </c>
      <c r="E12905" t="inlineStr">
        <is>
          <t>ÅNGE</t>
        </is>
      </c>
      <c r="F12905" t="inlineStr">
        <is>
          <t>SCA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15140-2024</t>
        </is>
      </c>
      <c r="B12906" s="1" t="n">
        <v>45399</v>
      </c>
      <c r="C12906" s="1" t="n">
        <v>45657</v>
      </c>
      <c r="D12906" t="inlineStr">
        <is>
          <t>VÄSTERNORRLANDS LÄN</t>
        </is>
      </c>
      <c r="E12906" t="inlineStr">
        <is>
          <t>KRAMFORS</t>
        </is>
      </c>
      <c r="G12906" t="n">
        <v>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15143-2024</t>
        </is>
      </c>
      <c r="B12907" s="1" t="n">
        <v>45400</v>
      </c>
      <c r="C12907" s="1" t="n">
        <v>45657</v>
      </c>
      <c r="D12907" t="inlineStr">
        <is>
          <t>VÄSTERNORRLANDS LÄN</t>
        </is>
      </c>
      <c r="E12907" t="inlineStr">
        <is>
          <t>SUNDSVALL</t>
        </is>
      </c>
      <c r="F12907" t="inlineStr">
        <is>
          <t>SCA</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15147-2024</t>
        </is>
      </c>
      <c r="B12908" s="1" t="n">
        <v>45400</v>
      </c>
      <c r="C12908" s="1" t="n">
        <v>45657</v>
      </c>
      <c r="D12908" t="inlineStr">
        <is>
          <t>VÄSTERNORRLANDS LÄN</t>
        </is>
      </c>
      <c r="E12908" t="inlineStr">
        <is>
          <t>SOLLEFTEÅ</t>
        </is>
      </c>
      <c r="F12908" t="inlineStr">
        <is>
          <t>SCA</t>
        </is>
      </c>
      <c r="G12908" t="n">
        <v>7.7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15196-2024</t>
        </is>
      </c>
      <c r="B12909" s="1" t="n">
        <v>45400</v>
      </c>
      <c r="C12909" s="1" t="n">
        <v>45657</v>
      </c>
      <c r="D12909" t="inlineStr">
        <is>
          <t>VÄSTERNORRLANDS LÄN</t>
        </is>
      </c>
      <c r="E12909" t="inlineStr">
        <is>
          <t>ÖRNSKÖLDSVIK</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15212-2024</t>
        </is>
      </c>
      <c r="B12910" s="1" t="n">
        <v>45400</v>
      </c>
      <c r="C12910" s="1" t="n">
        <v>45657</v>
      </c>
      <c r="D12910" t="inlineStr">
        <is>
          <t>VÄSTERNORRLANDS LÄN</t>
        </is>
      </c>
      <c r="E12910" t="inlineStr">
        <is>
          <t>ÖRNSKÖLDSVIK</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15230-2024</t>
        </is>
      </c>
      <c r="B12911" s="1" t="n">
        <v>45400</v>
      </c>
      <c r="C12911" s="1" t="n">
        <v>45657</v>
      </c>
      <c r="D12911" t="inlineStr">
        <is>
          <t>VÄSTERNORRLANDS LÄN</t>
        </is>
      </c>
      <c r="E12911" t="inlineStr">
        <is>
          <t>ÖRNSKÖLDSVIK</t>
        </is>
      </c>
      <c r="F12911" t="inlineStr">
        <is>
          <t>Holmen skog AB</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15314-2024</t>
        </is>
      </c>
      <c r="B12912" s="1" t="n">
        <v>45400</v>
      </c>
      <c r="C12912" s="1" t="n">
        <v>45657</v>
      </c>
      <c r="D12912" t="inlineStr">
        <is>
          <t>VÄSTERNORRLANDS LÄN</t>
        </is>
      </c>
      <c r="E12912" t="inlineStr">
        <is>
          <t>KRAMFORS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15311-2024</t>
        </is>
      </c>
      <c r="B12913" s="1" t="n">
        <v>45400</v>
      </c>
      <c r="C12913" s="1" t="n">
        <v>45657</v>
      </c>
      <c r="D12913" t="inlineStr">
        <is>
          <t>VÄSTERNORRLANDS LÄN</t>
        </is>
      </c>
      <c r="E12913" t="inlineStr">
        <is>
          <t>KRAMFORS</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15312-2024</t>
        </is>
      </c>
      <c r="B12914" s="1" t="n">
        <v>45400</v>
      </c>
      <c r="C12914" s="1" t="n">
        <v>45657</v>
      </c>
      <c r="D12914" t="inlineStr">
        <is>
          <t>VÄSTERNORRLANDS LÄN</t>
        </is>
      </c>
      <c r="E12914" t="inlineStr">
        <is>
          <t>KRAMFORS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15369-2024</t>
        </is>
      </c>
      <c r="B12915" s="1" t="n">
        <v>45401</v>
      </c>
      <c r="C12915" s="1" t="n">
        <v>45657</v>
      </c>
      <c r="D12915" t="inlineStr">
        <is>
          <t>VÄSTERNORRLANDS LÄN</t>
        </is>
      </c>
      <c r="E12915" t="inlineStr">
        <is>
          <t>ÅNGE</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15374-2024</t>
        </is>
      </c>
      <c r="B12916" s="1" t="n">
        <v>45400</v>
      </c>
      <c r="C12916" s="1" t="n">
        <v>45657</v>
      </c>
      <c r="D12916" t="inlineStr">
        <is>
          <t>VÄSTERNORRLANDS LÄN</t>
        </is>
      </c>
      <c r="E12916" t="inlineStr">
        <is>
          <t>KRAMFORS</t>
        </is>
      </c>
      <c r="G12916" t="n">
        <v>29.6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15378-2024</t>
        </is>
      </c>
      <c r="B12917" s="1" t="n">
        <v>45401</v>
      </c>
      <c r="C12917" s="1" t="n">
        <v>45657</v>
      </c>
      <c r="D12917" t="inlineStr">
        <is>
          <t>VÄSTERNORRLANDS LÄN</t>
        </is>
      </c>
      <c r="E12917" t="inlineStr">
        <is>
          <t>KRAMFORS</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15367-2024</t>
        </is>
      </c>
      <c r="B12918" s="1" t="n">
        <v>45401</v>
      </c>
      <c r="C12918" s="1" t="n">
        <v>45657</v>
      </c>
      <c r="D12918" t="inlineStr">
        <is>
          <t>VÄSTERNORRLANDS LÄN</t>
        </is>
      </c>
      <c r="E12918" t="inlineStr">
        <is>
          <t>ÅNGE</t>
        </is>
      </c>
      <c r="G12918" t="n">
        <v>9.1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15380-2024</t>
        </is>
      </c>
      <c r="B12919" s="1" t="n">
        <v>45401</v>
      </c>
      <c r="C12919" s="1" t="n">
        <v>45657</v>
      </c>
      <c r="D12919" t="inlineStr">
        <is>
          <t>VÄSTERNORRLANDS LÄN</t>
        </is>
      </c>
      <c r="E12919" t="inlineStr">
        <is>
          <t>SOLLEFTEÅ</t>
        </is>
      </c>
      <c r="F12919" t="inlineStr">
        <is>
          <t>SCA</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15520-2024</t>
        </is>
      </c>
      <c r="B12920" s="1" t="n">
        <v>45400</v>
      </c>
      <c r="C12920" s="1" t="n">
        <v>45657</v>
      </c>
      <c r="D12920" t="inlineStr">
        <is>
          <t>VÄSTERNORRLANDS LÄN</t>
        </is>
      </c>
      <c r="E12920" t="inlineStr">
        <is>
          <t>SUNDSVALL</t>
        </is>
      </c>
      <c r="G12920" t="n">
        <v>8.800000000000001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15368-2024</t>
        </is>
      </c>
      <c r="B12921" s="1" t="n">
        <v>45401</v>
      </c>
      <c r="C12921" s="1" t="n">
        <v>45657</v>
      </c>
      <c r="D12921" t="inlineStr">
        <is>
          <t>VÄSTERNORRLANDS LÄN</t>
        </is>
      </c>
      <c r="E12921" t="inlineStr">
        <is>
          <t>ÅNGE</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15377-2024</t>
        </is>
      </c>
      <c r="B12922" s="1" t="n">
        <v>45400</v>
      </c>
      <c r="C12922" s="1" t="n">
        <v>45657</v>
      </c>
      <c r="D12922" t="inlineStr">
        <is>
          <t>VÄSTERNORRLANDS LÄN</t>
        </is>
      </c>
      <c r="E12922" t="inlineStr">
        <is>
          <t>SOLLEFTEÅ</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15522-2024</t>
        </is>
      </c>
      <c r="B12923" s="1" t="n">
        <v>45401</v>
      </c>
      <c r="C12923" s="1" t="n">
        <v>45657</v>
      </c>
      <c r="D12923" t="inlineStr">
        <is>
          <t>VÄSTERNORRLANDS LÄN</t>
        </is>
      </c>
      <c r="E12923" t="inlineStr">
        <is>
          <t>KRAMFORS</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15404-2024</t>
        </is>
      </c>
      <c r="B12924" s="1" t="n">
        <v>45401</v>
      </c>
      <c r="C12924" s="1" t="n">
        <v>45657</v>
      </c>
      <c r="D12924" t="inlineStr">
        <is>
          <t>VÄSTERNORRLANDS LÄN</t>
        </is>
      </c>
      <c r="E12924" t="inlineStr">
        <is>
          <t>ÖRNSKÖLDSVIK</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15603-2024</t>
        </is>
      </c>
      <c r="B12925" s="1" t="n">
        <v>45402</v>
      </c>
      <c r="C12925" s="1" t="n">
        <v>45657</v>
      </c>
      <c r="D12925" t="inlineStr">
        <is>
          <t>VÄSTERNORRLANDS LÄN</t>
        </is>
      </c>
      <c r="E12925" t="inlineStr">
        <is>
          <t>ÅNGE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15616-2024</t>
        </is>
      </c>
      <c r="B12926" s="1" t="n">
        <v>45402</v>
      </c>
      <c r="C12926" s="1" t="n">
        <v>45657</v>
      </c>
      <c r="D12926" t="inlineStr">
        <is>
          <t>VÄSTERNORRLANDS LÄN</t>
        </is>
      </c>
      <c r="E12926" t="inlineStr">
        <is>
          <t>SOLLEFTEÅ</t>
        </is>
      </c>
      <c r="F12926" t="inlineStr">
        <is>
          <t>SCA</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15612-2024</t>
        </is>
      </c>
      <c r="B12927" s="1" t="n">
        <v>45401</v>
      </c>
      <c r="C12927" s="1" t="n">
        <v>45657</v>
      </c>
      <c r="D12927" t="inlineStr">
        <is>
          <t>VÄSTERNORRLANDS LÄN</t>
        </is>
      </c>
      <c r="E12927" t="inlineStr">
        <is>
          <t>KRAMFORS</t>
        </is>
      </c>
      <c r="F12927" t="inlineStr">
        <is>
          <t>SCA</t>
        </is>
      </c>
      <c r="G12927" t="n">
        <v>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15606-2024</t>
        </is>
      </c>
      <c r="B12928" s="1" t="n">
        <v>45402</v>
      </c>
      <c r="C12928" s="1" t="n">
        <v>45657</v>
      </c>
      <c r="D12928" t="inlineStr">
        <is>
          <t>VÄSTERNORRLANDS LÄN</t>
        </is>
      </c>
      <c r="E12928" t="inlineStr">
        <is>
          <t>ÖRNSKÖLDSVIK</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15614-2024</t>
        </is>
      </c>
      <c r="B12929" s="1" t="n">
        <v>45402</v>
      </c>
      <c r="C12929" s="1" t="n">
        <v>45657</v>
      </c>
      <c r="D12929" t="inlineStr">
        <is>
          <t>VÄSTERNORRLANDS LÄN</t>
        </is>
      </c>
      <c r="E12929" t="inlineStr">
        <is>
          <t>SOLLEFTEÅ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15601-2024</t>
        </is>
      </c>
      <c r="B12930" s="1" t="n">
        <v>45401</v>
      </c>
      <c r="C12930" s="1" t="n">
        <v>45657</v>
      </c>
      <c r="D12930" t="inlineStr">
        <is>
          <t>VÄSTERNORRLANDS LÄN</t>
        </is>
      </c>
      <c r="E12930" t="inlineStr">
        <is>
          <t>ÖRNSKÖLDSVIK</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15613-2024</t>
        </is>
      </c>
      <c r="B12931" s="1" t="n">
        <v>45402</v>
      </c>
      <c r="C12931" s="1" t="n">
        <v>45657</v>
      </c>
      <c r="D12931" t="inlineStr">
        <is>
          <t>VÄSTERNORRLANDS LÄN</t>
        </is>
      </c>
      <c r="E12931" t="inlineStr">
        <is>
          <t>SOLLEFTEÅ</t>
        </is>
      </c>
      <c r="F12931" t="inlineStr">
        <is>
          <t>SCA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15630-2024</t>
        </is>
      </c>
      <c r="B12932" s="1" t="n">
        <v>45403</v>
      </c>
      <c r="C12932" s="1" t="n">
        <v>45657</v>
      </c>
      <c r="D12932" t="inlineStr">
        <is>
          <t>VÄSTERNORRLANDS LÄN</t>
        </is>
      </c>
      <c r="E12932" t="inlineStr">
        <is>
          <t>ÅNGE</t>
        </is>
      </c>
      <c r="F12932" t="inlineStr">
        <is>
          <t>SCA</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15780-2024</t>
        </is>
      </c>
      <c r="B12933" s="1" t="n">
        <v>45404</v>
      </c>
      <c r="C12933" s="1" t="n">
        <v>45657</v>
      </c>
      <c r="D12933" t="inlineStr">
        <is>
          <t>VÄSTERNORRLANDS LÄN</t>
        </is>
      </c>
      <c r="E12933" t="inlineStr">
        <is>
          <t>SUNDSVALL</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15673-2024</t>
        </is>
      </c>
      <c r="B12934" s="1" t="n">
        <v>45404</v>
      </c>
      <c r="C12934" s="1" t="n">
        <v>45657</v>
      </c>
      <c r="D12934" t="inlineStr">
        <is>
          <t>VÄSTERNORRLANDS LÄN</t>
        </is>
      </c>
      <c r="E12934" t="inlineStr">
        <is>
          <t>SUNDSVALL</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15677-2024</t>
        </is>
      </c>
      <c r="B12935" s="1" t="n">
        <v>45404</v>
      </c>
      <c r="C12935" s="1" t="n">
        <v>45657</v>
      </c>
      <c r="D12935" t="inlineStr">
        <is>
          <t>VÄSTERNORRLANDS LÄN</t>
        </is>
      </c>
      <c r="E12935" t="inlineStr">
        <is>
          <t>SUNDSVALL</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15809-2024</t>
        </is>
      </c>
      <c r="B12936" s="1" t="n">
        <v>45404</v>
      </c>
      <c r="C12936" s="1" t="n">
        <v>45657</v>
      </c>
      <c r="D12936" t="inlineStr">
        <is>
          <t>VÄSTERNORRLANDS LÄN</t>
        </is>
      </c>
      <c r="E12936" t="inlineStr">
        <is>
          <t>ÖRNSKÖLDSVIK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15860-2024</t>
        </is>
      </c>
      <c r="B12937" s="1" t="n">
        <v>45405</v>
      </c>
      <c r="C12937" s="1" t="n">
        <v>45657</v>
      </c>
      <c r="D12937" t="inlineStr">
        <is>
          <t>VÄSTERNORRLANDS LÄN</t>
        </is>
      </c>
      <c r="E12937" t="inlineStr">
        <is>
          <t>ÅNGE</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15859-2024</t>
        </is>
      </c>
      <c r="B12938" s="1" t="n">
        <v>45405</v>
      </c>
      <c r="C12938" s="1" t="n">
        <v>45657</v>
      </c>
      <c r="D12938" t="inlineStr">
        <is>
          <t>VÄSTERNORRLANDS LÄN</t>
        </is>
      </c>
      <c r="E12938" t="inlineStr">
        <is>
          <t>SOLLEFTEÅ</t>
        </is>
      </c>
      <c r="F12938" t="inlineStr">
        <is>
          <t>SCA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15863-2024</t>
        </is>
      </c>
      <c r="B12939" s="1" t="n">
        <v>45405</v>
      </c>
      <c r="C12939" s="1" t="n">
        <v>45657</v>
      </c>
      <c r="D12939" t="inlineStr">
        <is>
          <t>VÄSTERNORRLANDS LÄN</t>
        </is>
      </c>
      <c r="E12939" t="inlineStr">
        <is>
          <t>SOLLEFTEÅ</t>
        </is>
      </c>
      <c r="F12939" t="inlineStr">
        <is>
          <t>SCA</t>
        </is>
      </c>
      <c r="G12939" t="n">
        <v>32.2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15872-2024</t>
        </is>
      </c>
      <c r="B12940" s="1" t="n">
        <v>45405</v>
      </c>
      <c r="C12940" s="1" t="n">
        <v>45657</v>
      </c>
      <c r="D12940" t="inlineStr">
        <is>
          <t>VÄSTERNORRLANDS LÄN</t>
        </is>
      </c>
      <c r="E12940" t="inlineStr">
        <is>
          <t>SOLLEFTEÅ</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16045-2024</t>
        </is>
      </c>
      <c r="B12941" s="1" t="n">
        <v>45405</v>
      </c>
      <c r="C12941" s="1" t="n">
        <v>45657</v>
      </c>
      <c r="D12941" t="inlineStr">
        <is>
          <t>VÄSTERNORRLANDS LÄN</t>
        </is>
      </c>
      <c r="E12941" t="inlineStr">
        <is>
          <t>ÅNGE</t>
        </is>
      </c>
      <c r="G12941" t="n">
        <v>13.4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15875-2024</t>
        </is>
      </c>
      <c r="B12942" s="1" t="n">
        <v>45405</v>
      </c>
      <c r="C12942" s="1" t="n">
        <v>45657</v>
      </c>
      <c r="D12942" t="inlineStr">
        <is>
          <t>VÄSTERNORRLANDS LÄN</t>
        </is>
      </c>
      <c r="E12942" t="inlineStr">
        <is>
          <t>SOLLEFTEÅ</t>
        </is>
      </c>
      <c r="G12942" t="n">
        <v>7.1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15881-2024</t>
        </is>
      </c>
      <c r="B12943" s="1" t="n">
        <v>45405</v>
      </c>
      <c r="C12943" s="1" t="n">
        <v>45657</v>
      </c>
      <c r="D12943" t="inlineStr">
        <is>
          <t>VÄSTERNORRLANDS LÄN</t>
        </is>
      </c>
      <c r="E12943" t="inlineStr">
        <is>
          <t>SUNDSVALL</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16047-2024</t>
        </is>
      </c>
      <c r="B12944" s="1" t="n">
        <v>45405</v>
      </c>
      <c r="C12944" s="1" t="n">
        <v>45657</v>
      </c>
      <c r="D12944" t="inlineStr">
        <is>
          <t>VÄSTERNORRLANDS LÄN</t>
        </is>
      </c>
      <c r="E12944" t="inlineStr">
        <is>
          <t>HÄRNÖSAND</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15983-2024</t>
        </is>
      </c>
      <c r="B12945" s="1" t="n">
        <v>45405</v>
      </c>
      <c r="C12945" s="1" t="n">
        <v>45657</v>
      </c>
      <c r="D12945" t="inlineStr">
        <is>
          <t>VÄSTERNORRLANDS LÄN</t>
        </is>
      </c>
      <c r="E12945" t="inlineStr">
        <is>
          <t>SOLLEFTEÅ</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15930-2024</t>
        </is>
      </c>
      <c r="B12946" s="1" t="n">
        <v>45405</v>
      </c>
      <c r="C12946" s="1" t="n">
        <v>45657</v>
      </c>
      <c r="D12946" t="inlineStr">
        <is>
          <t>VÄSTERNORRLANDS LÄN</t>
        </is>
      </c>
      <c r="E12946" t="inlineStr">
        <is>
          <t>ÖRNSKÖLDSVIK</t>
        </is>
      </c>
      <c r="G12946" t="n">
        <v>11.1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16052-2024</t>
        </is>
      </c>
      <c r="B12947" s="1" t="n">
        <v>45406</v>
      </c>
      <c r="C12947" s="1" t="n">
        <v>45657</v>
      </c>
      <c r="D12947" t="inlineStr">
        <is>
          <t>VÄSTERNORRLANDS LÄN</t>
        </is>
      </c>
      <c r="E12947" t="inlineStr">
        <is>
          <t>SOLLEFTEÅ</t>
        </is>
      </c>
      <c r="F12947" t="inlineStr">
        <is>
          <t>SCA</t>
        </is>
      </c>
      <c r="G12947" t="n">
        <v>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16056-2024</t>
        </is>
      </c>
      <c r="B12948" s="1" t="n">
        <v>45406</v>
      </c>
      <c r="C12948" s="1" t="n">
        <v>45657</v>
      </c>
      <c r="D12948" t="inlineStr">
        <is>
          <t>VÄSTERNORRLANDS LÄN</t>
        </is>
      </c>
      <c r="E12948" t="inlineStr">
        <is>
          <t>SUNDSVALL</t>
        </is>
      </c>
      <c r="F12948" t="inlineStr">
        <is>
          <t>Naturvårdsverket</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16051-2024</t>
        </is>
      </c>
      <c r="B12949" s="1" t="n">
        <v>45406</v>
      </c>
      <c r="C12949" s="1" t="n">
        <v>45657</v>
      </c>
      <c r="D12949" t="inlineStr">
        <is>
          <t>VÄSTERNORRLANDS LÄN</t>
        </is>
      </c>
      <c r="E12949" t="inlineStr">
        <is>
          <t>SOLLEFTEÅ</t>
        </is>
      </c>
      <c r="F12949" t="inlineStr">
        <is>
          <t>SCA</t>
        </is>
      </c>
      <c r="G12949" t="n">
        <v>15.7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16055-2024</t>
        </is>
      </c>
      <c r="B12950" s="1" t="n">
        <v>45406</v>
      </c>
      <c r="C12950" s="1" t="n">
        <v>45657</v>
      </c>
      <c r="D12950" t="inlineStr">
        <is>
          <t>VÄSTERNORRLANDS LÄN</t>
        </is>
      </c>
      <c r="E12950" t="inlineStr">
        <is>
          <t>TIMRÅ</t>
        </is>
      </c>
      <c r="F12950" t="inlineStr">
        <is>
          <t>SCA</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16063-2024</t>
        </is>
      </c>
      <c r="B12951" s="1" t="n">
        <v>45406</v>
      </c>
      <c r="C12951" s="1" t="n">
        <v>45657</v>
      </c>
      <c r="D12951" t="inlineStr">
        <is>
          <t>VÄSTERNORRLANDS LÄN</t>
        </is>
      </c>
      <c r="E12951" t="inlineStr">
        <is>
          <t>SUNDSVALL</t>
        </is>
      </c>
      <c r="F12951" t="inlineStr">
        <is>
          <t>Naturvårdsverket</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16067-2024</t>
        </is>
      </c>
      <c r="B12952" s="1" t="n">
        <v>45406</v>
      </c>
      <c r="C12952" s="1" t="n">
        <v>45657</v>
      </c>
      <c r="D12952" t="inlineStr">
        <is>
          <t>VÄSTERNORRLANDS LÄN</t>
        </is>
      </c>
      <c r="E12952" t="inlineStr">
        <is>
          <t>TIMRÅ</t>
        </is>
      </c>
      <c r="F12952" t="inlineStr">
        <is>
          <t>SCA</t>
        </is>
      </c>
      <c r="G12952" t="n">
        <v>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16165-2024</t>
        </is>
      </c>
      <c r="B12953" s="1" t="n">
        <v>45406</v>
      </c>
      <c r="C12953" s="1" t="n">
        <v>45657</v>
      </c>
      <c r="D12953" t="inlineStr">
        <is>
          <t>VÄSTERNORRLANDS LÄN</t>
        </is>
      </c>
      <c r="E12953" t="inlineStr">
        <is>
          <t>SOLLEFTEÅ</t>
        </is>
      </c>
      <c r="G12953" t="n">
        <v>15.2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16061-2024</t>
        </is>
      </c>
      <c r="B12954" s="1" t="n">
        <v>45406</v>
      </c>
      <c r="C12954" s="1" t="n">
        <v>45657</v>
      </c>
      <c r="D12954" t="inlineStr">
        <is>
          <t>VÄSTERNORRLANDS LÄN</t>
        </is>
      </c>
      <c r="E12954" t="inlineStr">
        <is>
          <t>SOLLEFTEÅ</t>
        </is>
      </c>
      <c r="F12954" t="inlineStr">
        <is>
          <t>SCA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16218-2024</t>
        </is>
      </c>
      <c r="B12955" s="1" t="n">
        <v>45407</v>
      </c>
      <c r="C12955" s="1" t="n">
        <v>45657</v>
      </c>
      <c r="D12955" t="inlineStr">
        <is>
          <t>VÄSTERNORRLANDS LÄN</t>
        </is>
      </c>
      <c r="E12955" t="inlineStr">
        <is>
          <t>KRAMFORS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16062-2024</t>
        </is>
      </c>
      <c r="B12956" s="1" t="n">
        <v>45406</v>
      </c>
      <c r="C12956" s="1" t="n">
        <v>45657</v>
      </c>
      <c r="D12956" t="inlineStr">
        <is>
          <t>VÄSTERNORRLANDS LÄN</t>
        </is>
      </c>
      <c r="E12956" t="inlineStr">
        <is>
          <t>SUNDSVALL</t>
        </is>
      </c>
      <c r="F12956" t="inlineStr">
        <is>
          <t>Naturvårdsverket</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16066-2024</t>
        </is>
      </c>
      <c r="B12957" s="1" t="n">
        <v>45406</v>
      </c>
      <c r="C12957" s="1" t="n">
        <v>45657</v>
      </c>
      <c r="D12957" t="inlineStr">
        <is>
          <t>VÄSTERNORRLANDS LÄN</t>
        </is>
      </c>
      <c r="E12957" t="inlineStr">
        <is>
          <t>KRAMFORS</t>
        </is>
      </c>
      <c r="F12957" t="inlineStr">
        <is>
          <t>SCA</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16086-2024</t>
        </is>
      </c>
      <c r="B12958" s="1" t="n">
        <v>45406</v>
      </c>
      <c r="C12958" s="1" t="n">
        <v>45657</v>
      </c>
      <c r="D12958" t="inlineStr">
        <is>
          <t>VÄSTERNORRLANDS LÄN</t>
        </is>
      </c>
      <c r="E12958" t="inlineStr">
        <is>
          <t>SOLLEFTEÅ</t>
        </is>
      </c>
      <c r="G12958" t="n">
        <v>15.9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16223-2024</t>
        </is>
      </c>
      <c r="B12959" s="1" t="n">
        <v>45407</v>
      </c>
      <c r="C12959" s="1" t="n">
        <v>45657</v>
      </c>
      <c r="D12959" t="inlineStr">
        <is>
          <t>VÄSTERNORRLANDS LÄN</t>
        </is>
      </c>
      <c r="E12959" t="inlineStr">
        <is>
          <t>SUNDSVALL</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16238-2024</t>
        </is>
      </c>
      <c r="B12960" s="1" t="n">
        <v>45407</v>
      </c>
      <c r="C12960" s="1" t="n">
        <v>45657</v>
      </c>
      <c r="D12960" t="inlineStr">
        <is>
          <t>VÄSTERNORRLANDS LÄN</t>
        </is>
      </c>
      <c r="E12960" t="inlineStr">
        <is>
          <t>SOLLEFTEÅ</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16239-2024</t>
        </is>
      </c>
      <c r="B12961" s="1" t="n">
        <v>45407</v>
      </c>
      <c r="C12961" s="1" t="n">
        <v>45657</v>
      </c>
      <c r="D12961" t="inlineStr">
        <is>
          <t>VÄSTERNORRLANDS LÄN</t>
        </is>
      </c>
      <c r="E12961" t="inlineStr">
        <is>
          <t>SOLLEFTEÅ</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16243-2024</t>
        </is>
      </c>
      <c r="B12962" s="1" t="n">
        <v>45407</v>
      </c>
      <c r="C12962" s="1" t="n">
        <v>45657</v>
      </c>
      <c r="D12962" t="inlineStr">
        <is>
          <t>VÄSTERNORRLANDS LÄN</t>
        </is>
      </c>
      <c r="E12962" t="inlineStr">
        <is>
          <t>ÅNGE</t>
        </is>
      </c>
      <c r="F12962" t="inlineStr">
        <is>
          <t>SCA</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16237-2024</t>
        </is>
      </c>
      <c r="B12963" s="1" t="n">
        <v>45407</v>
      </c>
      <c r="C12963" s="1" t="n">
        <v>45657</v>
      </c>
      <c r="D12963" t="inlineStr">
        <is>
          <t>VÄSTERNORRLANDS LÄN</t>
        </is>
      </c>
      <c r="E12963" t="inlineStr">
        <is>
          <t>SOLLEFTEÅ</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16241-2024</t>
        </is>
      </c>
      <c r="B12964" s="1" t="n">
        <v>45407</v>
      </c>
      <c r="C12964" s="1" t="n">
        <v>45657</v>
      </c>
      <c r="D12964" t="inlineStr">
        <is>
          <t>VÄSTERNORRLANDS LÄN</t>
        </is>
      </c>
      <c r="E12964" t="inlineStr">
        <is>
          <t>SOLLEFTEÅ</t>
        </is>
      </c>
      <c r="F12964" t="inlineStr">
        <is>
          <t>SCA</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16251-2024</t>
        </is>
      </c>
      <c r="B12965" s="1" t="n">
        <v>45407</v>
      </c>
      <c r="C12965" s="1" t="n">
        <v>45657</v>
      </c>
      <c r="D12965" t="inlineStr">
        <is>
          <t>VÄSTERNORRLANDS LÄN</t>
        </is>
      </c>
      <c r="E12965" t="inlineStr">
        <is>
          <t>SUNDSVALL</t>
        </is>
      </c>
      <c r="F12965" t="inlineStr">
        <is>
          <t>SCA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16250-2024</t>
        </is>
      </c>
      <c r="B12966" s="1" t="n">
        <v>45407</v>
      </c>
      <c r="C12966" s="1" t="n">
        <v>45657</v>
      </c>
      <c r="D12966" t="inlineStr">
        <is>
          <t>VÄSTERNORRLANDS LÄN</t>
        </is>
      </c>
      <c r="E12966" t="inlineStr">
        <is>
          <t>SUNDSVALL</t>
        </is>
      </c>
      <c r="F12966" t="inlineStr">
        <is>
          <t>SCA</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16249-2024</t>
        </is>
      </c>
      <c r="B12967" s="1" t="n">
        <v>45407</v>
      </c>
      <c r="C12967" s="1" t="n">
        <v>45657</v>
      </c>
      <c r="D12967" t="inlineStr">
        <is>
          <t>VÄSTERNORRLANDS LÄN</t>
        </is>
      </c>
      <c r="E12967" t="inlineStr">
        <is>
          <t>SUNDSVALL</t>
        </is>
      </c>
      <c r="F12967" t="inlineStr">
        <is>
          <t>SCA</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16253-2024</t>
        </is>
      </c>
      <c r="B12968" s="1" t="n">
        <v>45407</v>
      </c>
      <c r="C12968" s="1" t="n">
        <v>45657</v>
      </c>
      <c r="D12968" t="inlineStr">
        <is>
          <t>VÄSTERNORRLANDS LÄN</t>
        </is>
      </c>
      <c r="E12968" t="inlineStr">
        <is>
          <t>SOLLEFTEÅ</t>
        </is>
      </c>
      <c r="F12968" t="inlineStr">
        <is>
          <t>SCA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16274-2024</t>
        </is>
      </c>
      <c r="B12969" s="1" t="n">
        <v>45407</v>
      </c>
      <c r="C12969" s="1" t="n">
        <v>45657</v>
      </c>
      <c r="D12969" t="inlineStr">
        <is>
          <t>VÄSTERNORRLANDS LÄN</t>
        </is>
      </c>
      <c r="E12969" t="inlineStr">
        <is>
          <t>ÖRNSKÖLDSVIK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16271-2024</t>
        </is>
      </c>
      <c r="B12970" s="1" t="n">
        <v>45407</v>
      </c>
      <c r="C12970" s="1" t="n">
        <v>45657</v>
      </c>
      <c r="D12970" t="inlineStr">
        <is>
          <t>VÄSTERNORRLANDS LÄN</t>
        </is>
      </c>
      <c r="E12970" t="inlineStr">
        <is>
          <t>ÖRNSKÖLDSVIK</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16279-2024</t>
        </is>
      </c>
      <c r="B12971" s="1" t="n">
        <v>45407</v>
      </c>
      <c r="C12971" s="1" t="n">
        <v>45657</v>
      </c>
      <c r="D12971" t="inlineStr">
        <is>
          <t>VÄSTERNORRLANDS LÄN</t>
        </is>
      </c>
      <c r="E12971" t="inlineStr">
        <is>
          <t>ÖRNSKÖLDSVIK</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16315-2024</t>
        </is>
      </c>
      <c r="B12972" s="1" t="n">
        <v>45407</v>
      </c>
      <c r="C12972" s="1" t="n">
        <v>45657</v>
      </c>
      <c r="D12972" t="inlineStr">
        <is>
          <t>VÄSTERNORRLANDS LÄN</t>
        </is>
      </c>
      <c r="E12972" t="inlineStr">
        <is>
          <t>TIMRÅ</t>
        </is>
      </c>
      <c r="F12972" t="inlineStr">
        <is>
          <t>Kommuner</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16338-2024</t>
        </is>
      </c>
      <c r="B12973" s="1" t="n">
        <v>45407</v>
      </c>
      <c r="C12973" s="1" t="n">
        <v>45657</v>
      </c>
      <c r="D12973" t="inlineStr">
        <is>
          <t>VÄSTERNORRLANDS LÄN</t>
        </is>
      </c>
      <c r="E12973" t="inlineStr">
        <is>
          <t>ÖRNSKÖLDSVIK</t>
        </is>
      </c>
      <c r="F12973" t="inlineStr">
        <is>
          <t>Holmen skog AB</t>
        </is>
      </c>
      <c r="G12973" t="n">
        <v>10.4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16341-2024</t>
        </is>
      </c>
      <c r="B12974" s="1" t="n">
        <v>45407</v>
      </c>
      <c r="C12974" s="1" t="n">
        <v>45657</v>
      </c>
      <c r="D12974" t="inlineStr">
        <is>
          <t>VÄSTERNORRLANDS LÄN</t>
        </is>
      </c>
      <c r="E12974" t="inlineStr">
        <is>
          <t>ÖRNSKÖLDSVIK</t>
        </is>
      </c>
      <c r="F12974" t="inlineStr">
        <is>
          <t>Holmen skog AB</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16336-2024</t>
        </is>
      </c>
      <c r="B12975" s="1" t="n">
        <v>45407</v>
      </c>
      <c r="C12975" s="1" t="n">
        <v>45657</v>
      </c>
      <c r="D12975" t="inlineStr">
        <is>
          <t>VÄSTERNORRLANDS LÄN</t>
        </is>
      </c>
      <c r="E12975" t="inlineStr">
        <is>
          <t>ÖRNSKÖLDSVIK</t>
        </is>
      </c>
      <c r="F12975" t="inlineStr">
        <is>
          <t>Holmen skog AB</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16412-2024</t>
        </is>
      </c>
      <c r="B12976" s="1" t="n">
        <v>45407</v>
      </c>
      <c r="C12976" s="1" t="n">
        <v>45657</v>
      </c>
      <c r="D12976" t="inlineStr">
        <is>
          <t>VÄSTERNORRLANDS LÄN</t>
        </is>
      </c>
      <c r="E12976" t="inlineStr">
        <is>
          <t>ÖRNSKÖLDSVIK</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16577-2024</t>
        </is>
      </c>
      <c r="B12977" s="1" t="n">
        <v>45408</v>
      </c>
      <c r="C12977" s="1" t="n">
        <v>45657</v>
      </c>
      <c r="D12977" t="inlineStr">
        <is>
          <t>VÄSTERNORRLANDS LÄN</t>
        </is>
      </c>
      <c r="E12977" t="inlineStr">
        <is>
          <t>ÖRNSKÖLDSVIK</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16694-2024</t>
        </is>
      </c>
      <c r="B12978" s="1" t="n">
        <v>45408</v>
      </c>
      <c r="C12978" s="1" t="n">
        <v>45657</v>
      </c>
      <c r="D12978" t="inlineStr">
        <is>
          <t>VÄSTERNORRLANDS LÄN</t>
        </is>
      </c>
      <c r="E12978" t="inlineStr">
        <is>
          <t>ÅNGE</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16460-2024</t>
        </is>
      </c>
      <c r="B12979" s="1" t="n">
        <v>45408</v>
      </c>
      <c r="C12979" s="1" t="n">
        <v>45657</v>
      </c>
      <c r="D12979" t="inlineStr">
        <is>
          <t>VÄSTERNORRLANDS LÄN</t>
        </is>
      </c>
      <c r="E12979" t="inlineStr">
        <is>
          <t>ÅNGE</t>
        </is>
      </c>
      <c r="G12979" t="n">
        <v>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16468-2024</t>
        </is>
      </c>
      <c r="B12980" s="1" t="n">
        <v>45408</v>
      </c>
      <c r="C12980" s="1" t="n">
        <v>45657</v>
      </c>
      <c r="D12980" t="inlineStr">
        <is>
          <t>VÄSTERNORRLANDS LÄN</t>
        </is>
      </c>
      <c r="E12980" t="inlineStr">
        <is>
          <t>SOLLEFTEÅ</t>
        </is>
      </c>
      <c r="F12980" t="inlineStr">
        <is>
          <t>SCA</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16504-2024</t>
        </is>
      </c>
      <c r="B12981" s="1" t="n">
        <v>45408</v>
      </c>
      <c r="C12981" s="1" t="n">
        <v>45657</v>
      </c>
      <c r="D12981" t="inlineStr">
        <is>
          <t>VÄSTERNORRLANDS LÄN</t>
        </is>
      </c>
      <c r="E12981" t="inlineStr">
        <is>
          <t>KRAMFORS</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16463-2024</t>
        </is>
      </c>
      <c r="B12982" s="1" t="n">
        <v>45408</v>
      </c>
      <c r="C12982" s="1" t="n">
        <v>45657</v>
      </c>
      <c r="D12982" t="inlineStr">
        <is>
          <t>VÄSTERNORRLANDS LÄN</t>
        </is>
      </c>
      <c r="E12982" t="inlineStr">
        <is>
          <t>SOLLEFTEÅ</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16467-2024</t>
        </is>
      </c>
      <c r="B12983" s="1" t="n">
        <v>45408</v>
      </c>
      <c r="C12983" s="1" t="n">
        <v>45657</v>
      </c>
      <c r="D12983" t="inlineStr">
        <is>
          <t>VÄSTERNORRLANDS LÄN</t>
        </is>
      </c>
      <c r="E12983" t="inlineStr">
        <is>
          <t>SOLLEFTEÅ</t>
        </is>
      </c>
      <c r="F12983" t="inlineStr">
        <is>
          <t>SCA</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16692-2024</t>
        </is>
      </c>
      <c r="B12984" s="1" t="n">
        <v>45408</v>
      </c>
      <c r="C12984" s="1" t="n">
        <v>45657</v>
      </c>
      <c r="D12984" t="inlineStr">
        <is>
          <t>VÄSTERNORRLANDS LÄN</t>
        </is>
      </c>
      <c r="E12984" t="inlineStr">
        <is>
          <t>ÖRNSKÖLDSVIK</t>
        </is>
      </c>
      <c r="G12984" t="n">
        <v>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16470-2024</t>
        </is>
      </c>
      <c r="B12985" s="1" t="n">
        <v>45408</v>
      </c>
      <c r="C12985" s="1" t="n">
        <v>45657</v>
      </c>
      <c r="D12985" t="inlineStr">
        <is>
          <t>VÄSTERNORRLANDS LÄN</t>
        </is>
      </c>
      <c r="E12985" t="inlineStr">
        <is>
          <t>SOLLEFTEÅ</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16691-2024</t>
        </is>
      </c>
      <c r="B12986" s="1" t="n">
        <v>45408</v>
      </c>
      <c r="C12986" s="1" t="n">
        <v>45657</v>
      </c>
      <c r="D12986" t="inlineStr">
        <is>
          <t>VÄSTERNORRLANDS LÄN</t>
        </is>
      </c>
      <c r="E12986" t="inlineStr">
        <is>
          <t>SOLLEFTEÅ</t>
        </is>
      </c>
      <c r="G12986" t="n">
        <v>12.3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16693-2024</t>
        </is>
      </c>
      <c r="B12987" s="1" t="n">
        <v>45408</v>
      </c>
      <c r="C12987" s="1" t="n">
        <v>45657</v>
      </c>
      <c r="D12987" t="inlineStr">
        <is>
          <t>VÄSTERNORRLANDS LÄN</t>
        </is>
      </c>
      <c r="E12987" t="inlineStr">
        <is>
          <t>SOLLEFTEÅ</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16695-2024</t>
        </is>
      </c>
      <c r="B12988" s="1" t="n">
        <v>45408</v>
      </c>
      <c r="C12988" s="1" t="n">
        <v>45657</v>
      </c>
      <c r="D12988" t="inlineStr">
        <is>
          <t>VÄSTERNORRLANDS LÄN</t>
        </is>
      </c>
      <c r="E12988" t="inlineStr">
        <is>
          <t>ÅNGE</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16706-2024</t>
        </is>
      </c>
      <c r="B12989" s="1" t="n">
        <v>45409</v>
      </c>
      <c r="C12989" s="1" t="n">
        <v>45657</v>
      </c>
      <c r="D12989" t="inlineStr">
        <is>
          <t>VÄSTERNORRLANDS LÄN</t>
        </is>
      </c>
      <c r="E12989" t="inlineStr">
        <is>
          <t>ÅNGE</t>
        </is>
      </c>
      <c r="F12989" t="inlineStr">
        <is>
          <t>SCA</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16710-2024</t>
        </is>
      </c>
      <c r="B12990" s="1" t="n">
        <v>45409</v>
      </c>
      <c r="C12990" s="1" t="n">
        <v>45657</v>
      </c>
      <c r="D12990" t="inlineStr">
        <is>
          <t>VÄSTERNORRLANDS LÄN</t>
        </is>
      </c>
      <c r="E12990" t="inlineStr">
        <is>
          <t>SOLLEFTEÅ</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16854-2024</t>
        </is>
      </c>
      <c r="B12991" s="1" t="n">
        <v>45409</v>
      </c>
      <c r="C12991" s="1" t="n">
        <v>45657</v>
      </c>
      <c r="D12991" t="inlineStr">
        <is>
          <t>VÄSTERNORRLANDS LÄN</t>
        </is>
      </c>
      <c r="E12991" t="inlineStr">
        <is>
          <t>HÄRNÖSAND</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16872-2024</t>
        </is>
      </c>
      <c r="B12992" s="1" t="n">
        <v>45409</v>
      </c>
      <c r="C12992" s="1" t="n">
        <v>45657</v>
      </c>
      <c r="D12992" t="inlineStr">
        <is>
          <t>VÄSTERNORRLANDS LÄN</t>
        </is>
      </c>
      <c r="E12992" t="inlineStr">
        <is>
          <t>HÄRNÖSAND</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16718-2024</t>
        </is>
      </c>
      <c r="B12993" s="1" t="n">
        <v>45409</v>
      </c>
      <c r="C12993" s="1" t="n">
        <v>45657</v>
      </c>
      <c r="D12993" t="inlineStr">
        <is>
          <t>VÄSTERNORRLANDS LÄN</t>
        </is>
      </c>
      <c r="E12993" t="inlineStr">
        <is>
          <t>ÅNGE</t>
        </is>
      </c>
      <c r="F12993" t="inlineStr">
        <is>
          <t>SCA</t>
        </is>
      </c>
      <c r="G12993" t="n">
        <v>10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16703-2024</t>
        </is>
      </c>
      <c r="B12994" s="1" t="n">
        <v>45409</v>
      </c>
      <c r="C12994" s="1" t="n">
        <v>45657</v>
      </c>
      <c r="D12994" t="inlineStr">
        <is>
          <t>VÄSTERNORRLANDS LÄN</t>
        </is>
      </c>
      <c r="E12994" t="inlineStr">
        <is>
          <t>SOLLEFTEÅ</t>
        </is>
      </c>
      <c r="F12994" t="inlineStr">
        <is>
          <t>SCA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16701-2024</t>
        </is>
      </c>
      <c r="B12995" s="1" t="n">
        <v>45409</v>
      </c>
      <c r="C12995" s="1" t="n">
        <v>45657</v>
      </c>
      <c r="D12995" t="inlineStr">
        <is>
          <t>VÄSTERNORRLANDS LÄN</t>
        </is>
      </c>
      <c r="E12995" t="inlineStr">
        <is>
          <t>SOLLEFTEÅ</t>
        </is>
      </c>
      <c r="F12995" t="inlineStr">
        <is>
          <t>SCA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16705-2024</t>
        </is>
      </c>
      <c r="B12996" s="1" t="n">
        <v>45409</v>
      </c>
      <c r="C12996" s="1" t="n">
        <v>45657</v>
      </c>
      <c r="D12996" t="inlineStr">
        <is>
          <t>VÄSTERNORRLANDS LÄN</t>
        </is>
      </c>
      <c r="E12996" t="inlineStr">
        <is>
          <t>ÅNGE</t>
        </is>
      </c>
      <c r="F12996" t="inlineStr">
        <is>
          <t>SCA</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16709-2024</t>
        </is>
      </c>
      <c r="B12997" s="1" t="n">
        <v>45409</v>
      </c>
      <c r="C12997" s="1" t="n">
        <v>45657</v>
      </c>
      <c r="D12997" t="inlineStr">
        <is>
          <t>VÄSTERNORRLANDS LÄN</t>
        </is>
      </c>
      <c r="E12997" t="inlineStr">
        <is>
          <t>SOLLEFTEÅ</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16717-2024</t>
        </is>
      </c>
      <c r="B12998" s="1" t="n">
        <v>45409</v>
      </c>
      <c r="C12998" s="1" t="n">
        <v>45657</v>
      </c>
      <c r="D12998" t="inlineStr">
        <is>
          <t>VÄSTERNORRLANDS LÄN</t>
        </is>
      </c>
      <c r="E12998" t="inlineStr">
        <is>
          <t>SOLLEFTEÅ</t>
        </is>
      </c>
      <c r="F12998" t="inlineStr">
        <is>
          <t>SCA</t>
        </is>
      </c>
      <c r="G12998" t="n">
        <v>10.6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16726-2024</t>
        </is>
      </c>
      <c r="B12999" s="1" t="n">
        <v>45410</v>
      </c>
      <c r="C12999" s="1" t="n">
        <v>45657</v>
      </c>
      <c r="D12999" t="inlineStr">
        <is>
          <t>VÄSTERNORRLANDS LÄN</t>
        </is>
      </c>
      <c r="E12999" t="inlineStr">
        <is>
          <t>SOLLEFTEÅ</t>
        </is>
      </c>
      <c r="F12999" t="inlineStr">
        <is>
          <t>SCA</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16866-2024</t>
        </is>
      </c>
      <c r="B13000" s="1" t="n">
        <v>45409</v>
      </c>
      <c r="C13000" s="1" t="n">
        <v>45657</v>
      </c>
      <c r="D13000" t="inlineStr">
        <is>
          <t>VÄSTERNORRLANDS LÄN</t>
        </is>
      </c>
      <c r="E13000" t="inlineStr">
        <is>
          <t>HÄRNÖSAND</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16875-2024</t>
        </is>
      </c>
      <c r="B13001" s="1" t="n">
        <v>45409</v>
      </c>
      <c r="C13001" s="1" t="n">
        <v>45657</v>
      </c>
      <c r="D13001" t="inlineStr">
        <is>
          <t>VÄSTERNORRLANDS LÄN</t>
        </is>
      </c>
      <c r="E13001" t="inlineStr">
        <is>
          <t>HÄRNÖSAND</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16868-2024</t>
        </is>
      </c>
      <c r="B13002" s="1" t="n">
        <v>45409</v>
      </c>
      <c r="C13002" s="1" t="n">
        <v>45657</v>
      </c>
      <c r="D13002" t="inlineStr">
        <is>
          <t>VÄSTERNORRLANDS LÄN</t>
        </is>
      </c>
      <c r="E13002" t="inlineStr">
        <is>
          <t>HÄRNÖSAND</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16861-2024</t>
        </is>
      </c>
      <c r="B13003" s="1" t="n">
        <v>45409</v>
      </c>
      <c r="C13003" s="1" t="n">
        <v>45657</v>
      </c>
      <c r="D13003" t="inlineStr">
        <is>
          <t>VÄSTERNORRLANDS LÄN</t>
        </is>
      </c>
      <c r="E13003" t="inlineStr">
        <is>
          <t>HÄRNÖSAND</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16873-2024</t>
        </is>
      </c>
      <c r="B13004" s="1" t="n">
        <v>45409</v>
      </c>
      <c r="C13004" s="1" t="n">
        <v>45657</v>
      </c>
      <c r="D13004" t="inlineStr">
        <is>
          <t>VÄSTERNORRLANDS LÄN</t>
        </is>
      </c>
      <c r="E13004" t="inlineStr">
        <is>
          <t>HÄRNÖSAND</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16915-2024</t>
        </is>
      </c>
      <c r="B13005" s="1" t="n">
        <v>45411</v>
      </c>
      <c r="C13005" s="1" t="n">
        <v>45657</v>
      </c>
      <c r="D13005" t="inlineStr">
        <is>
          <t>VÄSTERNORRLANDS LÄN</t>
        </is>
      </c>
      <c r="E13005" t="inlineStr">
        <is>
          <t>ÅNGE</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16975-2024</t>
        </is>
      </c>
      <c r="B13006" s="1" t="n">
        <v>45411</v>
      </c>
      <c r="C13006" s="1" t="n">
        <v>45657</v>
      </c>
      <c r="D13006" t="inlineStr">
        <is>
          <t>VÄSTERNORRLANDS LÄN</t>
        </is>
      </c>
      <c r="E13006" t="inlineStr">
        <is>
          <t>SUNDSVALL</t>
        </is>
      </c>
      <c r="G13006" t="n">
        <v>8.1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16903-2024</t>
        </is>
      </c>
      <c r="B13007" s="1" t="n">
        <v>45411</v>
      </c>
      <c r="C13007" s="1" t="n">
        <v>45657</v>
      </c>
      <c r="D13007" t="inlineStr">
        <is>
          <t>VÄSTERNORRLANDS LÄN</t>
        </is>
      </c>
      <c r="E13007" t="inlineStr">
        <is>
          <t>ÅNGE</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16902-2024</t>
        </is>
      </c>
      <c r="B13008" s="1" t="n">
        <v>45411</v>
      </c>
      <c r="C13008" s="1" t="n">
        <v>45657</v>
      </c>
      <c r="D13008" t="inlineStr">
        <is>
          <t>VÄSTERNORRLANDS LÄN</t>
        </is>
      </c>
      <c r="E13008" t="inlineStr">
        <is>
          <t>ÅNGE</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16863-2024</t>
        </is>
      </c>
      <c r="B13009" s="1" t="n">
        <v>45411</v>
      </c>
      <c r="C13009" s="1" t="n">
        <v>45657</v>
      </c>
      <c r="D13009" t="inlineStr">
        <is>
          <t>VÄSTERNORRLANDS LÄN</t>
        </is>
      </c>
      <c r="E13009" t="inlineStr">
        <is>
          <t>TIMRÅ</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17012-2024</t>
        </is>
      </c>
      <c r="B13010" s="1" t="n">
        <v>45411</v>
      </c>
      <c r="C13010" s="1" t="n">
        <v>45657</v>
      </c>
      <c r="D13010" t="inlineStr">
        <is>
          <t>VÄSTERNORRLANDS LÄN</t>
        </is>
      </c>
      <c r="E13010" t="inlineStr">
        <is>
          <t>HÄRNÖSAND</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16957-2024</t>
        </is>
      </c>
      <c r="B13011" s="1" t="n">
        <v>45411</v>
      </c>
      <c r="C13011" s="1" t="n">
        <v>45657</v>
      </c>
      <c r="D13011" t="inlineStr">
        <is>
          <t>VÄSTERNORRLANDS LÄN</t>
        </is>
      </c>
      <c r="E13011" t="inlineStr">
        <is>
          <t>KRAMFORS</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16824-2024</t>
        </is>
      </c>
      <c r="B13012" s="1" t="n">
        <v>45411</v>
      </c>
      <c r="C13012" s="1" t="n">
        <v>45657</v>
      </c>
      <c r="D13012" t="inlineStr">
        <is>
          <t>VÄSTERNORRLANDS LÄN</t>
        </is>
      </c>
      <c r="E13012" t="inlineStr">
        <is>
          <t>ÖRNSKÖLDSVIK</t>
        </is>
      </c>
      <c r="F13012" t="inlineStr">
        <is>
          <t>Holmen skog AB</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16976-2024</t>
        </is>
      </c>
      <c r="B13013" s="1" t="n">
        <v>45411</v>
      </c>
      <c r="C13013" s="1" t="n">
        <v>45657</v>
      </c>
      <c r="D13013" t="inlineStr">
        <is>
          <t>VÄSTERNORRLANDS LÄN</t>
        </is>
      </c>
      <c r="E13013" t="inlineStr">
        <is>
          <t>SUNDSVALL</t>
        </is>
      </c>
      <c r="G13013" t="n">
        <v>19.8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16956-2024</t>
        </is>
      </c>
      <c r="B13014" s="1" t="n">
        <v>45411</v>
      </c>
      <c r="C13014" s="1" t="n">
        <v>45657</v>
      </c>
      <c r="D13014" t="inlineStr">
        <is>
          <t>VÄSTERNORRLANDS LÄN</t>
        </is>
      </c>
      <c r="E13014" t="inlineStr">
        <is>
          <t>KRAMFORS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16980-2024</t>
        </is>
      </c>
      <c r="B13015" s="1" t="n">
        <v>45412</v>
      </c>
      <c r="C13015" s="1" t="n">
        <v>45657</v>
      </c>
      <c r="D13015" t="inlineStr">
        <is>
          <t>VÄSTERNORRLANDS LÄN</t>
        </is>
      </c>
      <c r="E13015" t="inlineStr">
        <is>
          <t>TIMRÅ</t>
        </is>
      </c>
      <c r="F13015" t="inlineStr">
        <is>
          <t>SCA</t>
        </is>
      </c>
      <c r="G13015" t="n">
        <v>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17172-2024</t>
        </is>
      </c>
      <c r="B13016" s="1" t="n">
        <v>45413</v>
      </c>
      <c r="C13016" s="1" t="n">
        <v>45657</v>
      </c>
      <c r="D13016" t="inlineStr">
        <is>
          <t>VÄSTERNORRLANDS LÄN</t>
        </is>
      </c>
      <c r="E13016" t="inlineStr">
        <is>
          <t>SOLLEFTEÅ</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16981-2024</t>
        </is>
      </c>
      <c r="B13017" s="1" t="n">
        <v>45412</v>
      </c>
      <c r="C13017" s="1" t="n">
        <v>45657</v>
      </c>
      <c r="D13017" t="inlineStr">
        <is>
          <t>VÄSTERNORRLANDS LÄN</t>
        </is>
      </c>
      <c r="E13017" t="inlineStr">
        <is>
          <t>SUNDSVALL</t>
        </is>
      </c>
      <c r="F13017" t="inlineStr">
        <is>
          <t>SCA</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17120-2024</t>
        </is>
      </c>
      <c r="B13018" s="1" t="n">
        <v>45412</v>
      </c>
      <c r="C13018" s="1" t="n">
        <v>45657</v>
      </c>
      <c r="D13018" t="inlineStr">
        <is>
          <t>VÄSTERNORRLANDS LÄN</t>
        </is>
      </c>
      <c r="E13018" t="inlineStr">
        <is>
          <t>SOLLEFTEÅ</t>
        </is>
      </c>
      <c r="G13018" t="n">
        <v>7.8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17173-2024</t>
        </is>
      </c>
      <c r="B13019" s="1" t="n">
        <v>45413</v>
      </c>
      <c r="C13019" s="1" t="n">
        <v>45657</v>
      </c>
      <c r="D13019" t="inlineStr">
        <is>
          <t>VÄSTERNORRLANDS LÄN</t>
        </is>
      </c>
      <c r="E13019" t="inlineStr">
        <is>
          <t>SOLLEFTEÅ</t>
        </is>
      </c>
      <c r="F13019" t="inlineStr">
        <is>
          <t>SCA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17181-2024</t>
        </is>
      </c>
      <c r="B13020" s="1" t="n">
        <v>45412</v>
      </c>
      <c r="C13020" s="1" t="n">
        <v>45657</v>
      </c>
      <c r="D13020" t="inlineStr">
        <is>
          <t>VÄSTERNORRLANDS LÄN</t>
        </is>
      </c>
      <c r="E13020" t="inlineStr">
        <is>
          <t>HÄRNÖSAND</t>
        </is>
      </c>
      <c r="F13020" t="inlineStr">
        <is>
          <t>SCA</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17185-2024</t>
        </is>
      </c>
      <c r="B13021" s="1" t="n">
        <v>45413</v>
      </c>
      <c r="C13021" s="1" t="n">
        <v>45657</v>
      </c>
      <c r="D13021" t="inlineStr">
        <is>
          <t>VÄSTERNORRLANDS LÄN</t>
        </is>
      </c>
      <c r="E13021" t="inlineStr">
        <is>
          <t>SUNDSVALL</t>
        </is>
      </c>
      <c r="F13021" t="inlineStr">
        <is>
          <t>SCA</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17189-2024</t>
        </is>
      </c>
      <c r="B13022" s="1" t="n">
        <v>45412</v>
      </c>
      <c r="C13022" s="1" t="n">
        <v>45657</v>
      </c>
      <c r="D13022" t="inlineStr">
        <is>
          <t>VÄSTERNORRLANDS LÄN</t>
        </is>
      </c>
      <c r="E13022" t="inlineStr">
        <is>
          <t>SUNDSVALL</t>
        </is>
      </c>
      <c r="F13022" t="inlineStr">
        <is>
          <t>SCA</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17187-2024</t>
        </is>
      </c>
      <c r="B13023" s="1" t="n">
        <v>45413</v>
      </c>
      <c r="C13023" s="1" t="n">
        <v>45657</v>
      </c>
      <c r="D13023" t="inlineStr">
        <is>
          <t>VÄSTERNORRLANDS LÄN</t>
        </is>
      </c>
      <c r="E13023" t="inlineStr">
        <is>
          <t>SUNDSVALL</t>
        </is>
      </c>
      <c r="F13023" t="inlineStr">
        <is>
          <t>SCA</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17171-2024</t>
        </is>
      </c>
      <c r="B13024" s="1" t="n">
        <v>45413</v>
      </c>
      <c r="C13024" s="1" t="n">
        <v>45657</v>
      </c>
      <c r="D13024" t="inlineStr">
        <is>
          <t>VÄSTERNORRLANDS LÄN</t>
        </is>
      </c>
      <c r="E13024" t="inlineStr">
        <is>
          <t>ÅNGE</t>
        </is>
      </c>
      <c r="F13024" t="inlineStr">
        <is>
          <t>SCA</t>
        </is>
      </c>
      <c r="G13024" t="n">
        <v>18.6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17111-2024</t>
        </is>
      </c>
      <c r="B13025" s="1" t="n">
        <v>45412</v>
      </c>
      <c r="C13025" s="1" t="n">
        <v>45657</v>
      </c>
      <c r="D13025" t="inlineStr">
        <is>
          <t>VÄSTERNORRLANDS LÄN</t>
        </is>
      </c>
      <c r="E13025" t="inlineStr">
        <is>
          <t>SOLLEFTEÅ</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16978-2024</t>
        </is>
      </c>
      <c r="B13026" s="1" t="n">
        <v>45412</v>
      </c>
      <c r="C13026" s="1" t="n">
        <v>45657</v>
      </c>
      <c r="D13026" t="inlineStr">
        <is>
          <t>VÄSTERNORRLANDS LÄN</t>
        </is>
      </c>
      <c r="E13026" t="inlineStr">
        <is>
          <t>ÅNGE</t>
        </is>
      </c>
      <c r="F13026" t="inlineStr">
        <is>
          <t>SCA</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17190-2024</t>
        </is>
      </c>
      <c r="B13027" s="1" t="n">
        <v>45412</v>
      </c>
      <c r="C13027" s="1" t="n">
        <v>45657</v>
      </c>
      <c r="D13027" t="inlineStr">
        <is>
          <t>VÄSTERNORRLANDS LÄN</t>
        </is>
      </c>
      <c r="E13027" t="inlineStr">
        <is>
          <t>SUNDSVALL</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17186-2024</t>
        </is>
      </c>
      <c r="B13028" s="1" t="n">
        <v>45413</v>
      </c>
      <c r="C13028" s="1" t="n">
        <v>45657</v>
      </c>
      <c r="D13028" t="inlineStr">
        <is>
          <t>VÄSTERNORRLANDS LÄN</t>
        </is>
      </c>
      <c r="E13028" t="inlineStr">
        <is>
          <t>SUNDSVALL</t>
        </is>
      </c>
      <c r="F13028" t="inlineStr">
        <is>
          <t>SCA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17170-2024</t>
        </is>
      </c>
      <c r="B13029" s="1" t="n">
        <v>45413</v>
      </c>
      <c r="C13029" s="1" t="n">
        <v>45657</v>
      </c>
      <c r="D13029" t="inlineStr">
        <is>
          <t>VÄSTERNORRLANDS LÄN</t>
        </is>
      </c>
      <c r="E13029" t="inlineStr">
        <is>
          <t>SOLLEFTEÅ</t>
        </is>
      </c>
      <c r="F13029" t="inlineStr">
        <is>
          <t>SCA</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17209-2024</t>
        </is>
      </c>
      <c r="B13030" s="1" t="n">
        <v>45414</v>
      </c>
      <c r="C13030" s="1" t="n">
        <v>45657</v>
      </c>
      <c r="D13030" t="inlineStr">
        <is>
          <t>VÄSTERNORRLANDS LÄN</t>
        </is>
      </c>
      <c r="E13030" t="inlineStr">
        <is>
          <t>SOLLEFTEÅ</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17230-2024</t>
        </is>
      </c>
      <c r="B13031" s="1" t="n">
        <v>45414</v>
      </c>
      <c r="C13031" s="1" t="n">
        <v>45657</v>
      </c>
      <c r="D13031" t="inlineStr">
        <is>
          <t>VÄSTERNORRLANDS LÄN</t>
        </is>
      </c>
      <c r="E13031" t="inlineStr">
        <is>
          <t>ÖRNSKÖLDSVIK</t>
        </is>
      </c>
      <c r="G13031" t="n">
        <v>5.6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17263-2024</t>
        </is>
      </c>
      <c r="B13032" s="1" t="n">
        <v>45414</v>
      </c>
      <c r="C13032" s="1" t="n">
        <v>45657</v>
      </c>
      <c r="D13032" t="inlineStr">
        <is>
          <t>VÄSTERNORRLANDS LÄN</t>
        </is>
      </c>
      <c r="E13032" t="inlineStr">
        <is>
          <t>SOLLEFTEÅ</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17289-2024</t>
        </is>
      </c>
      <c r="B13033" s="1" t="n">
        <v>45414</v>
      </c>
      <c r="C13033" s="1" t="n">
        <v>45657</v>
      </c>
      <c r="D13033" t="inlineStr">
        <is>
          <t>VÄSTERNORRLANDS LÄN</t>
        </is>
      </c>
      <c r="E13033" t="inlineStr">
        <is>
          <t>ÖRNSKÖLDSVIK</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17377-2024</t>
        </is>
      </c>
      <c r="B13034" s="1" t="n">
        <v>45414</v>
      </c>
      <c r="C13034" s="1" t="n">
        <v>45657</v>
      </c>
      <c r="D13034" t="inlineStr">
        <is>
          <t>VÄSTERNORRLANDS LÄN</t>
        </is>
      </c>
      <c r="E13034" t="inlineStr">
        <is>
          <t>SUNDSVALL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17414-2024</t>
        </is>
      </c>
      <c r="B13035" s="1" t="n">
        <v>45415</v>
      </c>
      <c r="C13035" s="1" t="n">
        <v>45657</v>
      </c>
      <c r="D13035" t="inlineStr">
        <is>
          <t>VÄSTERNORRLANDS LÄN</t>
        </is>
      </c>
      <c r="E13035" t="inlineStr">
        <is>
          <t>SUNDSVALL</t>
        </is>
      </c>
      <c r="F13035" t="inlineStr">
        <is>
          <t>SCA</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17421-2024</t>
        </is>
      </c>
      <c r="B13036" s="1" t="n">
        <v>45415</v>
      </c>
      <c r="C13036" s="1" t="n">
        <v>45657</v>
      </c>
      <c r="D13036" t="inlineStr">
        <is>
          <t>VÄSTERNORRLANDS LÄN</t>
        </is>
      </c>
      <c r="E13036" t="inlineStr">
        <is>
          <t>ÅNGE</t>
        </is>
      </c>
      <c r="F13036" t="inlineStr">
        <is>
          <t>SCA</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17485-2024</t>
        </is>
      </c>
      <c r="B13037" s="1" t="n">
        <v>45415</v>
      </c>
      <c r="C13037" s="1" t="n">
        <v>45657</v>
      </c>
      <c r="D13037" t="inlineStr">
        <is>
          <t>VÄSTERNORRLANDS LÄN</t>
        </is>
      </c>
      <c r="E13037" t="inlineStr">
        <is>
          <t>ÖRNSKÖLDSVIK</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17493-2024</t>
        </is>
      </c>
      <c r="B13038" s="1" t="n">
        <v>45415</v>
      </c>
      <c r="C13038" s="1" t="n">
        <v>45657</v>
      </c>
      <c r="D13038" t="inlineStr">
        <is>
          <t>VÄSTERNORRLANDS LÄN</t>
        </is>
      </c>
      <c r="E13038" t="inlineStr">
        <is>
          <t>ÖRNSKÖLDSVIK</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17577-2024</t>
        </is>
      </c>
      <c r="B13039" s="1" t="n">
        <v>45415</v>
      </c>
      <c r="C13039" s="1" t="n">
        <v>45657</v>
      </c>
      <c r="D13039" t="inlineStr">
        <is>
          <t>VÄSTERNORRLANDS LÄN</t>
        </is>
      </c>
      <c r="E13039" t="inlineStr">
        <is>
          <t>HÄRNÖSAND</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17585-2024</t>
        </is>
      </c>
      <c r="B13040" s="1" t="n">
        <v>45416</v>
      </c>
      <c r="C13040" s="1" t="n">
        <v>45657</v>
      </c>
      <c r="D13040" t="inlineStr">
        <is>
          <t>VÄSTERNORRLANDS LÄN</t>
        </is>
      </c>
      <c r="E13040" t="inlineStr">
        <is>
          <t>SOLLEFTEÅ</t>
        </is>
      </c>
      <c r="G13040" t="n">
        <v>18.8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17601-2024</t>
        </is>
      </c>
      <c r="B13041" s="1" t="n">
        <v>45415</v>
      </c>
      <c r="C13041" s="1" t="n">
        <v>45657</v>
      </c>
      <c r="D13041" t="inlineStr">
        <is>
          <t>VÄSTERNORRLANDS LÄN</t>
        </is>
      </c>
      <c r="E13041" t="inlineStr">
        <is>
          <t>ÅNGE</t>
        </is>
      </c>
      <c r="F13041" t="inlineStr">
        <is>
          <t>SCA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17605-2024</t>
        </is>
      </c>
      <c r="B13042" s="1" t="n">
        <v>45415</v>
      </c>
      <c r="C13042" s="1" t="n">
        <v>45657</v>
      </c>
      <c r="D13042" t="inlineStr">
        <is>
          <t>VÄSTERNORRLANDS LÄN</t>
        </is>
      </c>
      <c r="E13042" t="inlineStr">
        <is>
          <t>ÅNGE</t>
        </is>
      </c>
      <c r="F13042" t="inlineStr">
        <is>
          <t>SCA</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17574-2024</t>
        </is>
      </c>
      <c r="B13043" s="1" t="n">
        <v>45415</v>
      </c>
      <c r="C13043" s="1" t="n">
        <v>45657</v>
      </c>
      <c r="D13043" t="inlineStr">
        <is>
          <t>VÄSTERNORRLANDS LÄN</t>
        </is>
      </c>
      <c r="E13043" t="inlineStr">
        <is>
          <t>KRAMFORS</t>
        </is>
      </c>
      <c r="G13043" t="n">
        <v>7.2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17590-2024</t>
        </is>
      </c>
      <c r="B13044" s="1" t="n">
        <v>45415</v>
      </c>
      <c r="C13044" s="1" t="n">
        <v>45657</v>
      </c>
      <c r="D13044" t="inlineStr">
        <is>
          <t>VÄSTERNORRLANDS LÄN</t>
        </is>
      </c>
      <c r="E13044" t="inlineStr">
        <is>
          <t>HÄRNÖSAND</t>
        </is>
      </c>
      <c r="F13044" t="inlineStr">
        <is>
          <t>SCA</t>
        </is>
      </c>
      <c r="G13044" t="n">
        <v>10.6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17602-2024</t>
        </is>
      </c>
      <c r="B13045" s="1" t="n">
        <v>45415</v>
      </c>
      <c r="C13045" s="1" t="n">
        <v>45657</v>
      </c>
      <c r="D13045" t="inlineStr">
        <is>
          <t>VÄSTERNORRLANDS LÄN</t>
        </is>
      </c>
      <c r="E13045" t="inlineStr">
        <is>
          <t>ÅNGE</t>
        </is>
      </c>
      <c r="F13045" t="inlineStr">
        <is>
          <t>SCA</t>
        </is>
      </c>
      <c r="G13045" t="n">
        <v>11.7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17512-2024</t>
        </is>
      </c>
      <c r="B13046" s="1" t="n">
        <v>45415</v>
      </c>
      <c r="C13046" s="1" t="n">
        <v>45657</v>
      </c>
      <c r="D13046" t="inlineStr">
        <is>
          <t>VÄSTERNORRLANDS LÄN</t>
        </is>
      </c>
      <c r="E13046" t="inlineStr">
        <is>
          <t>SOLLEFTEÅ</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17536-2024</t>
        </is>
      </c>
      <c r="B13047" s="1" t="n">
        <v>45415</v>
      </c>
      <c r="C13047" s="1" t="n">
        <v>45657</v>
      </c>
      <c r="D13047" t="inlineStr">
        <is>
          <t>VÄSTERNORRLANDS LÄN</t>
        </is>
      </c>
      <c r="E13047" t="inlineStr">
        <is>
          <t>ÖRNSKÖLDSVIK</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17591-2024</t>
        </is>
      </c>
      <c r="B13048" s="1" t="n">
        <v>45415</v>
      </c>
      <c r="C13048" s="1" t="n">
        <v>45657</v>
      </c>
      <c r="D13048" t="inlineStr">
        <is>
          <t>VÄSTERNORRLANDS LÄN</t>
        </is>
      </c>
      <c r="E13048" t="inlineStr">
        <is>
          <t>HÄRNÖSAND</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17603-2024</t>
        </is>
      </c>
      <c r="B13049" s="1" t="n">
        <v>45415</v>
      </c>
      <c r="C13049" s="1" t="n">
        <v>45657</v>
      </c>
      <c r="D13049" t="inlineStr">
        <is>
          <t>VÄSTERNORRLANDS LÄN</t>
        </is>
      </c>
      <c r="E13049" t="inlineStr">
        <is>
          <t>ÅNGE</t>
        </is>
      </c>
      <c r="F13049" t="inlineStr">
        <is>
          <t>SCA</t>
        </is>
      </c>
      <c r="G13049" t="n">
        <v>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17600-2024</t>
        </is>
      </c>
      <c r="B13050" s="1" t="n">
        <v>45415</v>
      </c>
      <c r="C13050" s="1" t="n">
        <v>45657</v>
      </c>
      <c r="D13050" t="inlineStr">
        <is>
          <t>VÄSTERNORRLANDS LÄN</t>
        </is>
      </c>
      <c r="E13050" t="inlineStr">
        <is>
          <t>HÄRNÖSAND</t>
        </is>
      </c>
      <c r="F13050" t="inlineStr">
        <is>
          <t>SCA</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17604-2024</t>
        </is>
      </c>
      <c r="B13051" s="1" t="n">
        <v>45415</v>
      </c>
      <c r="C13051" s="1" t="n">
        <v>45657</v>
      </c>
      <c r="D13051" t="inlineStr">
        <is>
          <t>VÄSTERNORRLANDS LÄN</t>
        </is>
      </c>
      <c r="E13051" t="inlineStr">
        <is>
          <t>ÅNGE</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17589-2024</t>
        </is>
      </c>
      <c r="B13052" s="1" t="n">
        <v>45416</v>
      </c>
      <c r="C13052" s="1" t="n">
        <v>45657</v>
      </c>
      <c r="D13052" t="inlineStr">
        <is>
          <t>VÄSTERNORRLANDS LÄN</t>
        </is>
      </c>
      <c r="E13052" t="inlineStr">
        <is>
          <t>ÅNGE</t>
        </is>
      </c>
      <c r="F13052" t="inlineStr">
        <is>
          <t>SCA</t>
        </is>
      </c>
      <c r="G13052" t="n">
        <v>11.1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17725-2024</t>
        </is>
      </c>
      <c r="B13053" s="1" t="n">
        <v>45418</v>
      </c>
      <c r="C13053" s="1" t="n">
        <v>45657</v>
      </c>
      <c r="D13053" t="inlineStr">
        <is>
          <t>VÄSTERNORRLANDS LÄN</t>
        </is>
      </c>
      <c r="E13053" t="inlineStr">
        <is>
          <t>KRAMFORS</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17729-2024</t>
        </is>
      </c>
      <c r="B13054" s="1" t="n">
        <v>45418</v>
      </c>
      <c r="C13054" s="1" t="n">
        <v>45657</v>
      </c>
      <c r="D13054" t="inlineStr">
        <is>
          <t>VÄSTERNORRLANDS LÄN</t>
        </is>
      </c>
      <c r="E13054" t="inlineStr">
        <is>
          <t>KRAMFORS</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17800-2024</t>
        </is>
      </c>
      <c r="B13055" s="1" t="n">
        <v>45418</v>
      </c>
      <c r="C13055" s="1" t="n">
        <v>45657</v>
      </c>
      <c r="D13055" t="inlineStr">
        <is>
          <t>VÄSTERNORRLANDS LÄN</t>
        </is>
      </c>
      <c r="E13055" t="inlineStr">
        <is>
          <t>HÄRNÖSAND</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17804-2024</t>
        </is>
      </c>
      <c r="B13056" s="1" t="n">
        <v>45419</v>
      </c>
      <c r="C13056" s="1" t="n">
        <v>45657</v>
      </c>
      <c r="D13056" t="inlineStr">
        <is>
          <t>VÄSTERNORRLANDS LÄN</t>
        </is>
      </c>
      <c r="E13056" t="inlineStr">
        <is>
          <t>HÄRNÖSAND</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17736-2024</t>
        </is>
      </c>
      <c r="B13057" s="1" t="n">
        <v>45418</v>
      </c>
      <c r="C13057" s="1" t="n">
        <v>45657</v>
      </c>
      <c r="D13057" t="inlineStr">
        <is>
          <t>VÄSTERNORRLANDS LÄN</t>
        </is>
      </c>
      <c r="E13057" t="inlineStr">
        <is>
          <t>KRAMFORS</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17733-2024</t>
        </is>
      </c>
      <c r="B13058" s="1" t="n">
        <v>45418</v>
      </c>
      <c r="C13058" s="1" t="n">
        <v>45657</v>
      </c>
      <c r="D13058" t="inlineStr">
        <is>
          <t>VÄSTERNORRLANDS LÄN</t>
        </is>
      </c>
      <c r="E13058" t="inlineStr">
        <is>
          <t>KRAMFORS</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17811-2024</t>
        </is>
      </c>
      <c r="B13059" s="1" t="n">
        <v>45418</v>
      </c>
      <c r="C13059" s="1" t="n">
        <v>45657</v>
      </c>
      <c r="D13059" t="inlineStr">
        <is>
          <t>VÄSTERNORRLANDS LÄN</t>
        </is>
      </c>
      <c r="E13059" t="inlineStr">
        <is>
          <t>SUNDSVALL</t>
        </is>
      </c>
      <c r="G13059" t="n">
        <v>7.5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17819-2024</t>
        </is>
      </c>
      <c r="B13060" s="1" t="n">
        <v>45419</v>
      </c>
      <c r="C13060" s="1" t="n">
        <v>45657</v>
      </c>
      <c r="D13060" t="inlineStr">
        <is>
          <t>VÄSTERNORRLANDS LÄN</t>
        </is>
      </c>
      <c r="E13060" t="inlineStr">
        <is>
          <t>ÅNGE</t>
        </is>
      </c>
      <c r="F13060" t="inlineStr">
        <is>
          <t>SCA</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17789-2024</t>
        </is>
      </c>
      <c r="B13061" s="1" t="n">
        <v>45418</v>
      </c>
      <c r="C13061" s="1" t="n">
        <v>45657</v>
      </c>
      <c r="D13061" t="inlineStr">
        <is>
          <t>VÄSTERNORRLANDS LÄN</t>
        </is>
      </c>
      <c r="E13061" t="inlineStr">
        <is>
          <t>KRAMFORS</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17818-2024</t>
        </is>
      </c>
      <c r="B13062" s="1" t="n">
        <v>45418</v>
      </c>
      <c r="C13062" s="1" t="n">
        <v>45657</v>
      </c>
      <c r="D13062" t="inlineStr">
        <is>
          <t>VÄSTERNORRLANDS LÄN</t>
        </is>
      </c>
      <c r="E13062" t="inlineStr">
        <is>
          <t>HÄRNÖSAND</t>
        </is>
      </c>
      <c r="F13062" t="inlineStr">
        <is>
          <t>SCA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17822-2024</t>
        </is>
      </c>
      <c r="B13063" s="1" t="n">
        <v>45419</v>
      </c>
      <c r="C13063" s="1" t="n">
        <v>45657</v>
      </c>
      <c r="D13063" t="inlineStr">
        <is>
          <t>VÄSTERNORRLANDS LÄN</t>
        </is>
      </c>
      <c r="E13063" t="inlineStr">
        <is>
          <t>SOLLEFTEÅ</t>
        </is>
      </c>
      <c r="F13063" t="inlineStr">
        <is>
          <t>SCA</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17826-2024</t>
        </is>
      </c>
      <c r="B13064" s="1" t="n">
        <v>45419</v>
      </c>
      <c r="C13064" s="1" t="n">
        <v>45657</v>
      </c>
      <c r="D13064" t="inlineStr">
        <is>
          <t>VÄSTERNORRLANDS LÄN</t>
        </is>
      </c>
      <c r="E13064" t="inlineStr">
        <is>
          <t>SOLLEFTEÅ</t>
        </is>
      </c>
      <c r="G13064" t="n">
        <v>10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17902-2024</t>
        </is>
      </c>
      <c r="B13065" s="1" t="n">
        <v>45419</v>
      </c>
      <c r="C13065" s="1" t="n">
        <v>45657</v>
      </c>
      <c r="D13065" t="inlineStr">
        <is>
          <t>VÄSTERNORRLANDS LÄN</t>
        </is>
      </c>
      <c r="E13065" t="inlineStr">
        <is>
          <t>SUNDSVALL</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17873-2024</t>
        </is>
      </c>
      <c r="B13066" s="1" t="n">
        <v>45419</v>
      </c>
      <c r="C13066" s="1" t="n">
        <v>45657</v>
      </c>
      <c r="D13066" t="inlineStr">
        <is>
          <t>VÄSTERNORRLANDS LÄN</t>
        </is>
      </c>
      <c r="E13066" t="inlineStr">
        <is>
          <t>KRAMFORS</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18003-2024</t>
        </is>
      </c>
      <c r="B13067" s="1" t="n">
        <v>45420</v>
      </c>
      <c r="C13067" s="1" t="n">
        <v>45657</v>
      </c>
      <c r="D13067" t="inlineStr">
        <is>
          <t>VÄSTERNORRLANDS LÄN</t>
        </is>
      </c>
      <c r="E13067" t="inlineStr">
        <is>
          <t>SOLLEFTEÅ</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18005-2024</t>
        </is>
      </c>
      <c r="B13068" s="1" t="n">
        <v>45419</v>
      </c>
      <c r="C13068" s="1" t="n">
        <v>45657</v>
      </c>
      <c r="D13068" t="inlineStr">
        <is>
          <t>VÄSTERNORRLANDS LÄN</t>
        </is>
      </c>
      <c r="E13068" t="inlineStr">
        <is>
          <t>SUNDSVALL</t>
        </is>
      </c>
      <c r="F13068" t="inlineStr">
        <is>
          <t>SCA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17876-2024</t>
        </is>
      </c>
      <c r="B13069" s="1" t="n">
        <v>45419</v>
      </c>
      <c r="C13069" s="1" t="n">
        <v>45657</v>
      </c>
      <c r="D13069" t="inlineStr">
        <is>
          <t>VÄSTERNORRLANDS LÄN</t>
        </is>
      </c>
      <c r="E13069" t="inlineStr">
        <is>
          <t>KRAMFORS</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18002-2024</t>
        </is>
      </c>
      <c r="B13070" s="1" t="n">
        <v>45420</v>
      </c>
      <c r="C13070" s="1" t="n">
        <v>45657</v>
      </c>
      <c r="D13070" t="inlineStr">
        <is>
          <t>VÄSTERNORRLANDS LÄN</t>
        </is>
      </c>
      <c r="E13070" t="inlineStr">
        <is>
          <t>ÅNGE</t>
        </is>
      </c>
      <c r="F13070" t="inlineStr">
        <is>
          <t>SCA</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18110-2024</t>
        </is>
      </c>
      <c r="B13071" s="1" t="n">
        <v>45420</v>
      </c>
      <c r="C13071" s="1" t="n">
        <v>45657</v>
      </c>
      <c r="D13071" t="inlineStr">
        <is>
          <t>VÄSTERNORRLANDS LÄN</t>
        </is>
      </c>
      <c r="E13071" t="inlineStr">
        <is>
          <t>TIMRÅ</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18178-2024</t>
        </is>
      </c>
      <c r="B13072" s="1" t="n">
        <v>45420</v>
      </c>
      <c r="C13072" s="1" t="n">
        <v>45657</v>
      </c>
      <c r="D13072" t="inlineStr">
        <is>
          <t>VÄSTERNORRLANDS LÄN</t>
        </is>
      </c>
      <c r="E13072" t="inlineStr">
        <is>
          <t>ÖRNSKÖLDSVIK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18226-2024</t>
        </is>
      </c>
      <c r="B13073" s="1" t="n">
        <v>45420</v>
      </c>
      <c r="C13073" s="1" t="n">
        <v>45657</v>
      </c>
      <c r="D13073" t="inlineStr">
        <is>
          <t>VÄSTERNORRLANDS LÄN</t>
        </is>
      </c>
      <c r="E13073" t="inlineStr">
        <is>
          <t>SOLLEFTEÅ</t>
        </is>
      </c>
      <c r="F13073" t="inlineStr">
        <is>
          <t>SCA</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18185-2024</t>
        </is>
      </c>
      <c r="B13074" s="1" t="n">
        <v>45420</v>
      </c>
      <c r="C13074" s="1" t="n">
        <v>45657</v>
      </c>
      <c r="D13074" t="inlineStr">
        <is>
          <t>VÄSTERNORRLANDS LÄN</t>
        </is>
      </c>
      <c r="E13074" t="inlineStr">
        <is>
          <t>KRAMFORS</t>
        </is>
      </c>
      <c r="G13074" t="n">
        <v>23.2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18196-2024</t>
        </is>
      </c>
      <c r="B13075" s="1" t="n">
        <v>45420</v>
      </c>
      <c r="C13075" s="1" t="n">
        <v>45657</v>
      </c>
      <c r="D13075" t="inlineStr">
        <is>
          <t>VÄSTERNORRLANDS LÄN</t>
        </is>
      </c>
      <c r="E13075" t="inlineStr">
        <is>
          <t>SUNDSVALL</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18220-2024</t>
        </is>
      </c>
      <c r="B13076" s="1" t="n">
        <v>45420</v>
      </c>
      <c r="C13076" s="1" t="n">
        <v>45657</v>
      </c>
      <c r="D13076" t="inlineStr">
        <is>
          <t>VÄSTERNORRLANDS LÄN</t>
        </is>
      </c>
      <c r="E13076" t="inlineStr">
        <is>
          <t>SOLLEFTEÅ</t>
        </is>
      </c>
      <c r="G13076" t="n">
        <v>14.3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18224-2024</t>
        </is>
      </c>
      <c r="B13077" s="1" t="n">
        <v>45421</v>
      </c>
      <c r="C13077" s="1" t="n">
        <v>45657</v>
      </c>
      <c r="D13077" t="inlineStr">
        <is>
          <t>VÄSTERNORRLANDS LÄN</t>
        </is>
      </c>
      <c r="E13077" t="inlineStr">
        <is>
          <t>SOLLEFTEÅ</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18051-2024</t>
        </is>
      </c>
      <c r="B13078" s="1" t="n">
        <v>45420</v>
      </c>
      <c r="C13078" s="1" t="n">
        <v>45657</v>
      </c>
      <c r="D13078" t="inlineStr">
        <is>
          <t>VÄSTERNORRLANDS LÄN</t>
        </is>
      </c>
      <c r="E13078" t="inlineStr">
        <is>
          <t>ÖRNSKÖLDSVIK</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18087-2024</t>
        </is>
      </c>
      <c r="B13079" s="1" t="n">
        <v>45420</v>
      </c>
      <c r="C13079" s="1" t="n">
        <v>45657</v>
      </c>
      <c r="D13079" t="inlineStr">
        <is>
          <t>VÄSTERNORRLANDS LÄN</t>
        </is>
      </c>
      <c r="E13079" t="inlineStr">
        <is>
          <t>SUNDSVALL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18175-2024</t>
        </is>
      </c>
      <c r="B13080" s="1" t="n">
        <v>45420</v>
      </c>
      <c r="C13080" s="1" t="n">
        <v>45657</v>
      </c>
      <c r="D13080" t="inlineStr">
        <is>
          <t>VÄSTERNORRLANDS LÄN</t>
        </is>
      </c>
      <c r="E13080" t="inlineStr">
        <is>
          <t>ÖRNSKÖLDSVIK</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18187-2024</t>
        </is>
      </c>
      <c r="B13081" s="1" t="n">
        <v>45420</v>
      </c>
      <c r="C13081" s="1" t="n">
        <v>45657</v>
      </c>
      <c r="D13081" t="inlineStr">
        <is>
          <t>VÄSTERNORRLANDS LÄN</t>
        </is>
      </c>
      <c r="E13081" t="inlineStr">
        <is>
          <t>KRAMFORS</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18195-2024</t>
        </is>
      </c>
      <c r="B13082" s="1" t="n">
        <v>45420</v>
      </c>
      <c r="C13082" s="1" t="n">
        <v>45657</v>
      </c>
      <c r="D13082" t="inlineStr">
        <is>
          <t>VÄSTERNORRLANDS LÄN</t>
        </is>
      </c>
      <c r="E13082" t="inlineStr">
        <is>
          <t>SUNDSVALL</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18207-2024</t>
        </is>
      </c>
      <c r="B13083" s="1" t="n">
        <v>45420</v>
      </c>
      <c r="C13083" s="1" t="n">
        <v>45657</v>
      </c>
      <c r="D13083" t="inlineStr">
        <is>
          <t>VÄSTERNORRLANDS LÄN</t>
        </is>
      </c>
      <c r="E13083" t="inlineStr">
        <is>
          <t>ÖRNSKÖLDSVIK</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18239-2024</t>
        </is>
      </c>
      <c r="B13084" s="1" t="n">
        <v>45421</v>
      </c>
      <c r="C13084" s="1" t="n">
        <v>45657</v>
      </c>
      <c r="D13084" t="inlineStr">
        <is>
          <t>VÄSTERNORRLANDS LÄN</t>
        </is>
      </c>
      <c r="E13084" t="inlineStr">
        <is>
          <t>ÖRNSKÖLDSVIK</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18245-2024</t>
        </is>
      </c>
      <c r="B13085" s="1" t="n">
        <v>45421</v>
      </c>
      <c r="C13085" s="1" t="n">
        <v>45657</v>
      </c>
      <c r="D13085" t="inlineStr">
        <is>
          <t>VÄSTERNORRLANDS LÄN</t>
        </is>
      </c>
      <c r="E13085" t="inlineStr">
        <is>
          <t>SUNDSVALL</t>
        </is>
      </c>
      <c r="G13085" t="n">
        <v>12.5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18246-2024</t>
        </is>
      </c>
      <c r="B13086" s="1" t="n">
        <v>45421</v>
      </c>
      <c r="C13086" s="1" t="n">
        <v>45657</v>
      </c>
      <c r="D13086" t="inlineStr">
        <is>
          <t>VÄSTERNORRLANDS LÄN</t>
        </is>
      </c>
      <c r="E13086" t="inlineStr">
        <is>
          <t>SUNDSVALL</t>
        </is>
      </c>
      <c r="G13086" t="n">
        <v>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18362-2024</t>
        </is>
      </c>
      <c r="B13087" s="1" t="n">
        <v>45422</v>
      </c>
      <c r="C13087" s="1" t="n">
        <v>45657</v>
      </c>
      <c r="D13087" t="inlineStr">
        <is>
          <t>VÄSTERNORRLANDS LÄN</t>
        </is>
      </c>
      <c r="E13087" t="inlineStr">
        <is>
          <t>SOLLEFTEÅ</t>
        </is>
      </c>
      <c r="G13087" t="n">
        <v>7.8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18366-2024</t>
        </is>
      </c>
      <c r="B13088" s="1" t="n">
        <v>45422</v>
      </c>
      <c r="C13088" s="1" t="n">
        <v>45657</v>
      </c>
      <c r="D13088" t="inlineStr">
        <is>
          <t>VÄSTERNORRLANDS LÄN</t>
        </is>
      </c>
      <c r="E13088" t="inlineStr">
        <is>
          <t>SOLLEFTEÅ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18363-2024</t>
        </is>
      </c>
      <c r="B13089" s="1" t="n">
        <v>45422</v>
      </c>
      <c r="C13089" s="1" t="n">
        <v>45657</v>
      </c>
      <c r="D13089" t="inlineStr">
        <is>
          <t>VÄSTERNORRLANDS LÄN</t>
        </is>
      </c>
      <c r="E13089" t="inlineStr">
        <is>
          <t>SOLLEFTEÅ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18305-2024</t>
        </is>
      </c>
      <c r="B13090" s="1" t="n">
        <v>45422</v>
      </c>
      <c r="C13090" s="1" t="n">
        <v>45657</v>
      </c>
      <c r="D13090" t="inlineStr">
        <is>
          <t>VÄSTERNORRLANDS LÄN</t>
        </is>
      </c>
      <c r="E13090" t="inlineStr">
        <is>
          <t>ÖRNSKÖLDSVIK</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18299-2024</t>
        </is>
      </c>
      <c r="B13091" s="1" t="n">
        <v>45422</v>
      </c>
      <c r="C13091" s="1" t="n">
        <v>45657</v>
      </c>
      <c r="D13091" t="inlineStr">
        <is>
          <t>VÄSTERNORRLANDS LÄN</t>
        </is>
      </c>
      <c r="E13091" t="inlineStr">
        <is>
          <t>SOLLEFTEÅ</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18365-2024</t>
        </is>
      </c>
      <c r="B13092" s="1" t="n">
        <v>45422</v>
      </c>
      <c r="C13092" s="1" t="n">
        <v>45657</v>
      </c>
      <c r="D13092" t="inlineStr">
        <is>
          <t>VÄSTERNORRLANDS LÄN</t>
        </is>
      </c>
      <c r="E13092" t="inlineStr">
        <is>
          <t>SOLLEFTEÅ</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18296-2024</t>
        </is>
      </c>
      <c r="B13093" s="1" t="n">
        <v>45422</v>
      </c>
      <c r="C13093" s="1" t="n">
        <v>45657</v>
      </c>
      <c r="D13093" t="inlineStr">
        <is>
          <t>VÄSTERNORRLANDS LÄN</t>
        </is>
      </c>
      <c r="E13093" t="inlineStr">
        <is>
          <t>ÖRNSKÖLDSVIK</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18364-2024</t>
        </is>
      </c>
      <c r="B13094" s="1" t="n">
        <v>45422</v>
      </c>
      <c r="C13094" s="1" t="n">
        <v>45657</v>
      </c>
      <c r="D13094" t="inlineStr">
        <is>
          <t>VÄSTERNORRLANDS LÄN</t>
        </is>
      </c>
      <c r="E13094" t="inlineStr">
        <is>
          <t>SOLLEFTEÅ</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18279-2024</t>
        </is>
      </c>
      <c r="B13095" s="1" t="n">
        <v>45422</v>
      </c>
      <c r="C13095" s="1" t="n">
        <v>45657</v>
      </c>
      <c r="D13095" t="inlineStr">
        <is>
          <t>VÄSTERNORRLANDS LÄN</t>
        </is>
      </c>
      <c r="E13095" t="inlineStr">
        <is>
          <t>SUNDSVALL</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18372-2024</t>
        </is>
      </c>
      <c r="B13096" s="1" t="n">
        <v>45423</v>
      </c>
      <c r="C13096" s="1" t="n">
        <v>45657</v>
      </c>
      <c r="D13096" t="inlineStr">
        <is>
          <t>VÄSTERNORRLANDS LÄN</t>
        </is>
      </c>
      <c r="E13096" t="inlineStr">
        <is>
          <t>ÖRNSKÖLDSVIK</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18373-2024</t>
        </is>
      </c>
      <c r="B13097" s="1" t="n">
        <v>45423</v>
      </c>
      <c r="C13097" s="1" t="n">
        <v>45657</v>
      </c>
      <c r="D13097" t="inlineStr">
        <is>
          <t>VÄSTERNORRLANDS LÄN</t>
        </is>
      </c>
      <c r="E13097" t="inlineStr">
        <is>
          <t>ÖRNSKÖLDSVIK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18371-2024</t>
        </is>
      </c>
      <c r="B13098" s="1" t="n">
        <v>45423</v>
      </c>
      <c r="C13098" s="1" t="n">
        <v>45657</v>
      </c>
      <c r="D13098" t="inlineStr">
        <is>
          <t>VÄSTERNORRLANDS LÄN</t>
        </is>
      </c>
      <c r="E13098" t="inlineStr">
        <is>
          <t>ÖRNSKÖLDSVIK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18582-2024</t>
        </is>
      </c>
      <c r="B13099" s="1" t="n">
        <v>45425</v>
      </c>
      <c r="C13099" s="1" t="n">
        <v>45657</v>
      </c>
      <c r="D13099" t="inlineStr">
        <is>
          <t>VÄSTERNORRLANDS LÄN</t>
        </is>
      </c>
      <c r="E13099" t="inlineStr">
        <is>
          <t>SUNDSVALL</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18603-2024</t>
        </is>
      </c>
      <c r="B13100" s="1" t="n">
        <v>45425</v>
      </c>
      <c r="C13100" s="1" t="n">
        <v>45657</v>
      </c>
      <c r="D13100" t="inlineStr">
        <is>
          <t>VÄSTERNORRLANDS LÄN</t>
        </is>
      </c>
      <c r="E13100" t="inlineStr">
        <is>
          <t>KRAMFORS</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18619-2024</t>
        </is>
      </c>
      <c r="B13101" s="1" t="n">
        <v>45426</v>
      </c>
      <c r="C13101" s="1" t="n">
        <v>45657</v>
      </c>
      <c r="D13101" t="inlineStr">
        <is>
          <t>VÄSTERNORRLANDS LÄN</t>
        </is>
      </c>
      <c r="E13101" t="inlineStr">
        <is>
          <t>ÅNGE</t>
        </is>
      </c>
      <c r="F13101" t="inlineStr">
        <is>
          <t>SCA</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18623-2024</t>
        </is>
      </c>
      <c r="B13102" s="1" t="n">
        <v>45426</v>
      </c>
      <c r="C13102" s="1" t="n">
        <v>45657</v>
      </c>
      <c r="D13102" t="inlineStr">
        <is>
          <t>VÄSTERNORRLANDS LÄN</t>
        </is>
      </c>
      <c r="E13102" t="inlineStr">
        <is>
          <t>SOLLEFTEÅ</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18617-2024</t>
        </is>
      </c>
      <c r="B13103" s="1" t="n">
        <v>45425</v>
      </c>
      <c r="C13103" s="1" t="n">
        <v>45657</v>
      </c>
      <c r="D13103" t="inlineStr">
        <is>
          <t>VÄSTERNORRLANDS LÄN</t>
        </is>
      </c>
      <c r="E13103" t="inlineStr">
        <is>
          <t>ÅNGE</t>
        </is>
      </c>
      <c r="F13103" t="inlineStr">
        <is>
          <t>SCA</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18639-2024</t>
        </is>
      </c>
      <c r="B13104" s="1" t="n">
        <v>45426</v>
      </c>
      <c r="C13104" s="1" t="n">
        <v>45657</v>
      </c>
      <c r="D13104" t="inlineStr">
        <is>
          <t>VÄSTERNORRLANDS LÄN</t>
        </is>
      </c>
      <c r="E13104" t="inlineStr">
        <is>
          <t>ÅNGE</t>
        </is>
      </c>
      <c r="F13104" t="inlineStr">
        <is>
          <t>SCA</t>
        </is>
      </c>
      <c r="G13104" t="n">
        <v>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18653-2024</t>
        </is>
      </c>
      <c r="B13105" s="1" t="n">
        <v>45425</v>
      </c>
      <c r="C13105" s="1" t="n">
        <v>45657</v>
      </c>
      <c r="D13105" t="inlineStr">
        <is>
          <t>VÄSTERNORRLANDS LÄN</t>
        </is>
      </c>
      <c r="E13105" t="inlineStr">
        <is>
          <t>TIMRÅ</t>
        </is>
      </c>
      <c r="F13105" t="inlineStr">
        <is>
          <t>SCA</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18663-2024</t>
        </is>
      </c>
      <c r="B13106" s="1" t="n">
        <v>45425</v>
      </c>
      <c r="C13106" s="1" t="n">
        <v>45657</v>
      </c>
      <c r="D13106" t="inlineStr">
        <is>
          <t>VÄSTERNORRLANDS LÄN</t>
        </is>
      </c>
      <c r="E13106" t="inlineStr">
        <is>
          <t>TIMRÅ</t>
        </is>
      </c>
      <c r="G13106" t="n">
        <v>9.5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18420-2024</t>
        </is>
      </c>
      <c r="B13107" s="1" t="n">
        <v>45425</v>
      </c>
      <c r="C13107" s="1" t="n">
        <v>45657</v>
      </c>
      <c r="D13107" t="inlineStr">
        <is>
          <t>VÄSTERNORRLANDS LÄN</t>
        </is>
      </c>
      <c r="E13107" t="inlineStr">
        <is>
          <t>KRAMFORS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18436-2024</t>
        </is>
      </c>
      <c r="B13108" s="1" t="n">
        <v>45425</v>
      </c>
      <c r="C13108" s="1" t="n">
        <v>45657</v>
      </c>
      <c r="D13108" t="inlineStr">
        <is>
          <t>VÄSTERNORRLANDS LÄN</t>
        </is>
      </c>
      <c r="E13108" t="inlineStr">
        <is>
          <t>SOLLEFTEÅ</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18456-2024</t>
        </is>
      </c>
      <c r="B13109" s="1" t="n">
        <v>45425</v>
      </c>
      <c r="C13109" s="1" t="n">
        <v>45657</v>
      </c>
      <c r="D13109" t="inlineStr">
        <is>
          <t>VÄSTERNORRLANDS LÄN</t>
        </is>
      </c>
      <c r="E13109" t="inlineStr">
        <is>
          <t>ÅNGE</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18571-2024</t>
        </is>
      </c>
      <c r="B13110" s="1" t="n">
        <v>45425</v>
      </c>
      <c r="C13110" s="1" t="n">
        <v>45657</v>
      </c>
      <c r="D13110" t="inlineStr">
        <is>
          <t>VÄSTERNORRLANDS LÄN</t>
        </is>
      </c>
      <c r="E13110" t="inlineStr">
        <is>
          <t>ÖRNSKÖLDSVIK</t>
        </is>
      </c>
      <c r="F13110" t="inlineStr">
        <is>
          <t>Holmen skog AB</t>
        </is>
      </c>
      <c r="G13110" t="n">
        <v>8.9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18579-2024</t>
        </is>
      </c>
      <c r="B13111" s="1" t="n">
        <v>45425</v>
      </c>
      <c r="C13111" s="1" t="n">
        <v>45657</v>
      </c>
      <c r="D13111" t="inlineStr">
        <is>
          <t>VÄSTERNORRLANDS LÄN</t>
        </is>
      </c>
      <c r="E13111" t="inlineStr">
        <is>
          <t>SUNDSVALL</t>
        </is>
      </c>
      <c r="G13111" t="n">
        <v>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18587-2024</t>
        </is>
      </c>
      <c r="B13112" s="1" t="n">
        <v>45425</v>
      </c>
      <c r="C13112" s="1" t="n">
        <v>45657</v>
      </c>
      <c r="D13112" t="inlineStr">
        <is>
          <t>VÄSTERNORRLANDS LÄN</t>
        </is>
      </c>
      <c r="E13112" t="inlineStr">
        <is>
          <t>SOLLEFTEÅ</t>
        </is>
      </c>
      <c r="G13112" t="n">
        <v>15.7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18604-2024</t>
        </is>
      </c>
      <c r="B13113" s="1" t="n">
        <v>45425</v>
      </c>
      <c r="C13113" s="1" t="n">
        <v>45657</v>
      </c>
      <c r="D13113" t="inlineStr">
        <is>
          <t>VÄSTERNORRLANDS LÄN</t>
        </is>
      </c>
      <c r="E13113" t="inlineStr">
        <is>
          <t>KRAMFORS</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18620-2024</t>
        </is>
      </c>
      <c r="B13114" s="1" t="n">
        <v>45425</v>
      </c>
      <c r="C13114" s="1" t="n">
        <v>45657</v>
      </c>
      <c r="D13114" t="inlineStr">
        <is>
          <t>VÄSTERNORRLANDS LÄN</t>
        </is>
      </c>
      <c r="E13114" t="inlineStr">
        <is>
          <t>SOLLEFTEÅ</t>
        </is>
      </c>
      <c r="F13114" t="inlineStr">
        <is>
          <t>SCA</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18632-2024</t>
        </is>
      </c>
      <c r="B13115" s="1" t="n">
        <v>45426</v>
      </c>
      <c r="C13115" s="1" t="n">
        <v>45657</v>
      </c>
      <c r="D13115" t="inlineStr">
        <is>
          <t>VÄSTERNORRLANDS LÄN</t>
        </is>
      </c>
      <c r="E13115" t="inlineStr">
        <is>
          <t>ÅNGE</t>
        </is>
      </c>
      <c r="F13115" t="inlineStr">
        <is>
          <t>SCA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18648-2024</t>
        </is>
      </c>
      <c r="B13116" s="1" t="n">
        <v>45426</v>
      </c>
      <c r="C13116" s="1" t="n">
        <v>45657</v>
      </c>
      <c r="D13116" t="inlineStr">
        <is>
          <t>VÄSTERNORRLANDS LÄN</t>
        </is>
      </c>
      <c r="E13116" t="inlineStr">
        <is>
          <t>SOLLEFTEÅ</t>
        </is>
      </c>
      <c r="F13116" t="inlineStr">
        <is>
          <t>SCA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18621-2024</t>
        </is>
      </c>
      <c r="B13117" s="1" t="n">
        <v>45425</v>
      </c>
      <c r="C13117" s="1" t="n">
        <v>45657</v>
      </c>
      <c r="D13117" t="inlineStr">
        <is>
          <t>VÄSTERNORRLANDS LÄN</t>
        </is>
      </c>
      <c r="E13117" t="inlineStr">
        <is>
          <t>SOLLEFTEÅ</t>
        </is>
      </c>
      <c r="F13117" t="inlineStr">
        <is>
          <t>SCA</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18633-2024</t>
        </is>
      </c>
      <c r="B13118" s="1" t="n">
        <v>45426</v>
      </c>
      <c r="C13118" s="1" t="n">
        <v>45657</v>
      </c>
      <c r="D13118" t="inlineStr">
        <is>
          <t>VÄSTERNORRLANDS LÄN</t>
        </is>
      </c>
      <c r="E13118" t="inlineStr">
        <is>
          <t>KRAMFORS</t>
        </is>
      </c>
      <c r="F13118" t="inlineStr">
        <is>
          <t>SCA</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18649-2024</t>
        </is>
      </c>
      <c r="B13119" s="1" t="n">
        <v>45426</v>
      </c>
      <c r="C13119" s="1" t="n">
        <v>45657</v>
      </c>
      <c r="D13119" t="inlineStr">
        <is>
          <t>VÄSTERNORRLANDS LÄN</t>
        </is>
      </c>
      <c r="E13119" t="inlineStr">
        <is>
          <t>SOLLEFTEÅ</t>
        </is>
      </c>
      <c r="F13119" t="inlineStr">
        <is>
          <t>SCA</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18666-2024</t>
        </is>
      </c>
      <c r="B13120" s="1" t="n">
        <v>45425</v>
      </c>
      <c r="C13120" s="1" t="n">
        <v>45657</v>
      </c>
      <c r="D13120" t="inlineStr">
        <is>
          <t>VÄSTERNORRLANDS LÄN</t>
        </is>
      </c>
      <c r="E13120" t="inlineStr">
        <is>
          <t>ÅNGE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18581-2024</t>
        </is>
      </c>
      <c r="B13121" s="1" t="n">
        <v>45425</v>
      </c>
      <c r="C13121" s="1" t="n">
        <v>45657</v>
      </c>
      <c r="D13121" t="inlineStr">
        <is>
          <t>VÄSTERNORRLANDS LÄN</t>
        </is>
      </c>
      <c r="E13121" t="inlineStr">
        <is>
          <t>HÄRNÖSAND</t>
        </is>
      </c>
      <c r="G13121" t="n">
        <v>7.7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18618-2024</t>
        </is>
      </c>
      <c r="B13122" s="1" t="n">
        <v>45426</v>
      </c>
      <c r="C13122" s="1" t="n">
        <v>45657</v>
      </c>
      <c r="D13122" t="inlineStr">
        <is>
          <t>VÄSTERNORRLANDS LÄN</t>
        </is>
      </c>
      <c r="E13122" t="inlineStr">
        <is>
          <t>ÅNGE</t>
        </is>
      </c>
      <c r="F13122" t="inlineStr">
        <is>
          <t>SCA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18622-2024</t>
        </is>
      </c>
      <c r="B13123" s="1" t="n">
        <v>45426</v>
      </c>
      <c r="C13123" s="1" t="n">
        <v>45657</v>
      </c>
      <c r="D13123" t="inlineStr">
        <is>
          <t>VÄSTERNORRLANDS LÄN</t>
        </is>
      </c>
      <c r="E13123" t="inlineStr">
        <is>
          <t>SOLLEFTEÅ</t>
        </is>
      </c>
      <c r="F13123" t="inlineStr">
        <is>
          <t>SCA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18634-2024</t>
        </is>
      </c>
      <c r="B13124" s="1" t="n">
        <v>45425</v>
      </c>
      <c r="C13124" s="1" t="n">
        <v>45657</v>
      </c>
      <c r="D13124" t="inlineStr">
        <is>
          <t>VÄSTERNORRLANDS LÄN</t>
        </is>
      </c>
      <c r="E13124" t="inlineStr">
        <is>
          <t>TIMRÅ</t>
        </is>
      </c>
      <c r="F13124" t="inlineStr">
        <is>
          <t>SCA</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18638-2024</t>
        </is>
      </c>
      <c r="B13125" s="1" t="n">
        <v>45425</v>
      </c>
      <c r="C13125" s="1" t="n">
        <v>45657</v>
      </c>
      <c r="D13125" t="inlineStr">
        <is>
          <t>VÄSTERNORRLANDS LÄN</t>
        </is>
      </c>
      <c r="E13125" t="inlineStr">
        <is>
          <t>KRAMFORS</t>
        </is>
      </c>
      <c r="F13125" t="inlineStr">
        <is>
          <t>SCA</t>
        </is>
      </c>
      <c r="G13125" t="n">
        <v>9.6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18651-2024</t>
        </is>
      </c>
      <c r="B13126" s="1" t="n">
        <v>45425</v>
      </c>
      <c r="C13126" s="1" t="n">
        <v>45657</v>
      </c>
      <c r="D13126" t="inlineStr">
        <is>
          <t>VÄSTERNORRLANDS LÄN</t>
        </is>
      </c>
      <c r="E13126" t="inlineStr">
        <is>
          <t>HÄRNÖSAND</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18672-2024</t>
        </is>
      </c>
      <c r="B13127" s="1" t="n">
        <v>45425</v>
      </c>
      <c r="C13127" s="1" t="n">
        <v>45657</v>
      </c>
      <c r="D13127" t="inlineStr">
        <is>
          <t>VÄSTERNORRLANDS LÄN</t>
        </is>
      </c>
      <c r="E13127" t="inlineStr">
        <is>
          <t>SOLLEFTEÅ</t>
        </is>
      </c>
      <c r="G13127" t="n">
        <v>22.8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18866-2024</t>
        </is>
      </c>
      <c r="B13128" s="1" t="n">
        <v>45427</v>
      </c>
      <c r="C13128" s="1" t="n">
        <v>45657</v>
      </c>
      <c r="D13128" t="inlineStr">
        <is>
          <t>VÄSTERNORRLANDS LÄN</t>
        </is>
      </c>
      <c r="E13128" t="inlineStr">
        <is>
          <t>ÖRNSKÖLDSVIK</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18878-2024</t>
        </is>
      </c>
      <c r="B13129" s="1" t="n">
        <v>45426</v>
      </c>
      <c r="C13129" s="1" t="n">
        <v>45657</v>
      </c>
      <c r="D13129" t="inlineStr">
        <is>
          <t>VÄSTERNORRLANDS LÄN</t>
        </is>
      </c>
      <c r="E13129" t="inlineStr">
        <is>
          <t>ÅNGE</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18872-2024</t>
        </is>
      </c>
      <c r="B13130" s="1" t="n">
        <v>45427</v>
      </c>
      <c r="C13130" s="1" t="n">
        <v>45657</v>
      </c>
      <c r="D13130" t="inlineStr">
        <is>
          <t>VÄSTERNORRLANDS LÄN</t>
        </is>
      </c>
      <c r="E13130" t="inlineStr">
        <is>
          <t>ÅNGE</t>
        </is>
      </c>
      <c r="F13130" t="inlineStr">
        <is>
          <t>SCA</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18880-2024</t>
        </is>
      </c>
      <c r="B13131" s="1" t="n">
        <v>45426</v>
      </c>
      <c r="C13131" s="1" t="n">
        <v>45657</v>
      </c>
      <c r="D13131" t="inlineStr">
        <is>
          <t>VÄSTERNORRLANDS LÄN</t>
        </is>
      </c>
      <c r="E13131" t="inlineStr">
        <is>
          <t>ÅNGE</t>
        </is>
      </c>
      <c r="F13131" t="inlineStr">
        <is>
          <t>SCA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18869-2024</t>
        </is>
      </c>
      <c r="B13132" s="1" t="n">
        <v>45426</v>
      </c>
      <c r="C13132" s="1" t="n">
        <v>45657</v>
      </c>
      <c r="D13132" t="inlineStr">
        <is>
          <t>VÄSTERNORRLANDS LÄN</t>
        </is>
      </c>
      <c r="E13132" t="inlineStr">
        <is>
          <t>ÅNGE</t>
        </is>
      </c>
      <c r="F13132" t="inlineStr">
        <is>
          <t>SCA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18873-2024</t>
        </is>
      </c>
      <c r="B13133" s="1" t="n">
        <v>45427</v>
      </c>
      <c r="C13133" s="1" t="n">
        <v>45657</v>
      </c>
      <c r="D13133" t="inlineStr">
        <is>
          <t>VÄSTERNORRLANDS LÄN</t>
        </is>
      </c>
      <c r="E13133" t="inlineStr">
        <is>
          <t>SUNDSVALL</t>
        </is>
      </c>
      <c r="F13133" t="inlineStr">
        <is>
          <t>SCA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18881-2024</t>
        </is>
      </c>
      <c r="B13134" s="1" t="n">
        <v>45427</v>
      </c>
      <c r="C13134" s="1" t="n">
        <v>45657</v>
      </c>
      <c r="D13134" t="inlineStr">
        <is>
          <t>VÄSTERNORRLANDS LÄN</t>
        </is>
      </c>
      <c r="E13134" t="inlineStr">
        <is>
          <t>ÅNGE</t>
        </is>
      </c>
      <c r="F13134" t="inlineStr">
        <is>
          <t>SCA</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18874-2024</t>
        </is>
      </c>
      <c r="B13135" s="1" t="n">
        <v>45427</v>
      </c>
      <c r="C13135" s="1" t="n">
        <v>45657</v>
      </c>
      <c r="D13135" t="inlineStr">
        <is>
          <t>VÄSTERNORRLANDS LÄN</t>
        </is>
      </c>
      <c r="E13135" t="inlineStr">
        <is>
          <t>SUNDSVALL</t>
        </is>
      </c>
      <c r="F13135" t="inlineStr">
        <is>
          <t>SCA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18876-2024</t>
        </is>
      </c>
      <c r="B13136" s="1" t="n">
        <v>45427</v>
      </c>
      <c r="C13136" s="1" t="n">
        <v>45657</v>
      </c>
      <c r="D13136" t="inlineStr">
        <is>
          <t>VÄSTERNORRLANDS LÄN</t>
        </is>
      </c>
      <c r="E13136" t="inlineStr">
        <is>
          <t>SUNDSVALL</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18803-2024</t>
        </is>
      </c>
      <c r="B13137" s="1" t="n">
        <v>45426</v>
      </c>
      <c r="C13137" s="1" t="n">
        <v>45657</v>
      </c>
      <c r="D13137" t="inlineStr">
        <is>
          <t>VÄSTERNORRLANDS LÄN</t>
        </is>
      </c>
      <c r="E13137" t="inlineStr">
        <is>
          <t>KRAMFORS</t>
        </is>
      </c>
      <c r="G13137" t="n">
        <v>7.4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18859-2024</t>
        </is>
      </c>
      <c r="B13138" s="1" t="n">
        <v>45426</v>
      </c>
      <c r="C13138" s="1" t="n">
        <v>45657</v>
      </c>
      <c r="D13138" t="inlineStr">
        <is>
          <t>VÄSTERNORRLANDS LÄN</t>
        </is>
      </c>
      <c r="E13138" t="inlineStr">
        <is>
          <t>SUNDSVALL</t>
        </is>
      </c>
      <c r="G13138" t="n">
        <v>7.1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18875-2024</t>
        </is>
      </c>
      <c r="B13139" s="1" t="n">
        <v>45427</v>
      </c>
      <c r="C13139" s="1" t="n">
        <v>45657</v>
      </c>
      <c r="D13139" t="inlineStr">
        <is>
          <t>VÄSTERNORRLANDS LÄN</t>
        </is>
      </c>
      <c r="E13139" t="inlineStr">
        <is>
          <t>SUNDSVALL</t>
        </is>
      </c>
      <c r="F13139" t="inlineStr">
        <is>
          <t>SCA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18879-2024</t>
        </is>
      </c>
      <c r="B13140" s="1" t="n">
        <v>45426</v>
      </c>
      <c r="C13140" s="1" t="n">
        <v>45657</v>
      </c>
      <c r="D13140" t="inlineStr">
        <is>
          <t>VÄSTERNORRLANDS LÄN</t>
        </is>
      </c>
      <c r="E13140" t="inlineStr">
        <is>
          <t>ÅNGE</t>
        </is>
      </c>
      <c r="F13140" t="inlineStr">
        <is>
          <t>SCA</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18688-2024</t>
        </is>
      </c>
      <c r="B13141" s="1" t="n">
        <v>45426</v>
      </c>
      <c r="C13141" s="1" t="n">
        <v>45657</v>
      </c>
      <c r="D13141" t="inlineStr">
        <is>
          <t>VÄSTERNORRLANDS LÄN</t>
        </is>
      </c>
      <c r="E13141" t="inlineStr">
        <is>
          <t>ÖRNSKÖLDSVIK</t>
        </is>
      </c>
      <c r="G13141" t="n">
        <v>24.9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18995-2024</t>
        </is>
      </c>
      <c r="B13142" s="1" t="n">
        <v>45427</v>
      </c>
      <c r="C13142" s="1" t="n">
        <v>45657</v>
      </c>
      <c r="D13142" t="inlineStr">
        <is>
          <t>VÄSTERNORRLANDS LÄN</t>
        </is>
      </c>
      <c r="E13142" t="inlineStr">
        <is>
          <t>ÖRNSKÖLDSVIK</t>
        </is>
      </c>
      <c r="F13142" t="inlineStr">
        <is>
          <t>Holmen skog AB</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19002-2024</t>
        </is>
      </c>
      <c r="B13143" s="1" t="n">
        <v>45427</v>
      </c>
      <c r="C13143" s="1" t="n">
        <v>45657</v>
      </c>
      <c r="D13143" t="inlineStr">
        <is>
          <t>VÄSTERNORRLANDS LÄN</t>
        </is>
      </c>
      <c r="E13143" t="inlineStr">
        <is>
          <t>ÖRNSKÖLDSVIK</t>
        </is>
      </c>
      <c r="F13143" t="inlineStr">
        <is>
          <t>Holmen skog AB</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19067-2024</t>
        </is>
      </c>
      <c r="B13144" s="1" t="n">
        <v>45427</v>
      </c>
      <c r="C13144" s="1" t="n">
        <v>45657</v>
      </c>
      <c r="D13144" t="inlineStr">
        <is>
          <t>VÄSTERNORRLANDS LÄN</t>
        </is>
      </c>
      <c r="E13144" t="inlineStr">
        <is>
          <t>SOLLEFTEÅ</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19066-2024</t>
        </is>
      </c>
      <c r="B13145" s="1" t="n">
        <v>45427</v>
      </c>
      <c r="C13145" s="1" t="n">
        <v>45657</v>
      </c>
      <c r="D13145" t="inlineStr">
        <is>
          <t>VÄSTERNORRLANDS LÄN</t>
        </is>
      </c>
      <c r="E13145" t="inlineStr">
        <is>
          <t>ÅNGE</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19121-2024</t>
        </is>
      </c>
      <c r="B13146" s="1" t="n">
        <v>45427</v>
      </c>
      <c r="C13146" s="1" t="n">
        <v>45657</v>
      </c>
      <c r="D13146" t="inlineStr">
        <is>
          <t>VÄSTERNORRLANDS LÄN</t>
        </is>
      </c>
      <c r="E13146" t="inlineStr">
        <is>
          <t>ÖRNSKÖLDSVIK</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18933-2024</t>
        </is>
      </c>
      <c r="B13147" s="1" t="n">
        <v>45427</v>
      </c>
      <c r="C13147" s="1" t="n">
        <v>45657</v>
      </c>
      <c r="D13147" t="inlineStr">
        <is>
          <t>VÄSTERNORRLANDS LÄN</t>
        </is>
      </c>
      <c r="E13147" t="inlineStr">
        <is>
          <t>SUNDSVALL</t>
        </is>
      </c>
      <c r="G13147" t="n">
        <v>6.4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19114-2024</t>
        </is>
      </c>
      <c r="B13148" s="1" t="n">
        <v>45427</v>
      </c>
      <c r="C13148" s="1" t="n">
        <v>45657</v>
      </c>
      <c r="D13148" t="inlineStr">
        <is>
          <t>VÄSTERNORRLANDS LÄN</t>
        </is>
      </c>
      <c r="E13148" t="inlineStr">
        <is>
          <t>ÖRNSKÖLDSVIK</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18990-2024</t>
        </is>
      </c>
      <c r="B13149" s="1" t="n">
        <v>45427</v>
      </c>
      <c r="C13149" s="1" t="n">
        <v>45657</v>
      </c>
      <c r="D13149" t="inlineStr">
        <is>
          <t>VÄSTERNORRLANDS LÄN</t>
        </is>
      </c>
      <c r="E13149" t="inlineStr">
        <is>
          <t>ÖRNSKÖLDSVIK</t>
        </is>
      </c>
      <c r="F13149" t="inlineStr">
        <is>
          <t>Holmen skog AB</t>
        </is>
      </c>
      <c r="G13149" t="n">
        <v>6.6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19064-2024</t>
        </is>
      </c>
      <c r="B13150" s="1" t="n">
        <v>45427</v>
      </c>
      <c r="C13150" s="1" t="n">
        <v>45657</v>
      </c>
      <c r="D13150" t="inlineStr">
        <is>
          <t>VÄSTERNORRLANDS LÄN</t>
        </is>
      </c>
      <c r="E13150" t="inlineStr">
        <is>
          <t>SOLLEFTEÅ</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19115-2024</t>
        </is>
      </c>
      <c r="B13151" s="1" t="n">
        <v>45427</v>
      </c>
      <c r="C13151" s="1" t="n">
        <v>45657</v>
      </c>
      <c r="D13151" t="inlineStr">
        <is>
          <t>VÄSTERNORRLANDS LÄN</t>
        </is>
      </c>
      <c r="E13151" t="inlineStr">
        <is>
          <t>ÖRNSKÖLDSVIK</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18935-2024</t>
        </is>
      </c>
      <c r="B13152" s="1" t="n">
        <v>45427</v>
      </c>
      <c r="C13152" s="1" t="n">
        <v>45657</v>
      </c>
      <c r="D13152" t="inlineStr">
        <is>
          <t>VÄSTERNORRLANDS LÄN</t>
        </is>
      </c>
      <c r="E13152" t="inlineStr">
        <is>
          <t>ÖRNSKÖLDSVIK</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19032-2024</t>
        </is>
      </c>
      <c r="B13153" s="1" t="n">
        <v>45427</v>
      </c>
      <c r="C13153" s="1" t="n">
        <v>45657</v>
      </c>
      <c r="D13153" t="inlineStr">
        <is>
          <t>VÄSTERNORRLANDS LÄN</t>
        </is>
      </c>
      <c r="E13153" t="inlineStr">
        <is>
          <t>ÖRNSKÖLDSVIK</t>
        </is>
      </c>
      <c r="F13153" t="inlineStr">
        <is>
          <t>Holmen skog AB</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19065-2024</t>
        </is>
      </c>
      <c r="B13154" s="1" t="n">
        <v>45427</v>
      </c>
      <c r="C13154" s="1" t="n">
        <v>45657</v>
      </c>
      <c r="D13154" t="inlineStr">
        <is>
          <t>VÄSTERNORRLANDS LÄN</t>
        </is>
      </c>
      <c r="E13154" t="inlineStr">
        <is>
          <t>SOLLEFTEÅ</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19073-2024</t>
        </is>
      </c>
      <c r="B13155" s="1" t="n">
        <v>45427</v>
      </c>
      <c r="C13155" s="1" t="n">
        <v>45657</v>
      </c>
      <c r="D13155" t="inlineStr">
        <is>
          <t>VÄSTERNORRLANDS LÄN</t>
        </is>
      </c>
      <c r="E13155" t="inlineStr">
        <is>
          <t>ÖRNSKÖLDSVIK</t>
        </is>
      </c>
      <c r="G13155" t="n">
        <v>9.800000000000001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19108-2024</t>
        </is>
      </c>
      <c r="B13156" s="1" t="n">
        <v>45427</v>
      </c>
      <c r="C13156" s="1" t="n">
        <v>45657</v>
      </c>
      <c r="D13156" t="inlineStr">
        <is>
          <t>VÄSTERNORRLANDS LÄN</t>
        </is>
      </c>
      <c r="E13156" t="inlineStr">
        <is>
          <t>ÖRNSKÖLDSVIK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18964-2024</t>
        </is>
      </c>
      <c r="B13157" s="1" t="n">
        <v>45427</v>
      </c>
      <c r="C13157" s="1" t="n">
        <v>45657</v>
      </c>
      <c r="D13157" t="inlineStr">
        <is>
          <t>VÄSTERNORRLANDS LÄN</t>
        </is>
      </c>
      <c r="E13157" t="inlineStr">
        <is>
          <t>ÖRNSKÖLDSVIK</t>
        </is>
      </c>
      <c r="F13157" t="inlineStr">
        <is>
          <t>Holmen skog AB</t>
        </is>
      </c>
      <c r="G13157" t="n">
        <v>4.8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18936-2024</t>
        </is>
      </c>
      <c r="B13158" s="1" t="n">
        <v>45427</v>
      </c>
      <c r="C13158" s="1" t="n">
        <v>45657</v>
      </c>
      <c r="D13158" t="inlineStr">
        <is>
          <t>VÄSTERNORRLANDS LÄN</t>
        </is>
      </c>
      <c r="E13158" t="inlineStr">
        <is>
          <t>ÖRNSKÖLDSVIK</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19017-2024</t>
        </is>
      </c>
      <c r="B13159" s="1" t="n">
        <v>45427</v>
      </c>
      <c r="C13159" s="1" t="n">
        <v>45657</v>
      </c>
      <c r="D13159" t="inlineStr">
        <is>
          <t>VÄSTERNORRLANDS LÄN</t>
        </is>
      </c>
      <c r="E13159" t="inlineStr">
        <is>
          <t>ÖRNSKÖLDSVIK</t>
        </is>
      </c>
      <c r="F13159" t="inlineStr">
        <is>
          <t>Holmen skog AB</t>
        </is>
      </c>
      <c r="G13159" t="n">
        <v>8.699999999999999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19077-2024</t>
        </is>
      </c>
      <c r="B13160" s="1" t="n">
        <v>45428</v>
      </c>
      <c r="C13160" s="1" t="n">
        <v>45657</v>
      </c>
      <c r="D13160" t="inlineStr">
        <is>
          <t>VÄSTERNORRLANDS LÄN</t>
        </is>
      </c>
      <c r="E13160" t="inlineStr">
        <is>
          <t>HÄRNÖSAND</t>
        </is>
      </c>
      <c r="F13160" t="inlineStr">
        <is>
          <t>SCA</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19123-2024</t>
        </is>
      </c>
      <c r="B13161" s="1" t="n">
        <v>45428</v>
      </c>
      <c r="C13161" s="1" t="n">
        <v>45657</v>
      </c>
      <c r="D13161" t="inlineStr">
        <is>
          <t>VÄSTERNORRLANDS LÄN</t>
        </is>
      </c>
      <c r="E13161" t="inlineStr">
        <is>
          <t>HÄRNÖSAND</t>
        </is>
      </c>
      <c r="G13161" t="n">
        <v>11.7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19127-2024</t>
        </is>
      </c>
      <c r="B13162" s="1" t="n">
        <v>45428</v>
      </c>
      <c r="C13162" s="1" t="n">
        <v>45657</v>
      </c>
      <c r="D13162" t="inlineStr">
        <is>
          <t>VÄSTERNORRLANDS LÄN</t>
        </is>
      </c>
      <c r="E13162" t="inlineStr">
        <is>
          <t>ÖRNSKÖLDSVIK</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19084-2024</t>
        </is>
      </c>
      <c r="B13163" s="1" t="n">
        <v>45428</v>
      </c>
      <c r="C13163" s="1" t="n">
        <v>45657</v>
      </c>
      <c r="D13163" t="inlineStr">
        <is>
          <t>VÄSTERNORRLANDS LÄN</t>
        </is>
      </c>
      <c r="E13163" t="inlineStr">
        <is>
          <t>SUNDSVALL</t>
        </is>
      </c>
      <c r="F13163" t="inlineStr">
        <is>
          <t>SCA</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19104-2024</t>
        </is>
      </c>
      <c r="B13164" s="1" t="n">
        <v>45428</v>
      </c>
      <c r="C13164" s="1" t="n">
        <v>45657</v>
      </c>
      <c r="D13164" t="inlineStr">
        <is>
          <t>VÄSTERNORRLANDS LÄN</t>
        </is>
      </c>
      <c r="E13164" t="inlineStr">
        <is>
          <t>ÖRNSKÖLDSVIK</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19122-2024</t>
        </is>
      </c>
      <c r="B13165" s="1" t="n">
        <v>45428</v>
      </c>
      <c r="C13165" s="1" t="n">
        <v>45657</v>
      </c>
      <c r="D13165" t="inlineStr">
        <is>
          <t>VÄSTERNORRLANDS LÄN</t>
        </is>
      </c>
      <c r="E13165" t="inlineStr">
        <is>
          <t>HÄRNÖSAND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19079-2024</t>
        </is>
      </c>
      <c r="B13166" s="1" t="n">
        <v>45428</v>
      </c>
      <c r="C13166" s="1" t="n">
        <v>45657</v>
      </c>
      <c r="D13166" t="inlineStr">
        <is>
          <t>VÄSTERNORRLANDS LÄN</t>
        </is>
      </c>
      <c r="E13166" t="inlineStr">
        <is>
          <t>SUNDSVALL</t>
        </is>
      </c>
      <c r="F13166" t="inlineStr">
        <is>
          <t>SCA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19103-2024</t>
        </is>
      </c>
      <c r="B13167" s="1" t="n">
        <v>45428</v>
      </c>
      <c r="C13167" s="1" t="n">
        <v>45657</v>
      </c>
      <c r="D13167" t="inlineStr">
        <is>
          <t>VÄSTERNORRLANDS LÄN</t>
        </is>
      </c>
      <c r="E13167" t="inlineStr">
        <is>
          <t>ÖRNSKÖLDSVIK</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19265-2024</t>
        </is>
      </c>
      <c r="B13168" s="1" t="n">
        <v>45428</v>
      </c>
      <c r="C13168" s="1" t="n">
        <v>45657</v>
      </c>
      <c r="D13168" t="inlineStr">
        <is>
          <t>VÄSTERNORRLANDS LÄN</t>
        </is>
      </c>
      <c r="E13168" t="inlineStr">
        <is>
          <t>SUNDSVALL</t>
        </is>
      </c>
      <c r="G13168" t="n">
        <v>12.7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19297-2024</t>
        </is>
      </c>
      <c r="B13169" s="1" t="n">
        <v>45428</v>
      </c>
      <c r="C13169" s="1" t="n">
        <v>45657</v>
      </c>
      <c r="D13169" t="inlineStr">
        <is>
          <t>VÄSTERNORRLANDS LÄN</t>
        </is>
      </c>
      <c r="E13169" t="inlineStr">
        <is>
          <t>ÖRNSKÖLDSVIK</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19082-2024</t>
        </is>
      </c>
      <c r="B13170" s="1" t="n">
        <v>45428</v>
      </c>
      <c r="C13170" s="1" t="n">
        <v>45657</v>
      </c>
      <c r="D13170" t="inlineStr">
        <is>
          <t>VÄSTERNORRLANDS LÄN</t>
        </is>
      </c>
      <c r="E13170" t="inlineStr">
        <is>
          <t>SOLLEFTEÅ</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19086-2024</t>
        </is>
      </c>
      <c r="B13171" s="1" t="n">
        <v>45428</v>
      </c>
      <c r="C13171" s="1" t="n">
        <v>45657</v>
      </c>
      <c r="D13171" t="inlineStr">
        <is>
          <t>VÄSTERNORRLANDS LÄN</t>
        </is>
      </c>
      <c r="E13171" t="inlineStr">
        <is>
          <t>SUNDSVALL</t>
        </is>
      </c>
      <c r="F13171" t="inlineStr">
        <is>
          <t>SCA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19098-2024</t>
        </is>
      </c>
      <c r="B13172" s="1" t="n">
        <v>45428</v>
      </c>
      <c r="C13172" s="1" t="n">
        <v>45657</v>
      </c>
      <c r="D13172" t="inlineStr">
        <is>
          <t>VÄSTERNORRLANDS LÄN</t>
        </is>
      </c>
      <c r="E13172" t="inlineStr">
        <is>
          <t>ÖRNSKÖLDSVIK</t>
        </is>
      </c>
      <c r="G13172" t="n">
        <v>12.6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19119-2024</t>
        </is>
      </c>
      <c r="B13173" s="1" t="n">
        <v>45428</v>
      </c>
      <c r="C13173" s="1" t="n">
        <v>45657</v>
      </c>
      <c r="D13173" t="inlineStr">
        <is>
          <t>VÄSTERNORRLANDS LÄN</t>
        </is>
      </c>
      <c r="E13173" t="inlineStr">
        <is>
          <t>HÄRNÖSAND</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19207-2024</t>
        </is>
      </c>
      <c r="B13174" s="1" t="n">
        <v>45428</v>
      </c>
      <c r="C13174" s="1" t="n">
        <v>45657</v>
      </c>
      <c r="D13174" t="inlineStr">
        <is>
          <t>VÄSTERNORRLANDS LÄN</t>
        </is>
      </c>
      <c r="E13174" t="inlineStr">
        <is>
          <t>SOLLEFTEÅ</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19348-2024</t>
        </is>
      </c>
      <c r="B13175" s="1" t="n">
        <v>45428</v>
      </c>
      <c r="C13175" s="1" t="n">
        <v>45657</v>
      </c>
      <c r="D13175" t="inlineStr">
        <is>
          <t>VÄSTERNORRLANDS LÄN</t>
        </is>
      </c>
      <c r="E13175" t="inlineStr">
        <is>
          <t>SUNDSVALL</t>
        </is>
      </c>
      <c r="F13175" t="inlineStr">
        <is>
          <t>SCA</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19343-2024</t>
        </is>
      </c>
      <c r="B13176" s="1" t="n">
        <v>45428</v>
      </c>
      <c r="C13176" s="1" t="n">
        <v>45657</v>
      </c>
      <c r="D13176" t="inlineStr">
        <is>
          <t>VÄSTERNORRLANDS LÄN</t>
        </is>
      </c>
      <c r="E13176" t="inlineStr">
        <is>
          <t>ÅNGE</t>
        </is>
      </c>
      <c r="F13176" t="inlineStr">
        <is>
          <t>SCA</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19347-2024</t>
        </is>
      </c>
      <c r="B13177" s="1" t="n">
        <v>45429</v>
      </c>
      <c r="C13177" s="1" t="n">
        <v>45657</v>
      </c>
      <c r="D13177" t="inlineStr">
        <is>
          <t>VÄSTERNORRLANDS LÄN</t>
        </is>
      </c>
      <c r="E13177" t="inlineStr">
        <is>
          <t>SOLLEFTEÅ</t>
        </is>
      </c>
      <c r="G13177" t="n">
        <v>14.5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19326-2024</t>
        </is>
      </c>
      <c r="B13178" s="1" t="n">
        <v>45428</v>
      </c>
      <c r="C13178" s="1" t="n">
        <v>45657</v>
      </c>
      <c r="D13178" t="inlineStr">
        <is>
          <t>VÄSTERNORRLANDS LÄN</t>
        </is>
      </c>
      <c r="E13178" t="inlineStr">
        <is>
          <t>SOLLEFTEÅ</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19334-2024</t>
        </is>
      </c>
      <c r="B13179" s="1" t="n">
        <v>45429</v>
      </c>
      <c r="C13179" s="1" t="n">
        <v>45657</v>
      </c>
      <c r="D13179" t="inlineStr">
        <is>
          <t>VÄSTERNORRLANDS LÄN</t>
        </is>
      </c>
      <c r="E13179" t="inlineStr">
        <is>
          <t>SUNDSVALL</t>
        </is>
      </c>
      <c r="F13179" t="inlineStr">
        <is>
          <t>SCA</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19338-2024</t>
        </is>
      </c>
      <c r="B13180" s="1" t="n">
        <v>45428</v>
      </c>
      <c r="C13180" s="1" t="n">
        <v>45657</v>
      </c>
      <c r="D13180" t="inlineStr">
        <is>
          <t>VÄSTERNORRLANDS LÄN</t>
        </is>
      </c>
      <c r="E13180" t="inlineStr">
        <is>
          <t>SUNDSVALL</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19342-2024</t>
        </is>
      </c>
      <c r="B13181" s="1" t="n">
        <v>45428</v>
      </c>
      <c r="C13181" s="1" t="n">
        <v>45657</v>
      </c>
      <c r="D13181" t="inlineStr">
        <is>
          <t>VÄSTERNORRLANDS LÄN</t>
        </is>
      </c>
      <c r="E13181" t="inlineStr">
        <is>
          <t>ÅNGE</t>
        </is>
      </c>
      <c r="F13181" t="inlineStr">
        <is>
          <t>SCA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19396-2024</t>
        </is>
      </c>
      <c r="B13182" s="1" t="n">
        <v>45428</v>
      </c>
      <c r="C13182" s="1" t="n">
        <v>45657</v>
      </c>
      <c r="D13182" t="inlineStr">
        <is>
          <t>VÄSTERNORRLANDS LÄN</t>
        </is>
      </c>
      <c r="E13182" t="inlineStr">
        <is>
          <t>ÅNGE</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19361-2024</t>
        </is>
      </c>
      <c r="B13183" s="1" t="n">
        <v>45429</v>
      </c>
      <c r="C13183" s="1" t="n">
        <v>45657</v>
      </c>
      <c r="D13183" t="inlineStr">
        <is>
          <t>VÄSTERNORRLANDS LÄN</t>
        </is>
      </c>
      <c r="E13183" t="inlineStr">
        <is>
          <t>ÖRNSKÖLDSVIK</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19455-2024</t>
        </is>
      </c>
      <c r="B13184" s="1" t="n">
        <v>45429</v>
      </c>
      <c r="C13184" s="1" t="n">
        <v>45657</v>
      </c>
      <c r="D13184" t="inlineStr">
        <is>
          <t>VÄSTERNORRLANDS LÄN</t>
        </is>
      </c>
      <c r="E13184" t="inlineStr">
        <is>
          <t>TIMRÅ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19355-2024</t>
        </is>
      </c>
      <c r="B13185" s="1" t="n">
        <v>45429</v>
      </c>
      <c r="C13185" s="1" t="n">
        <v>45657</v>
      </c>
      <c r="D13185" t="inlineStr">
        <is>
          <t>VÄSTERNORRLANDS LÄN</t>
        </is>
      </c>
      <c r="E13185" t="inlineStr">
        <is>
          <t>ÖRNSKÖLDSVIK</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19429-2024</t>
        </is>
      </c>
      <c r="B13186" s="1" t="n">
        <v>45429</v>
      </c>
      <c r="C13186" s="1" t="n">
        <v>45657</v>
      </c>
      <c r="D13186" t="inlineStr">
        <is>
          <t>VÄSTERNORRLANDS LÄN</t>
        </is>
      </c>
      <c r="E13186" t="inlineStr">
        <is>
          <t>SOLLEFTEÅ</t>
        </is>
      </c>
      <c r="G13186" t="n">
        <v>10.6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19437-2024</t>
        </is>
      </c>
      <c r="B13187" s="1" t="n">
        <v>45429</v>
      </c>
      <c r="C13187" s="1" t="n">
        <v>45657</v>
      </c>
      <c r="D13187" t="inlineStr">
        <is>
          <t>VÄSTERNORRLANDS LÄN</t>
        </is>
      </c>
      <c r="E13187" t="inlineStr">
        <is>
          <t>ÖRNSKÖLDSVIK</t>
        </is>
      </c>
      <c r="F13187" t="inlineStr">
        <is>
          <t>Holmen skog AB</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19360-2024</t>
        </is>
      </c>
      <c r="B13188" s="1" t="n">
        <v>45429</v>
      </c>
      <c r="C13188" s="1" t="n">
        <v>45657</v>
      </c>
      <c r="D13188" t="inlineStr">
        <is>
          <t>VÄSTERNORRLANDS LÄN</t>
        </is>
      </c>
      <c r="E13188" t="inlineStr">
        <is>
          <t>ÖRNSKÖLDSVIK</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19422-2024</t>
        </is>
      </c>
      <c r="B13189" s="1" t="n">
        <v>45429</v>
      </c>
      <c r="C13189" s="1" t="n">
        <v>45657</v>
      </c>
      <c r="D13189" t="inlineStr">
        <is>
          <t>VÄSTERNORRLANDS LÄN</t>
        </is>
      </c>
      <c r="E13189" t="inlineStr">
        <is>
          <t>HÄRNÖSAND</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19466-2024</t>
        </is>
      </c>
      <c r="B13190" s="1" t="n">
        <v>45429</v>
      </c>
      <c r="C13190" s="1" t="n">
        <v>45657</v>
      </c>
      <c r="D13190" t="inlineStr">
        <is>
          <t>VÄSTERNORRLANDS LÄN</t>
        </is>
      </c>
      <c r="E13190" t="inlineStr">
        <is>
          <t>ÖRNSKÖLDSVIK</t>
        </is>
      </c>
      <c r="F13190" t="inlineStr">
        <is>
          <t>Holmen skog AB</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19557-2024</t>
        </is>
      </c>
      <c r="B13191" s="1" t="n">
        <v>45429</v>
      </c>
      <c r="C13191" s="1" t="n">
        <v>45657</v>
      </c>
      <c r="D13191" t="inlineStr">
        <is>
          <t>VÄSTERNORRLANDS LÄN</t>
        </is>
      </c>
      <c r="E13191" t="inlineStr">
        <is>
          <t>ÅNGE</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19558-2024</t>
        </is>
      </c>
      <c r="B13192" s="1" t="n">
        <v>45429</v>
      </c>
      <c r="C13192" s="1" t="n">
        <v>45657</v>
      </c>
      <c r="D13192" t="inlineStr">
        <is>
          <t>VÄSTERNORRLANDS LÄN</t>
        </is>
      </c>
      <c r="E13192" t="inlineStr">
        <is>
          <t>TIMRÅ</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19577-2024</t>
        </is>
      </c>
      <c r="B13193" s="1" t="n">
        <v>45429</v>
      </c>
      <c r="C13193" s="1" t="n">
        <v>45657</v>
      </c>
      <c r="D13193" t="inlineStr">
        <is>
          <t>VÄSTERNORRLANDS LÄN</t>
        </is>
      </c>
      <c r="E13193" t="inlineStr">
        <is>
          <t>SOLLEFTEÅ</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19586-2024</t>
        </is>
      </c>
      <c r="B13194" s="1" t="n">
        <v>45429</v>
      </c>
      <c r="C13194" s="1" t="n">
        <v>45657</v>
      </c>
      <c r="D13194" t="inlineStr">
        <is>
          <t>VÄSTERNORRLANDS LÄN</t>
        </is>
      </c>
      <c r="E13194" t="inlineStr">
        <is>
          <t>SUNDSVALL</t>
        </is>
      </c>
      <c r="F13194" t="inlineStr">
        <is>
          <t>SCA</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19548-2024</t>
        </is>
      </c>
      <c r="B13195" s="1" t="n">
        <v>45429</v>
      </c>
      <c r="C13195" s="1" t="n">
        <v>45657</v>
      </c>
      <c r="D13195" t="inlineStr">
        <is>
          <t>VÄSTERNORRLANDS LÄN</t>
        </is>
      </c>
      <c r="E13195" t="inlineStr">
        <is>
          <t>ÖRNSKÖLDSVIK</t>
        </is>
      </c>
      <c r="F13195" t="inlineStr">
        <is>
          <t>Holmen skog AB</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19556-2024</t>
        </is>
      </c>
      <c r="B13196" s="1" t="n">
        <v>45429</v>
      </c>
      <c r="C13196" s="1" t="n">
        <v>45657</v>
      </c>
      <c r="D13196" t="inlineStr">
        <is>
          <t>VÄSTERNORRLANDS LÄN</t>
        </is>
      </c>
      <c r="E13196" t="inlineStr">
        <is>
          <t>SOLLEFTEÅ</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19580-2024</t>
        </is>
      </c>
      <c r="B13197" s="1" t="n">
        <v>45429</v>
      </c>
      <c r="C13197" s="1" t="n">
        <v>45657</v>
      </c>
      <c r="D13197" t="inlineStr">
        <is>
          <t>VÄSTERNORRLANDS LÄN</t>
        </is>
      </c>
      <c r="E13197" t="inlineStr">
        <is>
          <t>SOLLEFTEÅ</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19571-2024</t>
        </is>
      </c>
      <c r="B13198" s="1" t="n">
        <v>45429</v>
      </c>
      <c r="C13198" s="1" t="n">
        <v>45657</v>
      </c>
      <c r="D13198" t="inlineStr">
        <is>
          <t>VÄSTERNORRLANDS LÄN</t>
        </is>
      </c>
      <c r="E13198" t="inlineStr">
        <is>
          <t>SOLLEFTEÅ</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19602-2024</t>
        </is>
      </c>
      <c r="B13199" s="1" t="n">
        <v>45431</v>
      </c>
      <c r="C13199" s="1" t="n">
        <v>45657</v>
      </c>
      <c r="D13199" t="inlineStr">
        <is>
          <t>VÄSTERNORRLANDS LÄN</t>
        </is>
      </c>
      <c r="E13199" t="inlineStr">
        <is>
          <t>SOLLEFTEÅ</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19737-2024</t>
        </is>
      </c>
      <c r="B13200" s="1" t="n">
        <v>45432</v>
      </c>
      <c r="C13200" s="1" t="n">
        <v>45657</v>
      </c>
      <c r="D13200" t="inlineStr">
        <is>
          <t>VÄSTERNORRLANDS LÄN</t>
        </is>
      </c>
      <c r="E13200" t="inlineStr">
        <is>
          <t>ÖRNSKÖLDSVIK</t>
        </is>
      </c>
      <c r="F13200" t="inlineStr">
        <is>
          <t>Holmen skog AB</t>
        </is>
      </c>
      <c r="G13200" t="n">
        <v>4.9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19723-2024</t>
        </is>
      </c>
      <c r="B13201" s="1" t="n">
        <v>45432</v>
      </c>
      <c r="C13201" s="1" t="n">
        <v>45657</v>
      </c>
      <c r="D13201" t="inlineStr">
        <is>
          <t>VÄSTERNORRLANDS LÄN</t>
        </is>
      </c>
      <c r="E13201" t="inlineStr">
        <is>
          <t>SUNDSVALL</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19779-2024</t>
        </is>
      </c>
      <c r="B13202" s="1" t="n">
        <v>45432</v>
      </c>
      <c r="C13202" s="1" t="n">
        <v>45657</v>
      </c>
      <c r="D13202" t="inlineStr">
        <is>
          <t>VÄSTERNORRLANDS LÄN</t>
        </is>
      </c>
      <c r="E13202" t="inlineStr">
        <is>
          <t>KRAMFORS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19778-2024</t>
        </is>
      </c>
      <c r="B13203" s="1" t="n">
        <v>45432</v>
      </c>
      <c r="C13203" s="1" t="n">
        <v>45657</v>
      </c>
      <c r="D13203" t="inlineStr">
        <is>
          <t>VÄSTERNORRLANDS LÄN</t>
        </is>
      </c>
      <c r="E13203" t="inlineStr">
        <is>
          <t>KRAMFORS</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19655-2024</t>
        </is>
      </c>
      <c r="B13204" s="1" t="n">
        <v>45432</v>
      </c>
      <c r="C13204" s="1" t="n">
        <v>45657</v>
      </c>
      <c r="D13204" t="inlineStr">
        <is>
          <t>VÄSTERNORRLANDS LÄN</t>
        </is>
      </c>
      <c r="E13204" t="inlineStr">
        <is>
          <t>KRAMFORS</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19611-2024</t>
        </is>
      </c>
      <c r="B13205" s="1" t="n">
        <v>45432</v>
      </c>
      <c r="C13205" s="1" t="n">
        <v>45657</v>
      </c>
      <c r="D13205" t="inlineStr">
        <is>
          <t>VÄSTERNORRLANDS LÄN</t>
        </is>
      </c>
      <c r="E13205" t="inlineStr">
        <is>
          <t>ÖRNSKÖLDSVIK</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19810-2024</t>
        </is>
      </c>
      <c r="B13206" s="1" t="n">
        <v>45433</v>
      </c>
      <c r="C13206" s="1" t="n">
        <v>45657</v>
      </c>
      <c r="D13206" t="inlineStr">
        <is>
          <t>VÄSTERNORRLANDS LÄN</t>
        </is>
      </c>
      <c r="E13206" t="inlineStr">
        <is>
          <t>SUNDSVALL</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19812-2024</t>
        </is>
      </c>
      <c r="B13207" s="1" t="n">
        <v>45433</v>
      </c>
      <c r="C13207" s="1" t="n">
        <v>45657</v>
      </c>
      <c r="D13207" t="inlineStr">
        <is>
          <t>VÄSTERNORRLANDS LÄN</t>
        </is>
      </c>
      <c r="E13207" t="inlineStr">
        <is>
          <t>ÖRNSKÖLDSVIK</t>
        </is>
      </c>
      <c r="F13207" t="inlineStr">
        <is>
          <t>Holmen skog AB</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19835-2024</t>
        </is>
      </c>
      <c r="B13208" s="1" t="n">
        <v>45433</v>
      </c>
      <c r="C13208" s="1" t="n">
        <v>45657</v>
      </c>
      <c r="D13208" t="inlineStr">
        <is>
          <t>VÄSTERNORRLANDS LÄN</t>
        </is>
      </c>
      <c r="E13208" t="inlineStr">
        <is>
          <t>KRAMFORS</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19840-2024</t>
        </is>
      </c>
      <c r="B13209" s="1" t="n">
        <v>45433</v>
      </c>
      <c r="C13209" s="1" t="n">
        <v>45657</v>
      </c>
      <c r="D13209" t="inlineStr">
        <is>
          <t>VÄSTERNORRLANDS LÄN</t>
        </is>
      </c>
      <c r="E13209" t="inlineStr">
        <is>
          <t>ÖRNSKÖLDSVIK</t>
        </is>
      </c>
      <c r="F13209" t="inlineStr">
        <is>
          <t>Holmen skog AB</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19845-2024</t>
        </is>
      </c>
      <c r="B13210" s="1" t="n">
        <v>45433</v>
      </c>
      <c r="C13210" s="1" t="n">
        <v>45657</v>
      </c>
      <c r="D13210" t="inlineStr">
        <is>
          <t>VÄSTERNORRLANDS LÄN</t>
        </is>
      </c>
      <c r="E13210" t="inlineStr">
        <is>
          <t>ÖRNSKÖLDSVIK</t>
        </is>
      </c>
      <c r="F13210" t="inlineStr">
        <is>
          <t>Holmen skog AB</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19829-2024</t>
        </is>
      </c>
      <c r="B13211" s="1" t="n">
        <v>45433</v>
      </c>
      <c r="C13211" s="1" t="n">
        <v>45657</v>
      </c>
      <c r="D13211" t="inlineStr">
        <is>
          <t>VÄSTERNORRLANDS LÄN</t>
        </is>
      </c>
      <c r="E13211" t="inlineStr">
        <is>
          <t>ÖRNSKÖLDSVIK</t>
        </is>
      </c>
      <c r="F13211" t="inlineStr">
        <is>
          <t>Holmen skog AB</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19855-2024</t>
        </is>
      </c>
      <c r="B13212" s="1" t="n">
        <v>45433</v>
      </c>
      <c r="C13212" s="1" t="n">
        <v>45657</v>
      </c>
      <c r="D13212" t="inlineStr">
        <is>
          <t>VÄSTERNORRLANDS LÄN</t>
        </is>
      </c>
      <c r="E13212" t="inlineStr">
        <is>
          <t>KRAMFORS</t>
        </is>
      </c>
      <c r="G13212" t="n">
        <v>18.9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19866-2024</t>
        </is>
      </c>
      <c r="B13213" s="1" t="n">
        <v>45433</v>
      </c>
      <c r="C13213" s="1" t="n">
        <v>45657</v>
      </c>
      <c r="D13213" t="inlineStr">
        <is>
          <t>VÄSTERNORRLANDS LÄN</t>
        </is>
      </c>
      <c r="E13213" t="inlineStr">
        <is>
          <t>SUNDSVALL</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19889-2024</t>
        </is>
      </c>
      <c r="B13214" s="1" t="n">
        <v>45433</v>
      </c>
      <c r="C13214" s="1" t="n">
        <v>45657</v>
      </c>
      <c r="D13214" t="inlineStr">
        <is>
          <t>VÄSTERNORRLANDS LÄN</t>
        </is>
      </c>
      <c r="E13214" t="inlineStr">
        <is>
          <t>ÖRNSKÖLDSVIK</t>
        </is>
      </c>
      <c r="F13214" t="inlineStr">
        <is>
          <t>Holmen skog AB</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19949-2024</t>
        </is>
      </c>
      <c r="B13215" s="1" t="n">
        <v>45433</v>
      </c>
      <c r="C13215" s="1" t="n">
        <v>45657</v>
      </c>
      <c r="D13215" t="inlineStr">
        <is>
          <t>VÄSTERNORRLANDS LÄN</t>
        </is>
      </c>
      <c r="E13215" t="inlineStr">
        <is>
          <t>HÄRNÖSAND</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19958-2024</t>
        </is>
      </c>
      <c r="B13216" s="1" t="n">
        <v>45433</v>
      </c>
      <c r="C13216" s="1" t="n">
        <v>45657</v>
      </c>
      <c r="D13216" t="inlineStr">
        <is>
          <t>VÄSTERNORRLANDS LÄN</t>
        </is>
      </c>
      <c r="E13216" t="inlineStr">
        <is>
          <t>ÖRNSKÖLDSVIK</t>
        </is>
      </c>
      <c r="F13216" t="inlineStr">
        <is>
          <t>Holmen skog AB</t>
        </is>
      </c>
      <c r="G13216" t="n">
        <v>6.1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19991-2024</t>
        </is>
      </c>
      <c r="B13217" s="1" t="n">
        <v>45433</v>
      </c>
      <c r="C13217" s="1" t="n">
        <v>45657</v>
      </c>
      <c r="D13217" t="inlineStr">
        <is>
          <t>VÄSTERNORRLANDS LÄN</t>
        </is>
      </c>
      <c r="E13217" t="inlineStr">
        <is>
          <t>ÖRNSKÖLDSVIK</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19994-2024</t>
        </is>
      </c>
      <c r="B13218" s="1" t="n">
        <v>45434</v>
      </c>
      <c r="C13218" s="1" t="n">
        <v>45657</v>
      </c>
      <c r="D13218" t="inlineStr">
        <is>
          <t>VÄSTERNORRLANDS LÄN</t>
        </is>
      </c>
      <c r="E13218" t="inlineStr">
        <is>
          <t>SOLLEFTEÅ</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19935-2024</t>
        </is>
      </c>
      <c r="B13219" s="1" t="n">
        <v>45433</v>
      </c>
      <c r="C13219" s="1" t="n">
        <v>45657</v>
      </c>
      <c r="D13219" t="inlineStr">
        <is>
          <t>VÄSTERNORRLANDS LÄN</t>
        </is>
      </c>
      <c r="E13219" t="inlineStr">
        <is>
          <t>ÖRNSKÖLDSVIK</t>
        </is>
      </c>
      <c r="F13219" t="inlineStr">
        <is>
          <t>Holmen skog AB</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19960-2024</t>
        </is>
      </c>
      <c r="B13220" s="1" t="n">
        <v>45433</v>
      </c>
      <c r="C13220" s="1" t="n">
        <v>45657</v>
      </c>
      <c r="D13220" t="inlineStr">
        <is>
          <t>VÄSTERNORRLANDS LÄN</t>
        </is>
      </c>
      <c r="E13220" t="inlineStr">
        <is>
          <t>HÄRNÖSAND</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20007-2024</t>
        </is>
      </c>
      <c r="B13221" s="1" t="n">
        <v>45433</v>
      </c>
      <c r="C13221" s="1" t="n">
        <v>45657</v>
      </c>
      <c r="D13221" t="inlineStr">
        <is>
          <t>VÄSTERNORRLANDS LÄN</t>
        </is>
      </c>
      <c r="E13221" t="inlineStr">
        <is>
          <t>SUNDSVALL</t>
        </is>
      </c>
      <c r="F13221" t="inlineStr">
        <is>
          <t>SCA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20008-2024</t>
        </is>
      </c>
      <c r="B13222" s="1" t="n">
        <v>45433</v>
      </c>
      <c r="C13222" s="1" t="n">
        <v>45657</v>
      </c>
      <c r="D13222" t="inlineStr">
        <is>
          <t>VÄSTERNORRLANDS LÄN</t>
        </is>
      </c>
      <c r="E13222" t="inlineStr">
        <is>
          <t>SUNDSVALL</t>
        </is>
      </c>
      <c r="F13222" t="inlineStr">
        <is>
          <t>SCA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20002-2024</t>
        </is>
      </c>
      <c r="B13223" s="1" t="n">
        <v>45433</v>
      </c>
      <c r="C13223" s="1" t="n">
        <v>45657</v>
      </c>
      <c r="D13223" t="inlineStr">
        <is>
          <t>VÄSTERNORRLANDS LÄN</t>
        </is>
      </c>
      <c r="E13223" t="inlineStr">
        <is>
          <t>SOLLEFTEÅ</t>
        </is>
      </c>
      <c r="F13223" t="inlineStr">
        <is>
          <t>SCA</t>
        </is>
      </c>
      <c r="G13223" t="n">
        <v>6.4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20010-2024</t>
        </is>
      </c>
      <c r="B13224" s="1" t="n">
        <v>45433</v>
      </c>
      <c r="C13224" s="1" t="n">
        <v>45657</v>
      </c>
      <c r="D13224" t="inlineStr">
        <is>
          <t>VÄSTERNORRLANDS LÄN</t>
        </is>
      </c>
      <c r="E13224" t="inlineStr">
        <is>
          <t>SUNDSVALL</t>
        </is>
      </c>
      <c r="F13224" t="inlineStr">
        <is>
          <t>SCA</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20006-2024</t>
        </is>
      </c>
      <c r="B13225" s="1" t="n">
        <v>45433</v>
      </c>
      <c r="C13225" s="1" t="n">
        <v>45657</v>
      </c>
      <c r="D13225" t="inlineStr">
        <is>
          <t>VÄSTERNORRLANDS LÄN</t>
        </is>
      </c>
      <c r="E13225" t="inlineStr">
        <is>
          <t>SUNDSVALL</t>
        </is>
      </c>
      <c r="F13225" t="inlineStr">
        <is>
          <t>SCA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20022-2024</t>
        </is>
      </c>
      <c r="B13226" s="1" t="n">
        <v>45434</v>
      </c>
      <c r="C13226" s="1" t="n">
        <v>45657</v>
      </c>
      <c r="D13226" t="inlineStr">
        <is>
          <t>VÄSTERNORRLANDS LÄN</t>
        </is>
      </c>
      <c r="E13226" t="inlineStr">
        <is>
          <t>SOLLEFTEÅ</t>
        </is>
      </c>
      <c r="F13226" t="inlineStr">
        <is>
          <t>Holmen skog AB</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20071-2024</t>
        </is>
      </c>
      <c r="B13227" s="1" t="n">
        <v>45434</v>
      </c>
      <c r="C13227" s="1" t="n">
        <v>45657</v>
      </c>
      <c r="D13227" t="inlineStr">
        <is>
          <t>VÄSTERNORRLANDS LÄN</t>
        </is>
      </c>
      <c r="E13227" t="inlineStr">
        <is>
          <t>ÖRNSKÖLDSVIK</t>
        </is>
      </c>
      <c r="F13227" t="inlineStr">
        <is>
          <t>Holmen skog AB</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20099-2024</t>
        </is>
      </c>
      <c r="B13228" s="1" t="n">
        <v>45434</v>
      </c>
      <c r="C13228" s="1" t="n">
        <v>45657</v>
      </c>
      <c r="D13228" t="inlineStr">
        <is>
          <t>VÄSTERNORRLANDS LÄN</t>
        </is>
      </c>
      <c r="E13228" t="inlineStr">
        <is>
          <t>ÖRNSKÖLDSVIK</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20076-2024</t>
        </is>
      </c>
      <c r="B13229" s="1" t="n">
        <v>45434</v>
      </c>
      <c r="C13229" s="1" t="n">
        <v>45657</v>
      </c>
      <c r="D13229" t="inlineStr">
        <is>
          <t>VÄSTERNORRLANDS LÄN</t>
        </is>
      </c>
      <c r="E13229" t="inlineStr">
        <is>
          <t>ÖRNSKÖLDSVIK</t>
        </is>
      </c>
      <c r="F13229" t="inlineStr">
        <is>
          <t>Holmen skog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20025-2024</t>
        </is>
      </c>
      <c r="B13230" s="1" t="n">
        <v>45434</v>
      </c>
      <c r="C13230" s="1" t="n">
        <v>45657</v>
      </c>
      <c r="D13230" t="inlineStr">
        <is>
          <t>VÄSTERNORRLANDS LÄN</t>
        </is>
      </c>
      <c r="E13230" t="inlineStr">
        <is>
          <t>SOLLEFTEÅ</t>
        </is>
      </c>
      <c r="F13230" t="inlineStr">
        <is>
          <t>Holmen skog AB</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20041-2024</t>
        </is>
      </c>
      <c r="B13231" s="1" t="n">
        <v>45434</v>
      </c>
      <c r="C13231" s="1" t="n">
        <v>45657</v>
      </c>
      <c r="D13231" t="inlineStr">
        <is>
          <t>VÄSTERNORRLANDS LÄN</t>
        </is>
      </c>
      <c r="E13231" t="inlineStr">
        <is>
          <t>ÖRNSKÖLDSVIK</t>
        </is>
      </c>
      <c r="F13231" t="inlineStr">
        <is>
          <t>Holmen skog AB</t>
        </is>
      </c>
      <c r="G13231" t="n">
        <v>9.300000000000001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20066-2024</t>
        </is>
      </c>
      <c r="B13232" s="1" t="n">
        <v>45434</v>
      </c>
      <c r="C13232" s="1" t="n">
        <v>45657</v>
      </c>
      <c r="D13232" t="inlineStr">
        <is>
          <t>VÄSTERNORRLANDS LÄN</t>
        </is>
      </c>
      <c r="E13232" t="inlineStr">
        <is>
          <t>SOLLEFTEÅ</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20089-2024</t>
        </is>
      </c>
      <c r="B13233" s="1" t="n">
        <v>45434</v>
      </c>
      <c r="C13233" s="1" t="n">
        <v>45657</v>
      </c>
      <c r="D13233" t="inlineStr">
        <is>
          <t>VÄSTERNORRLANDS LÄN</t>
        </is>
      </c>
      <c r="E13233" t="inlineStr">
        <is>
          <t>TIMRÅ</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20222-2024</t>
        </is>
      </c>
      <c r="B13234" s="1" t="n">
        <v>45434</v>
      </c>
      <c r="C13234" s="1" t="n">
        <v>45657</v>
      </c>
      <c r="D13234" t="inlineStr">
        <is>
          <t>VÄSTERNORRLANDS LÄN</t>
        </is>
      </c>
      <c r="E13234" t="inlineStr">
        <is>
          <t>ÖRNSKÖLDSVIK</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20226-2024</t>
        </is>
      </c>
      <c r="B13235" s="1" t="n">
        <v>45434</v>
      </c>
      <c r="C13235" s="1" t="n">
        <v>45657</v>
      </c>
      <c r="D13235" t="inlineStr">
        <is>
          <t>VÄSTERNORRLANDS LÄN</t>
        </is>
      </c>
      <c r="E13235" t="inlineStr">
        <is>
          <t>TIMRÅ</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20230-2024</t>
        </is>
      </c>
      <c r="B13236" s="1" t="n">
        <v>45434</v>
      </c>
      <c r="C13236" s="1" t="n">
        <v>45657</v>
      </c>
      <c r="D13236" t="inlineStr">
        <is>
          <t>VÄSTERNORRLANDS LÄN</t>
        </is>
      </c>
      <c r="E13236" t="inlineStr">
        <is>
          <t>TIMRÅ</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20234-2024</t>
        </is>
      </c>
      <c r="B13237" s="1" t="n">
        <v>45434</v>
      </c>
      <c r="C13237" s="1" t="n">
        <v>45657</v>
      </c>
      <c r="D13237" t="inlineStr">
        <is>
          <t>VÄSTERNORRLANDS LÄN</t>
        </is>
      </c>
      <c r="E13237" t="inlineStr">
        <is>
          <t>ÖRNSKÖLDSVIK</t>
        </is>
      </c>
      <c r="F13237" t="inlineStr">
        <is>
          <t>Holmen skog AB</t>
        </is>
      </c>
      <c r="G13237" t="n">
        <v>9.300000000000001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20183-2024</t>
        </is>
      </c>
      <c r="B13238" s="1" t="n">
        <v>45434</v>
      </c>
      <c r="C13238" s="1" t="n">
        <v>45657</v>
      </c>
      <c r="D13238" t="inlineStr">
        <is>
          <t>VÄSTERNORRLANDS LÄN</t>
        </is>
      </c>
      <c r="E13238" t="inlineStr">
        <is>
          <t>SUNDSVALL</t>
        </is>
      </c>
      <c r="G13238" t="n">
        <v>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20223-2024</t>
        </is>
      </c>
      <c r="B13239" s="1" t="n">
        <v>45434</v>
      </c>
      <c r="C13239" s="1" t="n">
        <v>45657</v>
      </c>
      <c r="D13239" t="inlineStr">
        <is>
          <t>VÄSTERNORRLANDS LÄN</t>
        </is>
      </c>
      <c r="E13239" t="inlineStr">
        <is>
          <t>SOLLEFTEÅ</t>
        </is>
      </c>
      <c r="G13239" t="n">
        <v>5.5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20282-2024</t>
        </is>
      </c>
      <c r="B13240" s="1" t="n">
        <v>45434</v>
      </c>
      <c r="C13240" s="1" t="n">
        <v>45657</v>
      </c>
      <c r="D13240" t="inlineStr">
        <is>
          <t>VÄSTERNORRLANDS LÄN</t>
        </is>
      </c>
      <c r="E13240" t="inlineStr">
        <is>
          <t>SUNDSVALL</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20313-2024</t>
        </is>
      </c>
      <c r="B13241" s="1" t="n">
        <v>45434</v>
      </c>
      <c r="C13241" s="1" t="n">
        <v>45657</v>
      </c>
      <c r="D13241" t="inlineStr">
        <is>
          <t>VÄSTERNORRLANDS LÄN</t>
        </is>
      </c>
      <c r="E13241" t="inlineStr">
        <is>
          <t>TIMRÅ</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20277-2024</t>
        </is>
      </c>
      <c r="B13242" s="1" t="n">
        <v>45434</v>
      </c>
      <c r="C13242" s="1" t="n">
        <v>45657</v>
      </c>
      <c r="D13242" t="inlineStr">
        <is>
          <t>VÄSTERNORRLANDS LÄN</t>
        </is>
      </c>
      <c r="E13242" t="inlineStr">
        <is>
          <t>SUNDSVALL</t>
        </is>
      </c>
      <c r="F13242" t="inlineStr">
        <is>
          <t>SCA</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20281-2024</t>
        </is>
      </c>
      <c r="B13243" s="1" t="n">
        <v>45435</v>
      </c>
      <c r="C13243" s="1" t="n">
        <v>45657</v>
      </c>
      <c r="D13243" t="inlineStr">
        <is>
          <t>VÄSTERNORRLANDS LÄN</t>
        </is>
      </c>
      <c r="E13243" t="inlineStr">
        <is>
          <t>SOLLEFTEÅ</t>
        </is>
      </c>
      <c r="F13243" t="inlineStr">
        <is>
          <t>SCA</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20172-2024</t>
        </is>
      </c>
      <c r="B13244" s="1" t="n">
        <v>45434</v>
      </c>
      <c r="C13244" s="1" t="n">
        <v>45657</v>
      </c>
      <c r="D13244" t="inlineStr">
        <is>
          <t>VÄSTERNORRLANDS LÄN</t>
        </is>
      </c>
      <c r="E13244" t="inlineStr">
        <is>
          <t>ÖRNSKÖLDSVIK</t>
        </is>
      </c>
      <c r="F13244" t="inlineStr">
        <is>
          <t>Holmen skog AB</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20216-2024</t>
        </is>
      </c>
      <c r="B13245" s="1" t="n">
        <v>45434</v>
      </c>
      <c r="C13245" s="1" t="n">
        <v>45657</v>
      </c>
      <c r="D13245" t="inlineStr">
        <is>
          <t>VÄSTERNORRLANDS LÄN</t>
        </is>
      </c>
      <c r="E13245" t="inlineStr">
        <is>
          <t>ÖRNSKÖLDSVIK</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20252-2024</t>
        </is>
      </c>
      <c r="B13246" s="1" t="n">
        <v>45435</v>
      </c>
      <c r="C13246" s="1" t="n">
        <v>45657</v>
      </c>
      <c r="D13246" t="inlineStr">
        <is>
          <t>VÄSTERNORRLANDS LÄN</t>
        </is>
      </c>
      <c r="E13246" t="inlineStr">
        <is>
          <t>SUNDSVALL</t>
        </is>
      </c>
      <c r="G13246" t="n">
        <v>9.199999999999999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20276-2024</t>
        </is>
      </c>
      <c r="B13247" s="1" t="n">
        <v>45435</v>
      </c>
      <c r="C13247" s="1" t="n">
        <v>45657</v>
      </c>
      <c r="D13247" t="inlineStr">
        <is>
          <t>VÄSTERNORRLANDS LÄN</t>
        </is>
      </c>
      <c r="E13247" t="inlineStr">
        <is>
          <t>ÅNGE</t>
        </is>
      </c>
      <c r="F13247" t="inlineStr">
        <is>
          <t>SCA</t>
        </is>
      </c>
      <c r="G13247" t="n">
        <v>11.1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20280-2024</t>
        </is>
      </c>
      <c r="B13248" s="1" t="n">
        <v>45435</v>
      </c>
      <c r="C13248" s="1" t="n">
        <v>45657</v>
      </c>
      <c r="D13248" t="inlineStr">
        <is>
          <t>VÄSTERNORRLANDS LÄN</t>
        </is>
      </c>
      <c r="E13248" t="inlineStr">
        <is>
          <t>SOLLEFTEÅ</t>
        </is>
      </c>
      <c r="F13248" t="inlineStr">
        <is>
          <t>SCA</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20286-2024</t>
        </is>
      </c>
      <c r="B13249" s="1" t="n">
        <v>45435</v>
      </c>
      <c r="C13249" s="1" t="n">
        <v>45657</v>
      </c>
      <c r="D13249" t="inlineStr">
        <is>
          <t>VÄSTERNORRLANDS LÄN</t>
        </is>
      </c>
      <c r="E13249" t="inlineStr">
        <is>
          <t>ÖRNSKÖLDSVIK</t>
        </is>
      </c>
      <c r="F13249" t="inlineStr">
        <is>
          <t>Holmen skog AB</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20333-2024</t>
        </is>
      </c>
      <c r="B13250" s="1" t="n">
        <v>45435</v>
      </c>
      <c r="C13250" s="1" t="n">
        <v>45657</v>
      </c>
      <c r="D13250" t="inlineStr">
        <is>
          <t>VÄSTERNORRLANDS LÄN</t>
        </is>
      </c>
      <c r="E13250" t="inlineStr">
        <is>
          <t>SUNDSVALL</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20315-2024</t>
        </is>
      </c>
      <c r="B13251" s="1" t="n">
        <v>45435</v>
      </c>
      <c r="C13251" s="1" t="n">
        <v>45657</v>
      </c>
      <c r="D13251" t="inlineStr">
        <is>
          <t>VÄSTERNORRLANDS LÄN</t>
        </is>
      </c>
      <c r="E13251" t="inlineStr">
        <is>
          <t>HÄRNÖSAND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20341-2024</t>
        </is>
      </c>
      <c r="B13252" s="1" t="n">
        <v>45435</v>
      </c>
      <c r="C13252" s="1" t="n">
        <v>45657</v>
      </c>
      <c r="D13252" t="inlineStr">
        <is>
          <t>VÄSTERNORRLANDS LÄN</t>
        </is>
      </c>
      <c r="E13252" t="inlineStr">
        <is>
          <t>TIMRÅ</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20506-2024</t>
        </is>
      </c>
      <c r="B13253" s="1" t="n">
        <v>45436</v>
      </c>
      <c r="C13253" s="1" t="n">
        <v>45657</v>
      </c>
      <c r="D13253" t="inlineStr">
        <is>
          <t>VÄSTERNORRLANDS LÄN</t>
        </is>
      </c>
      <c r="E13253" t="inlineStr">
        <is>
          <t>SOLLEFTEÅ</t>
        </is>
      </c>
      <c r="F13253" t="inlineStr">
        <is>
          <t>SCA</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20453-2024</t>
        </is>
      </c>
      <c r="B13254" s="1" t="n">
        <v>45435</v>
      </c>
      <c r="C13254" s="1" t="n">
        <v>45657</v>
      </c>
      <c r="D13254" t="inlineStr">
        <is>
          <t>VÄSTERNORRLANDS LÄN</t>
        </is>
      </c>
      <c r="E13254" t="inlineStr">
        <is>
          <t>ÖRNSKÖLDSVIK</t>
        </is>
      </c>
      <c r="F13254" t="inlineStr">
        <is>
          <t>Holmen skog AB</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20457-2024</t>
        </is>
      </c>
      <c r="B13255" s="1" t="n">
        <v>45435</v>
      </c>
      <c r="C13255" s="1" t="n">
        <v>45657</v>
      </c>
      <c r="D13255" t="inlineStr">
        <is>
          <t>VÄSTERNORRLANDS LÄN</t>
        </is>
      </c>
      <c r="E13255" t="inlineStr">
        <is>
          <t>ÖRNSKÖLDSVIK</t>
        </is>
      </c>
      <c r="F13255" t="inlineStr">
        <is>
          <t>Holmen skog AB</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20418-2024</t>
        </is>
      </c>
      <c r="B13256" s="1" t="n">
        <v>45435</v>
      </c>
      <c r="C13256" s="1" t="n">
        <v>45657</v>
      </c>
      <c r="D13256" t="inlineStr">
        <is>
          <t>VÄSTERNORRLANDS LÄN</t>
        </is>
      </c>
      <c r="E13256" t="inlineStr">
        <is>
          <t>SUNDSVALL</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20322-2024</t>
        </is>
      </c>
      <c r="B13257" s="1" t="n">
        <v>45435</v>
      </c>
      <c r="C13257" s="1" t="n">
        <v>45657</v>
      </c>
      <c r="D13257" t="inlineStr">
        <is>
          <t>VÄSTERNORRLANDS LÄN</t>
        </is>
      </c>
      <c r="E13257" t="inlineStr">
        <is>
          <t>ÖRNSKÖLDSVIK</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20346-2024</t>
        </is>
      </c>
      <c r="B13258" s="1" t="n">
        <v>45435</v>
      </c>
      <c r="C13258" s="1" t="n">
        <v>45657</v>
      </c>
      <c r="D13258" t="inlineStr">
        <is>
          <t>VÄSTERNORRLANDS LÄN</t>
        </is>
      </c>
      <c r="E13258" t="inlineStr">
        <is>
          <t>TIMRÅ</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20354-2024</t>
        </is>
      </c>
      <c r="B13259" s="1" t="n">
        <v>45435</v>
      </c>
      <c r="C13259" s="1" t="n">
        <v>45657</v>
      </c>
      <c r="D13259" t="inlineStr">
        <is>
          <t>VÄSTERNORRLANDS LÄN</t>
        </is>
      </c>
      <c r="E13259" t="inlineStr">
        <is>
          <t>SOLLEFTEÅ</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20432-2024</t>
        </is>
      </c>
      <c r="B13260" s="1" t="n">
        <v>45435</v>
      </c>
      <c r="C13260" s="1" t="n">
        <v>45657</v>
      </c>
      <c r="D13260" t="inlineStr">
        <is>
          <t>VÄSTERNORRLANDS LÄN</t>
        </is>
      </c>
      <c r="E13260" t="inlineStr">
        <is>
          <t>ÖRNSKÖLDSVIK</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20436-2024</t>
        </is>
      </c>
      <c r="B13261" s="1" t="n">
        <v>45435</v>
      </c>
      <c r="C13261" s="1" t="n">
        <v>45657</v>
      </c>
      <c r="D13261" t="inlineStr">
        <is>
          <t>VÄSTERNORRLANDS LÄN</t>
        </is>
      </c>
      <c r="E13261" t="inlineStr">
        <is>
          <t>ÖRNSKÖLDSVIK</t>
        </is>
      </c>
      <c r="F13261" t="inlineStr">
        <is>
          <t>Holmen skog AB</t>
        </is>
      </c>
      <c r="G13261" t="n">
        <v>14.9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20516-2024</t>
        </is>
      </c>
      <c r="B13262" s="1" t="n">
        <v>45435</v>
      </c>
      <c r="C13262" s="1" t="n">
        <v>45657</v>
      </c>
      <c r="D13262" t="inlineStr">
        <is>
          <t>VÄSTERNORRLANDS LÄN</t>
        </is>
      </c>
      <c r="E13262" t="inlineStr">
        <is>
          <t>SOLLEFTEÅ</t>
        </is>
      </c>
      <c r="F13262" t="inlineStr">
        <is>
          <t>SCA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20451-2024</t>
        </is>
      </c>
      <c r="B13263" s="1" t="n">
        <v>45435</v>
      </c>
      <c r="C13263" s="1" t="n">
        <v>45657</v>
      </c>
      <c r="D13263" t="inlineStr">
        <is>
          <t>VÄSTERNORRLANDS LÄN</t>
        </is>
      </c>
      <c r="E13263" t="inlineStr">
        <is>
          <t>ÖRNSKÖLDSVIK</t>
        </is>
      </c>
      <c r="F13263" t="inlineStr">
        <is>
          <t>Holmen skog AB</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20507-2024</t>
        </is>
      </c>
      <c r="B13264" s="1" t="n">
        <v>45435</v>
      </c>
      <c r="C13264" s="1" t="n">
        <v>45657</v>
      </c>
      <c r="D13264" t="inlineStr">
        <is>
          <t>VÄSTERNORRLANDS LÄN</t>
        </is>
      </c>
      <c r="E13264" t="inlineStr">
        <is>
          <t>SOLLEFTEÅ</t>
        </is>
      </c>
      <c r="F13264" t="inlineStr">
        <is>
          <t>SCA</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20515-2024</t>
        </is>
      </c>
      <c r="B13265" s="1" t="n">
        <v>45435</v>
      </c>
      <c r="C13265" s="1" t="n">
        <v>45657</v>
      </c>
      <c r="D13265" t="inlineStr">
        <is>
          <t>VÄSTERNORRLANDS LÄN</t>
        </is>
      </c>
      <c r="E13265" t="inlineStr">
        <is>
          <t>SOLLEFTEÅ</t>
        </is>
      </c>
      <c r="F13265" t="inlineStr">
        <is>
          <t>SCA</t>
        </is>
      </c>
      <c r="G13265" t="n">
        <v>18.8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20519-2024</t>
        </is>
      </c>
      <c r="B13266" s="1" t="n">
        <v>45435</v>
      </c>
      <c r="C13266" s="1" t="n">
        <v>45657</v>
      </c>
      <c r="D13266" t="inlineStr">
        <is>
          <t>VÄSTERNORRLANDS LÄN</t>
        </is>
      </c>
      <c r="E13266" t="inlineStr">
        <is>
          <t>KRAMFORS</t>
        </is>
      </c>
      <c r="F13266" t="inlineStr">
        <is>
          <t>SCA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20527-2024</t>
        </is>
      </c>
      <c r="B13267" s="1" t="n">
        <v>45436</v>
      </c>
      <c r="C13267" s="1" t="n">
        <v>45657</v>
      </c>
      <c r="D13267" t="inlineStr">
        <is>
          <t>VÄSTERNORRLANDS LÄN</t>
        </is>
      </c>
      <c r="E13267" t="inlineStr">
        <is>
          <t>TIMRÅ</t>
        </is>
      </c>
      <c r="F13267" t="inlineStr">
        <is>
          <t>SCA</t>
        </is>
      </c>
      <c r="G13267" t="n">
        <v>10.6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20529-2024</t>
        </is>
      </c>
      <c r="B13268" s="1" t="n">
        <v>45435</v>
      </c>
      <c r="C13268" s="1" t="n">
        <v>45657</v>
      </c>
      <c r="D13268" t="inlineStr">
        <is>
          <t>VÄSTERNORRLANDS LÄN</t>
        </is>
      </c>
      <c r="E13268" t="inlineStr">
        <is>
          <t>ÖRNSKÖLDSVIK</t>
        </is>
      </c>
      <c r="F13268" t="inlineStr">
        <is>
          <t>SCA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20526-2024</t>
        </is>
      </c>
      <c r="B13269" s="1" t="n">
        <v>45435</v>
      </c>
      <c r="C13269" s="1" t="n">
        <v>45657</v>
      </c>
      <c r="D13269" t="inlineStr">
        <is>
          <t>VÄSTERNORRLANDS LÄN</t>
        </is>
      </c>
      <c r="E13269" t="inlineStr">
        <is>
          <t>TIMRÅ</t>
        </is>
      </c>
      <c r="F13269" t="inlineStr">
        <is>
          <t>SCA</t>
        </is>
      </c>
      <c r="G13269" t="n">
        <v>11.3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20520-2024</t>
        </is>
      </c>
      <c r="B13270" s="1" t="n">
        <v>45435</v>
      </c>
      <c r="C13270" s="1" t="n">
        <v>45657</v>
      </c>
      <c r="D13270" t="inlineStr">
        <is>
          <t>VÄSTERNORRLANDS LÄN</t>
        </is>
      </c>
      <c r="E13270" t="inlineStr">
        <is>
          <t>SOLLEFTEÅ</t>
        </is>
      </c>
      <c r="F13270" t="inlineStr">
        <is>
          <t>SCA</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20528-2024</t>
        </is>
      </c>
      <c r="B13271" s="1" t="n">
        <v>45436</v>
      </c>
      <c r="C13271" s="1" t="n">
        <v>45657</v>
      </c>
      <c r="D13271" t="inlineStr">
        <is>
          <t>VÄSTERNORRLANDS LÄN</t>
        </is>
      </c>
      <c r="E13271" t="inlineStr">
        <is>
          <t>KRAMFORS</t>
        </is>
      </c>
      <c r="F13271" t="inlineStr">
        <is>
          <t>SCA</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20667-2024</t>
        </is>
      </c>
      <c r="B13272" s="1" t="n">
        <v>45436</v>
      </c>
      <c r="C13272" s="1" t="n">
        <v>45657</v>
      </c>
      <c r="D13272" t="inlineStr">
        <is>
          <t>VÄSTERNORRLANDS LÄN</t>
        </is>
      </c>
      <c r="E13272" t="inlineStr">
        <is>
          <t>ÖRNSKÖLDSVIK</t>
        </is>
      </c>
      <c r="F13272" t="inlineStr">
        <is>
          <t>Holmen skog AB</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20697-2024</t>
        </is>
      </c>
      <c r="B13273" s="1" t="n">
        <v>45436</v>
      </c>
      <c r="C13273" s="1" t="n">
        <v>45657</v>
      </c>
      <c r="D13273" t="inlineStr">
        <is>
          <t>VÄSTERNORRLANDS LÄN</t>
        </is>
      </c>
      <c r="E13273" t="inlineStr">
        <is>
          <t>KRAMFORS</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20733-2024</t>
        </is>
      </c>
      <c r="B13274" s="1" t="n">
        <v>45436</v>
      </c>
      <c r="C13274" s="1" t="n">
        <v>45657</v>
      </c>
      <c r="D13274" t="inlineStr">
        <is>
          <t>VÄSTERNORRLANDS LÄN</t>
        </is>
      </c>
      <c r="E13274" t="inlineStr">
        <is>
          <t>ÖRNSKÖLDSVIK</t>
        </is>
      </c>
      <c r="F13274" t="inlineStr">
        <is>
          <t>Holmen skog AB</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20754-2024</t>
        </is>
      </c>
      <c r="B13275" s="1" t="n">
        <v>45436</v>
      </c>
      <c r="C13275" s="1" t="n">
        <v>45657</v>
      </c>
      <c r="D13275" t="inlineStr">
        <is>
          <t>VÄSTERNORRLANDS LÄN</t>
        </is>
      </c>
      <c r="E13275" t="inlineStr">
        <is>
          <t>SUNDSVALL</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20766-2024</t>
        </is>
      </c>
      <c r="B13276" s="1" t="n">
        <v>45436</v>
      </c>
      <c r="C13276" s="1" t="n">
        <v>45657</v>
      </c>
      <c r="D13276" t="inlineStr">
        <is>
          <t>VÄSTERNORRLANDS LÄN</t>
        </is>
      </c>
      <c r="E13276" t="inlineStr">
        <is>
          <t>SUNDSVALL</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20604-2024</t>
        </is>
      </c>
      <c r="B13277" s="1" t="n">
        <v>45436</v>
      </c>
      <c r="C13277" s="1" t="n">
        <v>45657</v>
      </c>
      <c r="D13277" t="inlineStr">
        <is>
          <t>VÄSTERNORRLANDS LÄN</t>
        </is>
      </c>
      <c r="E13277" t="inlineStr">
        <is>
          <t>SOLLEFTEÅ</t>
        </is>
      </c>
      <c r="G13277" t="n">
        <v>10.7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20735-2024</t>
        </is>
      </c>
      <c r="B13278" s="1" t="n">
        <v>45436</v>
      </c>
      <c r="C13278" s="1" t="n">
        <v>45657</v>
      </c>
      <c r="D13278" t="inlineStr">
        <is>
          <t>VÄSTERNORRLANDS LÄN</t>
        </is>
      </c>
      <c r="E13278" t="inlineStr">
        <is>
          <t>ÖRNSKÖLDSVIK</t>
        </is>
      </c>
      <c r="F13278" t="inlineStr">
        <is>
          <t>Holmen skog AB</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20761-2024</t>
        </is>
      </c>
      <c r="B13279" s="1" t="n">
        <v>45436</v>
      </c>
      <c r="C13279" s="1" t="n">
        <v>45657</v>
      </c>
      <c r="D13279" t="inlineStr">
        <is>
          <t>VÄSTERNORRLANDS LÄN</t>
        </is>
      </c>
      <c r="E13279" t="inlineStr">
        <is>
          <t>ÅNGE</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20782-2024</t>
        </is>
      </c>
      <c r="B13280" s="1" t="n">
        <v>45436</v>
      </c>
      <c r="C13280" s="1" t="n">
        <v>45657</v>
      </c>
      <c r="D13280" t="inlineStr">
        <is>
          <t>VÄSTERNORRLANDS LÄN</t>
        </is>
      </c>
      <c r="E13280" t="inlineStr">
        <is>
          <t>SUNDSVALL</t>
        </is>
      </c>
      <c r="F13280" t="inlineStr">
        <is>
          <t>SCA</t>
        </is>
      </c>
      <c r="G13280" t="n">
        <v>11.2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20729-2024</t>
        </is>
      </c>
      <c r="B13281" s="1" t="n">
        <v>45436</v>
      </c>
      <c r="C13281" s="1" t="n">
        <v>45657</v>
      </c>
      <c r="D13281" t="inlineStr">
        <is>
          <t>VÄSTERNORRLANDS LÄN</t>
        </is>
      </c>
      <c r="E13281" t="inlineStr">
        <is>
          <t>ÖRNSKÖLDSVIK</t>
        </is>
      </c>
      <c r="F13281" t="inlineStr">
        <is>
          <t>Holmen skog AB</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20655-2024</t>
        </is>
      </c>
      <c r="B13282" s="1" t="n">
        <v>45436</v>
      </c>
      <c r="C13282" s="1" t="n">
        <v>45657</v>
      </c>
      <c r="D13282" t="inlineStr">
        <is>
          <t>VÄSTERNORRLANDS LÄN</t>
        </is>
      </c>
      <c r="E13282" t="inlineStr">
        <is>
          <t>ÖRNSKÖLDSVIK</t>
        </is>
      </c>
      <c r="F13282" t="inlineStr">
        <is>
          <t>Holmen skog AB</t>
        </is>
      </c>
      <c r="G13282" t="n">
        <v>9.6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20551-2024</t>
        </is>
      </c>
      <c r="B13283" s="1" t="n">
        <v>45436</v>
      </c>
      <c r="C13283" s="1" t="n">
        <v>45657</v>
      </c>
      <c r="D13283" t="inlineStr">
        <is>
          <t>VÄSTERNORRLANDS LÄN</t>
        </is>
      </c>
      <c r="E13283" t="inlineStr">
        <is>
          <t>ÖRNSKÖLDSVIK</t>
        </is>
      </c>
      <c r="F13283" t="inlineStr">
        <is>
          <t>Holmen skog AB</t>
        </is>
      </c>
      <c r="G13283" t="n">
        <v>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20575-2024</t>
        </is>
      </c>
      <c r="B13284" s="1" t="n">
        <v>45436</v>
      </c>
      <c r="C13284" s="1" t="n">
        <v>45657</v>
      </c>
      <c r="D13284" t="inlineStr">
        <is>
          <t>VÄSTERNORRLANDS LÄN</t>
        </is>
      </c>
      <c r="E13284" t="inlineStr">
        <is>
          <t>ÖRNSKÖLDSVIK</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20660-2024</t>
        </is>
      </c>
      <c r="B13285" s="1" t="n">
        <v>45436</v>
      </c>
      <c r="C13285" s="1" t="n">
        <v>45657</v>
      </c>
      <c r="D13285" t="inlineStr">
        <is>
          <t>VÄSTERNORRLANDS LÄN</t>
        </is>
      </c>
      <c r="E13285" t="inlineStr">
        <is>
          <t>ÖRNSKÖLDSVIK</t>
        </is>
      </c>
      <c r="F13285" t="inlineStr">
        <is>
          <t>Holmen skog AB</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20764-2024</t>
        </is>
      </c>
      <c r="B13286" s="1" t="n">
        <v>45436</v>
      </c>
      <c r="C13286" s="1" t="n">
        <v>45657</v>
      </c>
      <c r="D13286" t="inlineStr">
        <is>
          <t>VÄSTERNORRLANDS LÄN</t>
        </is>
      </c>
      <c r="E13286" t="inlineStr">
        <is>
          <t>SOLLEFTEÅ</t>
        </is>
      </c>
      <c r="F13286" t="inlineStr">
        <is>
          <t>SCA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20576-2024</t>
        </is>
      </c>
      <c r="B13287" s="1" t="n">
        <v>45436</v>
      </c>
      <c r="C13287" s="1" t="n">
        <v>45657</v>
      </c>
      <c r="D13287" t="inlineStr">
        <is>
          <t>VÄSTERNORRLANDS LÄN</t>
        </is>
      </c>
      <c r="E13287" t="inlineStr">
        <is>
          <t>ÖRNSKÖLDSVIK</t>
        </is>
      </c>
      <c r="F13287" t="inlineStr">
        <is>
          <t>Holmen skog AB</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20694-2024</t>
        </is>
      </c>
      <c r="B13288" s="1" t="n">
        <v>45436</v>
      </c>
      <c r="C13288" s="1" t="n">
        <v>45657</v>
      </c>
      <c r="D13288" t="inlineStr">
        <is>
          <t>VÄSTERNORRLANDS LÄN</t>
        </is>
      </c>
      <c r="E13288" t="inlineStr">
        <is>
          <t>KRAMFORS</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20755-2024</t>
        </is>
      </c>
      <c r="B13289" s="1" t="n">
        <v>45436</v>
      </c>
      <c r="C13289" s="1" t="n">
        <v>45657</v>
      </c>
      <c r="D13289" t="inlineStr">
        <is>
          <t>VÄSTERNORRLANDS LÄN</t>
        </is>
      </c>
      <c r="E13289" t="inlineStr">
        <is>
          <t>SUNDSVALL</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20759-2024</t>
        </is>
      </c>
      <c r="B13290" s="1" t="n">
        <v>45436</v>
      </c>
      <c r="C13290" s="1" t="n">
        <v>45657</v>
      </c>
      <c r="D13290" t="inlineStr">
        <is>
          <t>VÄSTERNORRLANDS LÄN</t>
        </is>
      </c>
      <c r="E13290" t="inlineStr">
        <is>
          <t>KRAMFORS</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20771-2024</t>
        </is>
      </c>
      <c r="B13291" s="1" t="n">
        <v>45437</v>
      </c>
      <c r="C13291" s="1" t="n">
        <v>45657</v>
      </c>
      <c r="D13291" t="inlineStr">
        <is>
          <t>VÄSTERNORRLANDS LÄN</t>
        </is>
      </c>
      <c r="E13291" t="inlineStr">
        <is>
          <t>SUNDSVALL</t>
        </is>
      </c>
      <c r="F13291" t="inlineStr">
        <is>
          <t>SCA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20783-2024</t>
        </is>
      </c>
      <c r="B13292" s="1" t="n">
        <v>45437</v>
      </c>
      <c r="C13292" s="1" t="n">
        <v>45657</v>
      </c>
      <c r="D13292" t="inlineStr">
        <is>
          <t>VÄSTERNORRLANDS LÄN</t>
        </is>
      </c>
      <c r="E13292" t="inlineStr">
        <is>
          <t>KRAMFORS</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20786-2024</t>
        </is>
      </c>
      <c r="B13293" s="1" t="n">
        <v>45437</v>
      </c>
      <c r="C13293" s="1" t="n">
        <v>45657</v>
      </c>
      <c r="D13293" t="inlineStr">
        <is>
          <t>VÄSTERNORRLANDS LÄN</t>
        </is>
      </c>
      <c r="E13293" t="inlineStr">
        <is>
          <t>TIMRÅ</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20799-2024</t>
        </is>
      </c>
      <c r="B13294" s="1" t="n">
        <v>45438</v>
      </c>
      <c r="C13294" s="1" t="n">
        <v>45657</v>
      </c>
      <c r="D13294" t="inlineStr">
        <is>
          <t>VÄSTERNORRLANDS LÄN</t>
        </is>
      </c>
      <c r="E13294" t="inlineStr">
        <is>
          <t>SOLLEFTEÅ</t>
        </is>
      </c>
      <c r="F13294" t="inlineStr">
        <is>
          <t>SCA</t>
        </is>
      </c>
      <c r="G13294" t="n">
        <v>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20820-2024</t>
        </is>
      </c>
      <c r="B13295" s="1" t="n">
        <v>45439</v>
      </c>
      <c r="C13295" s="1" t="n">
        <v>45657</v>
      </c>
      <c r="D13295" t="inlineStr">
        <is>
          <t>VÄSTERNORRLANDS LÄN</t>
        </is>
      </c>
      <c r="E13295" t="inlineStr">
        <is>
          <t>KRAMFORS</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20899-2024</t>
        </is>
      </c>
      <c r="B13296" s="1" t="n">
        <v>45439</v>
      </c>
      <c r="C13296" s="1" t="n">
        <v>45657</v>
      </c>
      <c r="D13296" t="inlineStr">
        <is>
          <t>VÄSTERNORRLANDS LÄN</t>
        </is>
      </c>
      <c r="E13296" t="inlineStr">
        <is>
          <t>TIMRÅ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20927-2024</t>
        </is>
      </c>
      <c r="B13297" s="1" t="n">
        <v>45439</v>
      </c>
      <c r="C13297" s="1" t="n">
        <v>45657</v>
      </c>
      <c r="D13297" t="inlineStr">
        <is>
          <t>VÄSTERNORRLANDS LÄN</t>
        </is>
      </c>
      <c r="E13297" t="inlineStr">
        <is>
          <t>ÅNGE</t>
        </is>
      </c>
      <c r="F13297" t="inlineStr">
        <is>
          <t>Sveaskog</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20856-2024</t>
        </is>
      </c>
      <c r="B13298" s="1" t="n">
        <v>45439</v>
      </c>
      <c r="C13298" s="1" t="n">
        <v>45657</v>
      </c>
      <c r="D13298" t="inlineStr">
        <is>
          <t>VÄSTERNORRLANDS LÄN</t>
        </is>
      </c>
      <c r="E13298" t="inlineStr">
        <is>
          <t>ÖRNSKÖLDSVIK</t>
        </is>
      </c>
      <c r="F13298" t="inlineStr">
        <is>
          <t>Holmen skog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20817-2024</t>
        </is>
      </c>
      <c r="B13299" s="1" t="n">
        <v>45439</v>
      </c>
      <c r="C13299" s="1" t="n">
        <v>45657</v>
      </c>
      <c r="D13299" t="inlineStr">
        <is>
          <t>VÄSTERNORRLANDS LÄN</t>
        </is>
      </c>
      <c r="E13299" t="inlineStr">
        <is>
          <t>ÖRNSKÖLDSVIK</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21031-2024</t>
        </is>
      </c>
      <c r="B13300" s="1" t="n">
        <v>45439</v>
      </c>
      <c r="C13300" s="1" t="n">
        <v>45657</v>
      </c>
      <c r="D13300" t="inlineStr">
        <is>
          <t>VÄSTERNORRLANDS LÄN</t>
        </is>
      </c>
      <c r="E13300" t="inlineStr">
        <is>
          <t>SOLLEFTEÅ</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21098-2024</t>
        </is>
      </c>
      <c r="B13301" s="1" t="n">
        <v>45440</v>
      </c>
      <c r="C13301" s="1" t="n">
        <v>45657</v>
      </c>
      <c r="D13301" t="inlineStr">
        <is>
          <t>VÄSTERNORRLANDS LÄN</t>
        </is>
      </c>
      <c r="E13301" t="inlineStr">
        <is>
          <t>SOLLEFTEÅ</t>
        </is>
      </c>
      <c r="F13301" t="inlineStr">
        <is>
          <t>SCA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21106-2024</t>
        </is>
      </c>
      <c r="B13302" s="1" t="n">
        <v>45440</v>
      </c>
      <c r="C13302" s="1" t="n">
        <v>45657</v>
      </c>
      <c r="D13302" t="inlineStr">
        <is>
          <t>VÄSTERNORRLANDS LÄN</t>
        </is>
      </c>
      <c r="E13302" t="inlineStr">
        <is>
          <t>SOLLEFTEÅ</t>
        </is>
      </c>
      <c r="F13302" t="inlineStr">
        <is>
          <t>SCA</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20915-2024</t>
        </is>
      </c>
      <c r="B13303" s="1" t="n">
        <v>45439</v>
      </c>
      <c r="C13303" s="1" t="n">
        <v>45657</v>
      </c>
      <c r="D13303" t="inlineStr">
        <is>
          <t>VÄSTERNORRLANDS LÄN</t>
        </is>
      </c>
      <c r="E13303" t="inlineStr">
        <is>
          <t>ÅNGE</t>
        </is>
      </c>
      <c r="F13303" t="inlineStr">
        <is>
          <t>Sveaskog</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20818-2024</t>
        </is>
      </c>
      <c r="B13304" s="1" t="n">
        <v>45439</v>
      </c>
      <c r="C13304" s="1" t="n">
        <v>45657</v>
      </c>
      <c r="D13304" t="inlineStr">
        <is>
          <t>VÄSTERNORRLANDS LÄN</t>
        </is>
      </c>
      <c r="E13304" t="inlineStr">
        <is>
          <t>ÖRNSKÖLDSVIK</t>
        </is>
      </c>
      <c r="F13304" t="inlineStr">
        <is>
          <t>Holmen skog AB</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21096-2024</t>
        </is>
      </c>
      <c r="B13305" s="1" t="n">
        <v>45440</v>
      </c>
      <c r="C13305" s="1" t="n">
        <v>45657</v>
      </c>
      <c r="D13305" t="inlineStr">
        <is>
          <t>VÄSTERNORRLANDS LÄN</t>
        </is>
      </c>
      <c r="E13305" t="inlineStr">
        <is>
          <t>SOLLEFTEÅ</t>
        </is>
      </c>
      <c r="F13305" t="inlineStr">
        <is>
          <t>SCA</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21100-2024</t>
        </is>
      </c>
      <c r="B13306" s="1" t="n">
        <v>45440</v>
      </c>
      <c r="C13306" s="1" t="n">
        <v>45657</v>
      </c>
      <c r="D13306" t="inlineStr">
        <is>
          <t>VÄSTERNORRLANDS LÄN</t>
        </is>
      </c>
      <c r="E13306" t="inlineStr">
        <is>
          <t>SOLLEFTEÅ</t>
        </is>
      </c>
      <c r="F13306" t="inlineStr">
        <is>
          <t>SCA</t>
        </is>
      </c>
      <c r="G13306" t="n">
        <v>8.1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21092-2024</t>
        </is>
      </c>
      <c r="B13307" s="1" t="n">
        <v>45440</v>
      </c>
      <c r="C13307" s="1" t="n">
        <v>45657</v>
      </c>
      <c r="D13307" t="inlineStr">
        <is>
          <t>VÄSTERNORRLANDS LÄN</t>
        </is>
      </c>
      <c r="E13307" t="inlineStr">
        <is>
          <t>SOLLEFTEÅ</t>
        </is>
      </c>
      <c r="F13307" t="inlineStr">
        <is>
          <t>SCA</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21088-2024</t>
        </is>
      </c>
      <c r="B13308" s="1" t="n">
        <v>45439</v>
      </c>
      <c r="C13308" s="1" t="n">
        <v>45657</v>
      </c>
      <c r="D13308" t="inlineStr">
        <is>
          <t>VÄSTERNORRLANDS LÄN</t>
        </is>
      </c>
      <c r="E13308" t="inlineStr">
        <is>
          <t>SUNDSVALL</t>
        </is>
      </c>
      <c r="F13308" t="inlineStr">
        <is>
          <t>SCA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21043-2024</t>
        </is>
      </c>
      <c r="B13309" s="1" t="n">
        <v>45439</v>
      </c>
      <c r="C13309" s="1" t="n">
        <v>45657</v>
      </c>
      <c r="D13309" t="inlineStr">
        <is>
          <t>VÄSTERNORRLANDS LÄN</t>
        </is>
      </c>
      <c r="E13309" t="inlineStr">
        <is>
          <t>ÖRNSKÖLDSVIK</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20925-2024</t>
        </is>
      </c>
      <c r="B13310" s="1" t="n">
        <v>45439</v>
      </c>
      <c r="C13310" s="1" t="n">
        <v>45657</v>
      </c>
      <c r="D13310" t="inlineStr">
        <is>
          <t>VÄSTERNORRLANDS LÄN</t>
        </is>
      </c>
      <c r="E13310" t="inlineStr">
        <is>
          <t>ÅNGE</t>
        </is>
      </c>
      <c r="F13310" t="inlineStr">
        <is>
          <t>Sveaskog</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21099-2024</t>
        </is>
      </c>
      <c r="B13311" s="1" t="n">
        <v>45439</v>
      </c>
      <c r="C13311" s="1" t="n">
        <v>45657</v>
      </c>
      <c r="D13311" t="inlineStr">
        <is>
          <t>VÄSTERNORRLANDS LÄN</t>
        </is>
      </c>
      <c r="E13311" t="inlineStr">
        <is>
          <t>SOLLEFTEÅ</t>
        </is>
      </c>
      <c r="F13311" t="inlineStr">
        <is>
          <t>SCA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21034-2024</t>
        </is>
      </c>
      <c r="B13312" s="1" t="n">
        <v>45439</v>
      </c>
      <c r="C13312" s="1" t="n">
        <v>45657</v>
      </c>
      <c r="D13312" t="inlineStr">
        <is>
          <t>VÄSTERNORRLANDS LÄN</t>
        </is>
      </c>
      <c r="E13312" t="inlineStr">
        <is>
          <t>ÖRNSKÖLDSVIK</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20936-2024</t>
        </is>
      </c>
      <c r="B13313" s="1" t="n">
        <v>45439</v>
      </c>
      <c r="C13313" s="1" t="n">
        <v>45657</v>
      </c>
      <c r="D13313" t="inlineStr">
        <is>
          <t>VÄSTERNORRLANDS LÄN</t>
        </is>
      </c>
      <c r="E13313" t="inlineStr">
        <is>
          <t>TIMRÅ</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20932-2024</t>
        </is>
      </c>
      <c r="B13314" s="1" t="n">
        <v>45439</v>
      </c>
      <c r="C13314" s="1" t="n">
        <v>45657</v>
      </c>
      <c r="D13314" t="inlineStr">
        <is>
          <t>VÄSTERNORRLANDS LÄN</t>
        </is>
      </c>
      <c r="E13314" t="inlineStr">
        <is>
          <t>ÅNGE</t>
        </is>
      </c>
      <c r="F13314" t="inlineStr">
        <is>
          <t>Sveaskog</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21095-2024</t>
        </is>
      </c>
      <c r="B13315" s="1" t="n">
        <v>45440</v>
      </c>
      <c r="C13315" s="1" t="n">
        <v>45657</v>
      </c>
      <c r="D13315" t="inlineStr">
        <is>
          <t>VÄSTERNORRLANDS LÄN</t>
        </is>
      </c>
      <c r="E13315" t="inlineStr">
        <is>
          <t>SOLLEFTEÅ</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21087-2024</t>
        </is>
      </c>
      <c r="B13316" s="1" t="n">
        <v>45440</v>
      </c>
      <c r="C13316" s="1" t="n">
        <v>45657</v>
      </c>
      <c r="D13316" t="inlineStr">
        <is>
          <t>VÄSTERNORRLANDS LÄN</t>
        </is>
      </c>
      <c r="E13316" t="inlineStr">
        <is>
          <t>SOLLEFTEÅ</t>
        </is>
      </c>
      <c r="F13316" t="inlineStr">
        <is>
          <t>SCA</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21054-2024</t>
        </is>
      </c>
      <c r="B13317" s="1" t="n">
        <v>45439</v>
      </c>
      <c r="C13317" s="1" t="n">
        <v>45657</v>
      </c>
      <c r="D13317" t="inlineStr">
        <is>
          <t>VÄSTERNORRLANDS LÄN</t>
        </is>
      </c>
      <c r="E13317" t="inlineStr">
        <is>
          <t>ÖRNSKÖLDSVIK</t>
        </is>
      </c>
      <c r="G13317" t="n">
        <v>8.6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21101-2024</t>
        </is>
      </c>
      <c r="B13318" s="1" t="n">
        <v>45439</v>
      </c>
      <c r="C13318" s="1" t="n">
        <v>45657</v>
      </c>
      <c r="D13318" t="inlineStr">
        <is>
          <t>VÄSTERNORRLANDS LÄN</t>
        </is>
      </c>
      <c r="E13318" t="inlineStr">
        <is>
          <t>SOLLEFTEÅ</t>
        </is>
      </c>
      <c r="F13318" t="inlineStr">
        <is>
          <t>SCA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21089-2024</t>
        </is>
      </c>
      <c r="B13319" s="1" t="n">
        <v>45440</v>
      </c>
      <c r="C13319" s="1" t="n">
        <v>45657</v>
      </c>
      <c r="D13319" t="inlineStr">
        <is>
          <t>VÄSTERNORRLANDS LÄN</t>
        </is>
      </c>
      <c r="E13319" t="inlineStr">
        <is>
          <t>ÅNGE</t>
        </is>
      </c>
      <c r="F13319" t="inlineStr">
        <is>
          <t>SCA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20938-2024</t>
        </is>
      </c>
      <c r="B13320" s="1" t="n">
        <v>45439</v>
      </c>
      <c r="C13320" s="1" t="n">
        <v>45657</v>
      </c>
      <c r="D13320" t="inlineStr">
        <is>
          <t>VÄSTERNORRLANDS LÄN</t>
        </is>
      </c>
      <c r="E13320" t="inlineStr">
        <is>
          <t>TIMRÅ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20815-2024</t>
        </is>
      </c>
      <c r="B13321" s="1" t="n">
        <v>45439</v>
      </c>
      <c r="C13321" s="1" t="n">
        <v>45657</v>
      </c>
      <c r="D13321" t="inlineStr">
        <is>
          <t>VÄSTERNORRLANDS LÄN</t>
        </is>
      </c>
      <c r="E13321" t="inlineStr">
        <is>
          <t>ÅNGE</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21200-2024</t>
        </is>
      </c>
      <c r="B13322" s="1" t="n">
        <v>45440</v>
      </c>
      <c r="C13322" s="1" t="n">
        <v>45657</v>
      </c>
      <c r="D13322" t="inlineStr">
        <is>
          <t>VÄSTERNORRLANDS LÄN</t>
        </is>
      </c>
      <c r="E13322" t="inlineStr">
        <is>
          <t>ÅNGE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21226-2024</t>
        </is>
      </c>
      <c r="B13323" s="1" t="n">
        <v>45440</v>
      </c>
      <c r="C13323" s="1" t="n">
        <v>45657</v>
      </c>
      <c r="D13323" t="inlineStr">
        <is>
          <t>VÄSTERNORRLANDS LÄN</t>
        </is>
      </c>
      <c r="E13323" t="inlineStr">
        <is>
          <t>ÖRNSKÖLDSVIK</t>
        </is>
      </c>
      <c r="F13323" t="inlineStr">
        <is>
          <t>Holmen skog AB</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21157-2024</t>
        </is>
      </c>
      <c r="B13324" s="1" t="n">
        <v>45440</v>
      </c>
      <c r="C13324" s="1" t="n">
        <v>45657</v>
      </c>
      <c r="D13324" t="inlineStr">
        <is>
          <t>VÄSTERNORRLANDS LÄN</t>
        </is>
      </c>
      <c r="E13324" t="inlineStr">
        <is>
          <t>KRAMFORS</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21179-2024</t>
        </is>
      </c>
      <c r="B13325" s="1" t="n">
        <v>45440</v>
      </c>
      <c r="C13325" s="1" t="n">
        <v>45657</v>
      </c>
      <c r="D13325" t="inlineStr">
        <is>
          <t>VÄSTERNORRLANDS LÄN</t>
        </is>
      </c>
      <c r="E13325" t="inlineStr">
        <is>
          <t>ÅNGE</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21265-2024</t>
        </is>
      </c>
      <c r="B13326" s="1" t="n">
        <v>45440</v>
      </c>
      <c r="C13326" s="1" t="n">
        <v>45657</v>
      </c>
      <c r="D13326" t="inlineStr">
        <is>
          <t>VÄSTERNORRLANDS LÄN</t>
        </is>
      </c>
      <c r="E13326" t="inlineStr">
        <is>
          <t>ÖRNSKÖLDSVIK</t>
        </is>
      </c>
      <c r="F13326" t="inlineStr">
        <is>
          <t>Holmen skog AB</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21235-2024</t>
        </is>
      </c>
      <c r="B13327" s="1" t="n">
        <v>45440</v>
      </c>
      <c r="C13327" s="1" t="n">
        <v>45657</v>
      </c>
      <c r="D13327" t="inlineStr">
        <is>
          <t>VÄSTERNORRLANDS LÄN</t>
        </is>
      </c>
      <c r="E13327" t="inlineStr">
        <is>
          <t>ÖRNSKÖLDSVIK</t>
        </is>
      </c>
      <c r="F13327" t="inlineStr">
        <is>
          <t>Holmen skog AB</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21247-2024</t>
        </is>
      </c>
      <c r="B13328" s="1" t="n">
        <v>45440</v>
      </c>
      <c r="C13328" s="1" t="n">
        <v>45657</v>
      </c>
      <c r="D13328" t="inlineStr">
        <is>
          <t>VÄSTERNORRLANDS LÄN</t>
        </is>
      </c>
      <c r="E13328" t="inlineStr">
        <is>
          <t>SUNDSVALL</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21136-2024</t>
        </is>
      </c>
      <c r="B13329" s="1" t="n">
        <v>45440</v>
      </c>
      <c r="C13329" s="1" t="n">
        <v>45657</v>
      </c>
      <c r="D13329" t="inlineStr">
        <is>
          <t>VÄSTERNORRLANDS LÄN</t>
        </is>
      </c>
      <c r="E13329" t="inlineStr">
        <is>
          <t>ÖRNSKÖLDSVIK</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21122-2024</t>
        </is>
      </c>
      <c r="B13330" s="1" t="n">
        <v>45440</v>
      </c>
      <c r="C13330" s="1" t="n">
        <v>45657</v>
      </c>
      <c r="D13330" t="inlineStr">
        <is>
          <t>VÄSTERNORRLANDS LÄN</t>
        </is>
      </c>
      <c r="E13330" t="inlineStr">
        <is>
          <t>ÖRNSKÖLDSVIK</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21137-2024</t>
        </is>
      </c>
      <c r="B13331" s="1" t="n">
        <v>45440</v>
      </c>
      <c r="C13331" s="1" t="n">
        <v>45657</v>
      </c>
      <c r="D13331" t="inlineStr">
        <is>
          <t>VÄSTERNORRLANDS LÄN</t>
        </is>
      </c>
      <c r="E13331" t="inlineStr">
        <is>
          <t>SOLLEFTEÅ</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21133-2024</t>
        </is>
      </c>
      <c r="B13332" s="1" t="n">
        <v>45440</v>
      </c>
      <c r="C13332" s="1" t="n">
        <v>45657</v>
      </c>
      <c r="D13332" t="inlineStr">
        <is>
          <t>VÄSTERNORRLANDS LÄN</t>
        </is>
      </c>
      <c r="E13332" t="inlineStr">
        <is>
          <t>ÖRNSKÖLDSVIK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21123-2024</t>
        </is>
      </c>
      <c r="B13333" s="1" t="n">
        <v>45440</v>
      </c>
      <c r="C13333" s="1" t="n">
        <v>45657</v>
      </c>
      <c r="D13333" t="inlineStr">
        <is>
          <t>VÄSTERNORRLANDS LÄN</t>
        </is>
      </c>
      <c r="E13333" t="inlineStr">
        <is>
          <t>ÖRNSKÖLDSVIK</t>
        </is>
      </c>
      <c r="G13333" t="n">
        <v>10.6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21138-2024</t>
        </is>
      </c>
      <c r="B13334" s="1" t="n">
        <v>45440</v>
      </c>
      <c r="C13334" s="1" t="n">
        <v>45657</v>
      </c>
      <c r="D13334" t="inlineStr">
        <is>
          <t>VÄSTERNORRLANDS LÄN</t>
        </is>
      </c>
      <c r="E13334" t="inlineStr">
        <is>
          <t>ÖRNSKÖLDSVIK</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21130-2024</t>
        </is>
      </c>
      <c r="B13335" s="1" t="n">
        <v>45440</v>
      </c>
      <c r="C13335" s="1" t="n">
        <v>45657</v>
      </c>
      <c r="D13335" t="inlineStr">
        <is>
          <t>VÄSTERNORRLANDS LÄN</t>
        </is>
      </c>
      <c r="E13335" t="inlineStr">
        <is>
          <t>ÖRNSKÖLDSVIK</t>
        </is>
      </c>
      <c r="F13335" t="inlineStr">
        <is>
          <t>Holmen skog AB</t>
        </is>
      </c>
      <c r="G13335" t="n">
        <v>12.6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21124-2024</t>
        </is>
      </c>
      <c r="B13336" s="1" t="n">
        <v>45440</v>
      </c>
      <c r="C13336" s="1" t="n">
        <v>45657</v>
      </c>
      <c r="D13336" t="inlineStr">
        <is>
          <t>VÄSTERNORRLANDS LÄN</t>
        </is>
      </c>
      <c r="E13336" t="inlineStr">
        <is>
          <t>ÖRNSKÖLDSVIK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21338-2024</t>
        </is>
      </c>
      <c r="B13337" s="1" t="n">
        <v>45441</v>
      </c>
      <c r="C13337" s="1" t="n">
        <v>45657</v>
      </c>
      <c r="D13337" t="inlineStr">
        <is>
          <t>VÄSTERNORRLANDS LÄN</t>
        </is>
      </c>
      <c r="E13337" t="inlineStr">
        <is>
          <t>SUNDSVALL</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21342-2024</t>
        </is>
      </c>
      <c r="B13338" s="1" t="n">
        <v>45441</v>
      </c>
      <c r="C13338" s="1" t="n">
        <v>45657</v>
      </c>
      <c r="D13338" t="inlineStr">
        <is>
          <t>VÄSTERNORRLANDS LÄN</t>
        </is>
      </c>
      <c r="E13338" t="inlineStr">
        <is>
          <t>KRAMFORS</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21362-2024</t>
        </is>
      </c>
      <c r="B13339" s="1" t="n">
        <v>45440</v>
      </c>
      <c r="C13339" s="1" t="n">
        <v>45657</v>
      </c>
      <c r="D13339" t="inlineStr">
        <is>
          <t>VÄSTERNORRLANDS LÄN</t>
        </is>
      </c>
      <c r="E13339" t="inlineStr">
        <is>
          <t>TIMRÅ</t>
        </is>
      </c>
      <c r="F13339" t="inlineStr">
        <is>
          <t>SCA</t>
        </is>
      </c>
      <c r="G13339" t="n">
        <v>15.2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21364-2024</t>
        </is>
      </c>
      <c r="B13340" s="1" t="n">
        <v>45441</v>
      </c>
      <c r="C13340" s="1" t="n">
        <v>45657</v>
      </c>
      <c r="D13340" t="inlineStr">
        <is>
          <t>VÄSTERNORRLANDS LÄN</t>
        </is>
      </c>
      <c r="E13340" t="inlineStr">
        <is>
          <t>SOLLEFTEÅ</t>
        </is>
      </c>
      <c r="F13340" t="inlineStr">
        <is>
          <t>SCA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21372-2024</t>
        </is>
      </c>
      <c r="B13341" s="1" t="n">
        <v>45441</v>
      </c>
      <c r="C13341" s="1" t="n">
        <v>45657</v>
      </c>
      <c r="D13341" t="inlineStr">
        <is>
          <t>VÄSTERNORRLANDS LÄN</t>
        </is>
      </c>
      <c r="E13341" t="inlineStr">
        <is>
          <t>SUNDSVALL</t>
        </is>
      </c>
      <c r="F13341" t="inlineStr">
        <is>
          <t>SCA</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21151-2024</t>
        </is>
      </c>
      <c r="B13342" s="1" t="n">
        <v>45440</v>
      </c>
      <c r="C13342" s="1" t="n">
        <v>45657</v>
      </c>
      <c r="D13342" t="inlineStr">
        <is>
          <t>VÄSTERNORRLANDS LÄN</t>
        </is>
      </c>
      <c r="E13342" t="inlineStr">
        <is>
          <t>ÅNGE</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21147-2024</t>
        </is>
      </c>
      <c r="B13343" s="1" t="n">
        <v>45440</v>
      </c>
      <c r="C13343" s="1" t="n">
        <v>45657</v>
      </c>
      <c r="D13343" t="inlineStr">
        <is>
          <t>VÄSTERNORRLANDS LÄN</t>
        </is>
      </c>
      <c r="E13343" t="inlineStr">
        <is>
          <t>ÖRNSKÖLDSVIK</t>
        </is>
      </c>
      <c r="F13343" t="inlineStr">
        <is>
          <t>Holmen skog AB</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21131-2024</t>
        </is>
      </c>
      <c r="B13344" s="1" t="n">
        <v>45440</v>
      </c>
      <c r="C13344" s="1" t="n">
        <v>45657</v>
      </c>
      <c r="D13344" t="inlineStr">
        <is>
          <t>VÄSTERNORRLANDS LÄN</t>
        </is>
      </c>
      <c r="E13344" t="inlineStr">
        <is>
          <t>TIMRÅ</t>
        </is>
      </c>
      <c r="G13344" t="n">
        <v>10.8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21125-2024</t>
        </is>
      </c>
      <c r="B13345" s="1" t="n">
        <v>45440</v>
      </c>
      <c r="C13345" s="1" t="n">
        <v>45657</v>
      </c>
      <c r="D13345" t="inlineStr">
        <is>
          <t>VÄSTERNORRLANDS LÄN</t>
        </is>
      </c>
      <c r="E13345" t="inlineStr">
        <is>
          <t>ÖRNSKÖLDSVIK</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21324-2024</t>
        </is>
      </c>
      <c r="B13346" s="1" t="n">
        <v>45440</v>
      </c>
      <c r="C13346" s="1" t="n">
        <v>45657</v>
      </c>
      <c r="D13346" t="inlineStr">
        <is>
          <t>VÄSTERNORRLANDS LÄN</t>
        </is>
      </c>
      <c r="E13346" t="inlineStr">
        <is>
          <t>ÖRNSKÖLDSVIK</t>
        </is>
      </c>
      <c r="F13346" t="inlineStr">
        <is>
          <t>Holmen skog AB</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21322-2024</t>
        </is>
      </c>
      <c r="B13347" s="1" t="n">
        <v>45440</v>
      </c>
      <c r="C13347" s="1" t="n">
        <v>45657</v>
      </c>
      <c r="D13347" t="inlineStr">
        <is>
          <t>VÄSTERNORRLANDS LÄN</t>
        </is>
      </c>
      <c r="E13347" t="inlineStr">
        <is>
          <t>ÖRNSKÖLDSVIK</t>
        </is>
      </c>
      <c r="F13347" t="inlineStr">
        <is>
          <t>Holmen skog AB</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21339-2024</t>
        </is>
      </c>
      <c r="B13348" s="1" t="n">
        <v>45440</v>
      </c>
      <c r="C13348" s="1" t="n">
        <v>45657</v>
      </c>
      <c r="D13348" t="inlineStr">
        <is>
          <t>VÄSTERNORRLANDS LÄN</t>
        </is>
      </c>
      <c r="E13348" t="inlineStr">
        <is>
          <t>SUNDSVALL</t>
        </is>
      </c>
      <c r="G13348" t="n">
        <v>8.6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21363-2024</t>
        </is>
      </c>
      <c r="B13349" s="1" t="n">
        <v>45441</v>
      </c>
      <c r="C13349" s="1" t="n">
        <v>45657</v>
      </c>
      <c r="D13349" t="inlineStr">
        <is>
          <t>VÄSTERNORRLANDS LÄN</t>
        </is>
      </c>
      <c r="E13349" t="inlineStr">
        <is>
          <t>SOLLEFTEÅ</t>
        </is>
      </c>
      <c r="F13349" t="inlineStr">
        <is>
          <t>SCA</t>
        </is>
      </c>
      <c r="G13349" t="n">
        <v>7.4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21384-2024</t>
        </is>
      </c>
      <c r="B13350" s="1" t="n">
        <v>45440</v>
      </c>
      <c r="C13350" s="1" t="n">
        <v>45657</v>
      </c>
      <c r="D13350" t="inlineStr">
        <is>
          <t>VÄSTERNORRLANDS LÄN</t>
        </is>
      </c>
      <c r="E13350" t="inlineStr">
        <is>
          <t>SOLLEFTEÅ</t>
        </is>
      </c>
      <c r="F13350" t="inlineStr">
        <is>
          <t>SCA</t>
        </is>
      </c>
      <c r="G13350" t="n">
        <v>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21387-2024</t>
        </is>
      </c>
      <c r="B13351" s="1" t="n">
        <v>45440</v>
      </c>
      <c r="C13351" s="1" t="n">
        <v>45657</v>
      </c>
      <c r="D13351" t="inlineStr">
        <is>
          <t>VÄSTERNORRLANDS LÄN</t>
        </is>
      </c>
      <c r="E13351" t="inlineStr">
        <is>
          <t>ÅNGE</t>
        </is>
      </c>
      <c r="F13351" t="inlineStr">
        <is>
          <t>SCA</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21607-2024</t>
        </is>
      </c>
      <c r="B13352" s="1" t="n">
        <v>45441</v>
      </c>
      <c r="C13352" s="1" t="n">
        <v>45657</v>
      </c>
      <c r="D13352" t="inlineStr">
        <is>
          <t>VÄSTERNORRLANDS LÄN</t>
        </is>
      </c>
      <c r="E13352" t="inlineStr">
        <is>
          <t>TIMRÅ</t>
        </is>
      </c>
      <c r="F13352" t="inlineStr">
        <is>
          <t>SCA</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21608-2024</t>
        </is>
      </c>
      <c r="B13353" s="1" t="n">
        <v>45441</v>
      </c>
      <c r="C13353" s="1" t="n">
        <v>45657</v>
      </c>
      <c r="D13353" t="inlineStr">
        <is>
          <t>VÄSTERNORRLANDS LÄN</t>
        </is>
      </c>
      <c r="E13353" t="inlineStr">
        <is>
          <t>HÄRNÖSAND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21443-2024</t>
        </is>
      </c>
      <c r="B13354" s="1" t="n">
        <v>45441</v>
      </c>
      <c r="C13354" s="1" t="n">
        <v>45657</v>
      </c>
      <c r="D13354" t="inlineStr">
        <is>
          <t>VÄSTERNORRLANDS LÄN</t>
        </is>
      </c>
      <c r="E13354" t="inlineStr">
        <is>
          <t>TIMRÅ</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21447-2024</t>
        </is>
      </c>
      <c r="B13355" s="1" t="n">
        <v>45441</v>
      </c>
      <c r="C13355" s="1" t="n">
        <v>45657</v>
      </c>
      <c r="D13355" t="inlineStr">
        <is>
          <t>VÄSTERNORRLANDS LÄN</t>
        </is>
      </c>
      <c r="E13355" t="inlineStr">
        <is>
          <t>TIMRÅ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21601-2024</t>
        </is>
      </c>
      <c r="B13356" s="1" t="n">
        <v>45441</v>
      </c>
      <c r="C13356" s="1" t="n">
        <v>45657</v>
      </c>
      <c r="D13356" t="inlineStr">
        <is>
          <t>VÄSTERNORRLANDS LÄN</t>
        </is>
      </c>
      <c r="E13356" t="inlineStr">
        <is>
          <t>SUNDSVALL</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21609-2024</t>
        </is>
      </c>
      <c r="B13357" s="1" t="n">
        <v>45442</v>
      </c>
      <c r="C13357" s="1" t="n">
        <v>45657</v>
      </c>
      <c r="D13357" t="inlineStr">
        <is>
          <t>VÄSTERNORRLANDS LÄN</t>
        </is>
      </c>
      <c r="E13357" t="inlineStr">
        <is>
          <t>SUNDSVALL</t>
        </is>
      </c>
      <c r="F13357" t="inlineStr">
        <is>
          <t>SCA</t>
        </is>
      </c>
      <c r="G13357" t="n">
        <v>11.4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21602-2024</t>
        </is>
      </c>
      <c r="B13358" s="1" t="n">
        <v>45441</v>
      </c>
      <c r="C13358" s="1" t="n">
        <v>45657</v>
      </c>
      <c r="D13358" t="inlineStr">
        <is>
          <t>VÄSTERNORRLANDS LÄN</t>
        </is>
      </c>
      <c r="E13358" t="inlineStr">
        <is>
          <t>SUNDSVALL</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21606-2024</t>
        </is>
      </c>
      <c r="B13359" s="1" t="n">
        <v>45442</v>
      </c>
      <c r="C13359" s="1" t="n">
        <v>45657</v>
      </c>
      <c r="D13359" t="inlineStr">
        <is>
          <t>VÄSTERNORRLANDS LÄN</t>
        </is>
      </c>
      <c r="E13359" t="inlineStr">
        <is>
          <t>SUNDSVALL</t>
        </is>
      </c>
      <c r="F13359" t="inlineStr">
        <is>
          <t>SCA</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21533-2024</t>
        </is>
      </c>
      <c r="B13360" s="1" t="n">
        <v>45441</v>
      </c>
      <c r="C13360" s="1" t="n">
        <v>45657</v>
      </c>
      <c r="D13360" t="inlineStr">
        <is>
          <t>VÄSTERNORRLANDS LÄN</t>
        </is>
      </c>
      <c r="E13360" t="inlineStr">
        <is>
          <t>ÖRNSKÖLDSVIK</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21718-2024</t>
        </is>
      </c>
      <c r="B13361" s="1" t="n">
        <v>45442</v>
      </c>
      <c r="C13361" s="1" t="n">
        <v>45657</v>
      </c>
      <c r="D13361" t="inlineStr">
        <is>
          <t>VÄSTERNORRLANDS LÄN</t>
        </is>
      </c>
      <c r="E13361" t="inlineStr">
        <is>
          <t>ÖRNSKÖLDSVIK</t>
        </is>
      </c>
      <c r="F13361" t="inlineStr">
        <is>
          <t>Holmen skog AB</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21642-2024</t>
        </is>
      </c>
      <c r="B13362" s="1" t="n">
        <v>45442</v>
      </c>
      <c r="C13362" s="1" t="n">
        <v>45657</v>
      </c>
      <c r="D13362" t="inlineStr">
        <is>
          <t>VÄSTERNORRLANDS LÄN</t>
        </is>
      </c>
      <c r="E13362" t="inlineStr">
        <is>
          <t>ÖRNSKÖLDSVIK</t>
        </is>
      </c>
      <c r="F13362" t="inlineStr">
        <is>
          <t>Holmen skog AB</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21701-2024</t>
        </is>
      </c>
      <c r="B13363" s="1" t="n">
        <v>45442</v>
      </c>
      <c r="C13363" s="1" t="n">
        <v>45657</v>
      </c>
      <c r="D13363" t="inlineStr">
        <is>
          <t>VÄSTERNORRLANDS LÄN</t>
        </is>
      </c>
      <c r="E13363" t="inlineStr">
        <is>
          <t>ÖRNSKÖLDSVIK</t>
        </is>
      </c>
      <c r="G13363" t="n">
        <v>10.4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21821-2024</t>
        </is>
      </c>
      <c r="B13364" s="1" t="n">
        <v>45442</v>
      </c>
      <c r="C13364" s="1" t="n">
        <v>45657</v>
      </c>
      <c r="D13364" t="inlineStr">
        <is>
          <t>VÄSTERNORRLANDS LÄN</t>
        </is>
      </c>
      <c r="E13364" t="inlineStr">
        <is>
          <t>ÖRNSKÖLDSVIK</t>
        </is>
      </c>
      <c r="F13364" t="inlineStr">
        <is>
          <t>Holmen skog AB</t>
        </is>
      </c>
      <c r="G13364" t="n">
        <v>18.1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21724-2024</t>
        </is>
      </c>
      <c r="B13365" s="1" t="n">
        <v>45442</v>
      </c>
      <c r="C13365" s="1" t="n">
        <v>45657</v>
      </c>
      <c r="D13365" t="inlineStr">
        <is>
          <t>VÄSTERNORRLANDS LÄN</t>
        </is>
      </c>
      <c r="E13365" t="inlineStr">
        <is>
          <t>ÖRNSKÖLDSVIK</t>
        </is>
      </c>
      <c r="F13365" t="inlineStr">
        <is>
          <t>Holmen skog AB</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21833-2024</t>
        </is>
      </c>
      <c r="B13366" s="1" t="n">
        <v>45442</v>
      </c>
      <c r="C13366" s="1" t="n">
        <v>45657</v>
      </c>
      <c r="D13366" t="inlineStr">
        <is>
          <t>VÄSTERNORRLANDS LÄN</t>
        </is>
      </c>
      <c r="E13366" t="inlineStr">
        <is>
          <t>ÅNGE</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21683-2024</t>
        </is>
      </c>
      <c r="B13367" s="1" t="n">
        <v>45442</v>
      </c>
      <c r="C13367" s="1" t="n">
        <v>45657</v>
      </c>
      <c r="D13367" t="inlineStr">
        <is>
          <t>VÄSTERNORRLANDS LÄN</t>
        </is>
      </c>
      <c r="E13367" t="inlineStr">
        <is>
          <t>ÖRNSKÖLDSVIK</t>
        </is>
      </c>
      <c r="F13367" t="inlineStr">
        <is>
          <t>Holmen skog AB</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21852-2024</t>
        </is>
      </c>
      <c r="B13368" s="1" t="n">
        <v>45443</v>
      </c>
      <c r="C13368" s="1" t="n">
        <v>45657</v>
      </c>
      <c r="D13368" t="inlineStr">
        <is>
          <t>VÄSTERNORRLANDS LÄN</t>
        </is>
      </c>
      <c r="E13368" t="inlineStr">
        <is>
          <t>SOLLEFTEÅ</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21651-2024</t>
        </is>
      </c>
      <c r="B13369" s="1" t="n">
        <v>45442</v>
      </c>
      <c r="C13369" s="1" t="n">
        <v>45657</v>
      </c>
      <c r="D13369" t="inlineStr">
        <is>
          <t>VÄSTERNORRLANDS LÄN</t>
        </is>
      </c>
      <c r="E13369" t="inlineStr">
        <is>
          <t>ÖRNSKÖLDSVIK</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21727-2024</t>
        </is>
      </c>
      <c r="B13370" s="1" t="n">
        <v>45442</v>
      </c>
      <c r="C13370" s="1" t="n">
        <v>45657</v>
      </c>
      <c r="D13370" t="inlineStr">
        <is>
          <t>VÄSTERNORRLANDS LÄN</t>
        </is>
      </c>
      <c r="E13370" t="inlineStr">
        <is>
          <t>ÖRNSKÖLDSVIK</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21731-2024</t>
        </is>
      </c>
      <c r="B13371" s="1" t="n">
        <v>45442</v>
      </c>
      <c r="C13371" s="1" t="n">
        <v>45657</v>
      </c>
      <c r="D13371" t="inlineStr">
        <is>
          <t>VÄSTERNORRLANDS LÄN</t>
        </is>
      </c>
      <c r="E13371" t="inlineStr">
        <is>
          <t>ÖRNSKÖLDSVIK</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21771-2024</t>
        </is>
      </c>
      <c r="B13372" s="1" t="n">
        <v>45442</v>
      </c>
      <c r="C13372" s="1" t="n">
        <v>45657</v>
      </c>
      <c r="D13372" t="inlineStr">
        <is>
          <t>VÄSTERNORRLANDS LÄN</t>
        </is>
      </c>
      <c r="E13372" t="inlineStr">
        <is>
          <t>ÖRNSKÖLDSVIK</t>
        </is>
      </c>
      <c r="F13372" t="inlineStr">
        <is>
          <t>Holmen skog AB</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21889-2024</t>
        </is>
      </c>
      <c r="B13373" s="1" t="n">
        <v>45443</v>
      </c>
      <c r="C13373" s="1" t="n">
        <v>45657</v>
      </c>
      <c r="D13373" t="inlineStr">
        <is>
          <t>VÄSTERNORRLANDS LÄN</t>
        </is>
      </c>
      <c r="E13373" t="inlineStr">
        <is>
          <t>SUNDSVALL</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21888-2024</t>
        </is>
      </c>
      <c r="B13374" s="1" t="n">
        <v>45443</v>
      </c>
      <c r="C13374" s="1" t="n">
        <v>45657</v>
      </c>
      <c r="D13374" t="inlineStr">
        <is>
          <t>VÄSTERNORRLANDS LÄN</t>
        </is>
      </c>
      <c r="E13374" t="inlineStr">
        <is>
          <t>ÖRNSKÖLDSVIK</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22099-2024</t>
        </is>
      </c>
      <c r="B13375" s="1" t="n">
        <v>45444</v>
      </c>
      <c r="C13375" s="1" t="n">
        <v>45657</v>
      </c>
      <c r="D13375" t="inlineStr">
        <is>
          <t>VÄSTERNORRLANDS LÄN</t>
        </is>
      </c>
      <c r="E13375" t="inlineStr">
        <is>
          <t>SUNDSVALL</t>
        </is>
      </c>
      <c r="F13375" t="inlineStr">
        <is>
          <t>SCA</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22100-2024</t>
        </is>
      </c>
      <c r="B13376" s="1" t="n">
        <v>45444</v>
      </c>
      <c r="C13376" s="1" t="n">
        <v>45657</v>
      </c>
      <c r="D13376" t="inlineStr">
        <is>
          <t>VÄSTERNORRLANDS LÄN</t>
        </is>
      </c>
      <c r="E13376" t="inlineStr">
        <is>
          <t>SOLLEFTEÅ</t>
        </is>
      </c>
      <c r="F13376" t="inlineStr">
        <is>
          <t>SCA</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21890-2024</t>
        </is>
      </c>
      <c r="B13377" s="1" t="n">
        <v>45443</v>
      </c>
      <c r="C13377" s="1" t="n">
        <v>45657</v>
      </c>
      <c r="D13377" t="inlineStr">
        <is>
          <t>VÄSTERNORRLANDS LÄN</t>
        </is>
      </c>
      <c r="E13377" t="inlineStr">
        <is>
          <t>ÖRNSKÖLDSVIK</t>
        </is>
      </c>
      <c r="F13377" t="inlineStr">
        <is>
          <t>Holmen skog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22117-2024</t>
        </is>
      </c>
      <c r="B13378" s="1" t="n">
        <v>45444</v>
      </c>
      <c r="C13378" s="1" t="n">
        <v>45657</v>
      </c>
      <c r="D13378" t="inlineStr">
        <is>
          <t>VÄSTERNORRLANDS LÄN</t>
        </is>
      </c>
      <c r="E13378" t="inlineStr">
        <is>
          <t>SUNDSVALL</t>
        </is>
      </c>
      <c r="F13378" t="inlineStr">
        <is>
          <t>SCA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22078-2024</t>
        </is>
      </c>
      <c r="B13379" s="1" t="n">
        <v>45443</v>
      </c>
      <c r="C13379" s="1" t="n">
        <v>45657</v>
      </c>
      <c r="D13379" t="inlineStr">
        <is>
          <t>VÄSTERNORRLANDS LÄN</t>
        </is>
      </c>
      <c r="E13379" t="inlineStr">
        <is>
          <t>ÖRNSKÖLDSVIK</t>
        </is>
      </c>
      <c r="F13379" t="inlineStr">
        <is>
          <t>Holmen skog AB</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21970-2024</t>
        </is>
      </c>
      <c r="B13380" s="1" t="n">
        <v>45443</v>
      </c>
      <c r="C13380" s="1" t="n">
        <v>45657</v>
      </c>
      <c r="D13380" t="inlineStr">
        <is>
          <t>VÄSTERNORRLANDS LÄN</t>
        </is>
      </c>
      <c r="E13380" t="inlineStr">
        <is>
          <t>ÖRNSKÖLDSVIK</t>
        </is>
      </c>
      <c r="F13380" t="inlineStr">
        <is>
          <t>Holmen skog AB</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22102-2024</t>
        </is>
      </c>
      <c r="B13381" s="1" t="n">
        <v>45444</v>
      </c>
      <c r="C13381" s="1" t="n">
        <v>45657</v>
      </c>
      <c r="D13381" t="inlineStr">
        <is>
          <t>VÄSTERNORRLANDS LÄN</t>
        </is>
      </c>
      <c r="E13381" t="inlineStr">
        <is>
          <t>SUNDSVALL</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22119-2024</t>
        </is>
      </c>
      <c r="B13382" s="1" t="n">
        <v>45443</v>
      </c>
      <c r="C13382" s="1" t="n">
        <v>45657</v>
      </c>
      <c r="D13382" t="inlineStr">
        <is>
          <t>VÄSTERNORRLANDS LÄN</t>
        </is>
      </c>
      <c r="E13382" t="inlineStr">
        <is>
          <t>SOLLEFTEÅ</t>
        </is>
      </c>
      <c r="F13382" t="inlineStr">
        <is>
          <t>SCA</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22075-2024</t>
        </is>
      </c>
      <c r="B13383" s="1" t="n">
        <v>45443</v>
      </c>
      <c r="C13383" s="1" t="n">
        <v>45657</v>
      </c>
      <c r="D13383" t="inlineStr">
        <is>
          <t>VÄSTERNORRLANDS LÄN</t>
        </is>
      </c>
      <c r="E13383" t="inlineStr">
        <is>
          <t>ÖRNSKÖLDSVIK</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21899-2024</t>
        </is>
      </c>
      <c r="B13384" s="1" t="n">
        <v>45443</v>
      </c>
      <c r="C13384" s="1" t="n">
        <v>45657</v>
      </c>
      <c r="D13384" t="inlineStr">
        <is>
          <t>VÄSTERNORRLANDS LÄN</t>
        </is>
      </c>
      <c r="E13384" t="inlineStr">
        <is>
          <t>SUNDSVALL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22126-2024</t>
        </is>
      </c>
      <c r="B13385" s="1" t="n">
        <v>45444</v>
      </c>
      <c r="C13385" s="1" t="n">
        <v>45657</v>
      </c>
      <c r="D13385" t="inlineStr">
        <is>
          <t>VÄSTERNORRLANDS LÄN</t>
        </is>
      </c>
      <c r="E13385" t="inlineStr">
        <is>
          <t>SUNDSVALL</t>
        </is>
      </c>
      <c r="F13385" t="inlineStr">
        <is>
          <t>SCA</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22122-2024</t>
        </is>
      </c>
      <c r="B13386" s="1" t="n">
        <v>45443</v>
      </c>
      <c r="C13386" s="1" t="n">
        <v>45657</v>
      </c>
      <c r="D13386" t="inlineStr">
        <is>
          <t>VÄSTERNORRLANDS LÄN</t>
        </is>
      </c>
      <c r="E13386" t="inlineStr">
        <is>
          <t>ÅNGE</t>
        </is>
      </c>
      <c r="F13386" t="inlineStr">
        <is>
          <t>SCA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22118-2024</t>
        </is>
      </c>
      <c r="B13387" s="1" t="n">
        <v>45443</v>
      </c>
      <c r="C13387" s="1" t="n">
        <v>45657</v>
      </c>
      <c r="D13387" t="inlineStr">
        <is>
          <t>VÄSTERNORRLANDS LÄN</t>
        </is>
      </c>
      <c r="E13387" t="inlineStr">
        <is>
          <t>SOLLEFTEÅ</t>
        </is>
      </c>
      <c r="F13387" t="inlineStr">
        <is>
          <t>SCA</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22023-2024</t>
        </is>
      </c>
      <c r="B13388" s="1" t="n">
        <v>45443</v>
      </c>
      <c r="C13388" s="1" t="n">
        <v>45657</v>
      </c>
      <c r="D13388" t="inlineStr">
        <is>
          <t>VÄSTERNORRLANDS LÄN</t>
        </is>
      </c>
      <c r="E13388" t="inlineStr">
        <is>
          <t>ÖRNSKÖLDSVIK</t>
        </is>
      </c>
      <c r="G13388" t="n">
        <v>14.8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22019-2024</t>
        </is>
      </c>
      <c r="B13389" s="1" t="n">
        <v>45443</v>
      </c>
      <c r="C13389" s="1" t="n">
        <v>45657</v>
      </c>
      <c r="D13389" t="inlineStr">
        <is>
          <t>VÄSTERNORRLANDS LÄN</t>
        </is>
      </c>
      <c r="E13389" t="inlineStr">
        <is>
          <t>ÖRNSKÖLDSVIK</t>
        </is>
      </c>
      <c r="F13389" t="inlineStr">
        <is>
          <t>Holmen skog AB</t>
        </is>
      </c>
      <c r="G13389" t="n">
        <v>27.7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21869-2024</t>
        </is>
      </c>
      <c r="B13390" s="1" t="n">
        <v>45443</v>
      </c>
      <c r="C13390" s="1" t="n">
        <v>45657</v>
      </c>
      <c r="D13390" t="inlineStr">
        <is>
          <t>VÄSTERNORRLANDS LÄN</t>
        </is>
      </c>
      <c r="E13390" t="inlineStr">
        <is>
          <t>ÖRNSKÖLDSVIK</t>
        </is>
      </c>
      <c r="F13390" t="inlineStr">
        <is>
          <t>Holmen skog AB</t>
        </is>
      </c>
      <c r="G13390" t="n">
        <v>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21897-2024</t>
        </is>
      </c>
      <c r="B13391" s="1" t="n">
        <v>45443</v>
      </c>
      <c r="C13391" s="1" t="n">
        <v>45657</v>
      </c>
      <c r="D13391" t="inlineStr">
        <is>
          <t>VÄSTERNORRLANDS LÄN</t>
        </is>
      </c>
      <c r="E13391" t="inlineStr">
        <is>
          <t>ÖRNSKÖLDSVIK</t>
        </is>
      </c>
      <c r="F13391" t="inlineStr">
        <is>
          <t>Holmen skog AB</t>
        </is>
      </c>
      <c r="G13391" t="n">
        <v>13.2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21893-2024</t>
        </is>
      </c>
      <c r="B13392" s="1" t="n">
        <v>45443</v>
      </c>
      <c r="C13392" s="1" t="n">
        <v>45657</v>
      </c>
      <c r="D13392" t="inlineStr">
        <is>
          <t>VÄSTERNORRLANDS LÄN</t>
        </is>
      </c>
      <c r="E13392" t="inlineStr">
        <is>
          <t>ÖRNSKÖLDSVIK</t>
        </is>
      </c>
      <c r="F13392" t="inlineStr">
        <is>
          <t>Holmen skog AB</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22137-2024</t>
        </is>
      </c>
      <c r="B13393" s="1" t="n">
        <v>45444</v>
      </c>
      <c r="C13393" s="1" t="n">
        <v>45657</v>
      </c>
      <c r="D13393" t="inlineStr">
        <is>
          <t>VÄSTERNORRLANDS LÄN</t>
        </is>
      </c>
      <c r="E13393" t="inlineStr">
        <is>
          <t>ÖRNSKÖLDSVIK</t>
        </is>
      </c>
      <c r="F13393" t="inlineStr">
        <is>
          <t>SCA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22158-2024</t>
        </is>
      </c>
      <c r="B13394" s="1" t="n">
        <v>45445</v>
      </c>
      <c r="C13394" s="1" t="n">
        <v>45657</v>
      </c>
      <c r="D13394" t="inlineStr">
        <is>
          <t>VÄSTERNORRLANDS LÄN</t>
        </is>
      </c>
      <c r="E13394" t="inlineStr">
        <is>
          <t>ÖRNSKÖLDSVIK</t>
        </is>
      </c>
      <c r="G13394" t="n">
        <v>5.9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22368-2024</t>
        </is>
      </c>
      <c r="B13395" s="1" t="n">
        <v>45446</v>
      </c>
      <c r="C13395" s="1" t="n">
        <v>45657</v>
      </c>
      <c r="D13395" t="inlineStr">
        <is>
          <t>VÄSTERNORRLANDS LÄN</t>
        </is>
      </c>
      <c r="E13395" t="inlineStr">
        <is>
          <t>TIMRÅ</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22218-2024</t>
        </is>
      </c>
      <c r="B13396" s="1" t="n">
        <v>45446</v>
      </c>
      <c r="C13396" s="1" t="n">
        <v>45657</v>
      </c>
      <c r="D13396" t="inlineStr">
        <is>
          <t>VÄSTERNORRLANDS LÄN</t>
        </is>
      </c>
      <c r="E13396" t="inlineStr">
        <is>
          <t>KRAMFORS</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22463-2024</t>
        </is>
      </c>
      <c r="B13397" s="1" t="n">
        <v>45446</v>
      </c>
      <c r="C13397" s="1" t="n">
        <v>45657</v>
      </c>
      <c r="D13397" t="inlineStr">
        <is>
          <t>VÄSTERNORRLANDS LÄN</t>
        </is>
      </c>
      <c r="E13397" t="inlineStr">
        <is>
          <t>ÅNGE</t>
        </is>
      </c>
      <c r="F13397" t="inlineStr">
        <is>
          <t>SCA</t>
        </is>
      </c>
      <c r="G13397" t="n">
        <v>6.3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22471-2024</t>
        </is>
      </c>
      <c r="B13398" s="1" t="n">
        <v>45446</v>
      </c>
      <c r="C13398" s="1" t="n">
        <v>45657</v>
      </c>
      <c r="D13398" t="inlineStr">
        <is>
          <t>VÄSTERNORRLANDS LÄN</t>
        </is>
      </c>
      <c r="E13398" t="inlineStr">
        <is>
          <t>SOLLEFTEÅ</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22187-2024</t>
        </is>
      </c>
      <c r="B13399" s="1" t="n">
        <v>45446</v>
      </c>
      <c r="C13399" s="1" t="n">
        <v>45657</v>
      </c>
      <c r="D13399" t="inlineStr">
        <is>
          <t>VÄSTERNORRLANDS LÄN</t>
        </is>
      </c>
      <c r="E13399" t="inlineStr">
        <is>
          <t>ÅNGE</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22288-2024</t>
        </is>
      </c>
      <c r="B13400" s="1" t="n">
        <v>45446</v>
      </c>
      <c r="C13400" s="1" t="n">
        <v>45657</v>
      </c>
      <c r="D13400" t="inlineStr">
        <is>
          <t>VÄSTERNORRLANDS LÄN</t>
        </is>
      </c>
      <c r="E13400" t="inlineStr">
        <is>
          <t>ÖRNSKÖLDSVIK</t>
        </is>
      </c>
      <c r="F13400" t="inlineStr">
        <is>
          <t>Holmen skog AB</t>
        </is>
      </c>
      <c r="G13400" t="n">
        <v>10.5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22475-2024</t>
        </is>
      </c>
      <c r="B13401" s="1" t="n">
        <v>45447</v>
      </c>
      <c r="C13401" s="1" t="n">
        <v>45657</v>
      </c>
      <c r="D13401" t="inlineStr">
        <is>
          <t>VÄSTERNORRLANDS LÄN</t>
        </is>
      </c>
      <c r="E13401" t="inlineStr">
        <is>
          <t>SOLLEFTEÅ</t>
        </is>
      </c>
      <c r="F13401" t="inlineStr">
        <is>
          <t>SCA</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22486-2024</t>
        </is>
      </c>
      <c r="B13402" s="1" t="n">
        <v>45446</v>
      </c>
      <c r="C13402" s="1" t="n">
        <v>45657</v>
      </c>
      <c r="D13402" t="inlineStr">
        <is>
          <t>VÄSTERNORRLANDS LÄN</t>
        </is>
      </c>
      <c r="E13402" t="inlineStr">
        <is>
          <t>TIMRÅ</t>
        </is>
      </c>
      <c r="G13402" t="n">
        <v>6.8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22473-2024</t>
        </is>
      </c>
      <c r="B13403" s="1" t="n">
        <v>45446</v>
      </c>
      <c r="C13403" s="1" t="n">
        <v>45657</v>
      </c>
      <c r="D13403" t="inlineStr">
        <is>
          <t>VÄSTERNORRLANDS LÄN</t>
        </is>
      </c>
      <c r="E13403" t="inlineStr">
        <is>
          <t>SOLLEFTEÅ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22465-2024</t>
        </is>
      </c>
      <c r="B13404" s="1" t="n">
        <v>45446</v>
      </c>
      <c r="C13404" s="1" t="n">
        <v>45657</v>
      </c>
      <c r="D13404" t="inlineStr">
        <is>
          <t>VÄSTERNORRLANDS LÄN</t>
        </is>
      </c>
      <c r="E13404" t="inlineStr">
        <is>
          <t>ÅNGE</t>
        </is>
      </c>
      <c r="F13404" t="inlineStr">
        <is>
          <t>SCA</t>
        </is>
      </c>
      <c r="G13404" t="n">
        <v>7.9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22461-2024</t>
        </is>
      </c>
      <c r="B13405" s="1" t="n">
        <v>45447</v>
      </c>
      <c r="C13405" s="1" t="n">
        <v>45657</v>
      </c>
      <c r="D13405" t="inlineStr">
        <is>
          <t>VÄSTERNORRLANDS LÄN</t>
        </is>
      </c>
      <c r="E13405" t="inlineStr">
        <is>
          <t>ÅNGE</t>
        </is>
      </c>
      <c r="F13405" t="inlineStr">
        <is>
          <t>SCA</t>
        </is>
      </c>
      <c r="G13405" t="n">
        <v>12.2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22245-2024</t>
        </is>
      </c>
      <c r="B13406" s="1" t="n">
        <v>45446</v>
      </c>
      <c r="C13406" s="1" t="n">
        <v>45657</v>
      </c>
      <c r="D13406" t="inlineStr">
        <is>
          <t>VÄSTERNORRLANDS LÄN</t>
        </is>
      </c>
      <c r="E13406" t="inlineStr">
        <is>
          <t>ÖRNSKÖLDSVIK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22236-2024</t>
        </is>
      </c>
      <c r="B13407" s="1" t="n">
        <v>45446</v>
      </c>
      <c r="C13407" s="1" t="n">
        <v>45657</v>
      </c>
      <c r="D13407" t="inlineStr">
        <is>
          <t>VÄSTERNORRLANDS LÄN</t>
        </is>
      </c>
      <c r="E13407" t="inlineStr">
        <is>
          <t>ÖRNSKÖLDSVIK</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22333-2024</t>
        </is>
      </c>
      <c r="B13408" s="1" t="n">
        <v>45446</v>
      </c>
      <c r="C13408" s="1" t="n">
        <v>45657</v>
      </c>
      <c r="D13408" t="inlineStr">
        <is>
          <t>VÄSTERNORRLANDS LÄN</t>
        </is>
      </c>
      <c r="E13408" t="inlineStr">
        <is>
          <t>ÖRNSKÖLDSVIK</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22338-2024</t>
        </is>
      </c>
      <c r="B13409" s="1" t="n">
        <v>45446</v>
      </c>
      <c r="C13409" s="1" t="n">
        <v>45657</v>
      </c>
      <c r="D13409" t="inlineStr">
        <is>
          <t>VÄSTERNORRLANDS LÄN</t>
        </is>
      </c>
      <c r="E13409" t="inlineStr">
        <is>
          <t>ÖRNSKÖLDSVIK</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22457-2024</t>
        </is>
      </c>
      <c r="B13410" s="1" t="n">
        <v>45446</v>
      </c>
      <c r="C13410" s="1" t="n">
        <v>45657</v>
      </c>
      <c r="D13410" t="inlineStr">
        <is>
          <t>VÄSTERNORRLANDS LÄN</t>
        </is>
      </c>
      <c r="E13410" t="inlineStr">
        <is>
          <t>SOLLEFTEÅ</t>
        </is>
      </c>
      <c r="F13410" t="inlineStr">
        <is>
          <t>SCA</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22206-2024</t>
        </is>
      </c>
      <c r="B13411" s="1" t="n">
        <v>45446</v>
      </c>
      <c r="C13411" s="1" t="n">
        <v>45657</v>
      </c>
      <c r="D13411" t="inlineStr">
        <is>
          <t>VÄSTERNORRLANDS LÄN</t>
        </is>
      </c>
      <c r="E13411" t="inlineStr">
        <is>
          <t>ÖRNSKÖLDSVIK</t>
        </is>
      </c>
      <c r="F13411" t="inlineStr">
        <is>
          <t>Holmen skog AB</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22417-2024</t>
        </is>
      </c>
      <c r="B13412" s="1" t="n">
        <v>45446</v>
      </c>
      <c r="C13412" s="1" t="n">
        <v>45657</v>
      </c>
      <c r="D13412" t="inlineStr">
        <is>
          <t>VÄSTERNORRLANDS LÄN</t>
        </is>
      </c>
      <c r="E13412" t="inlineStr">
        <is>
          <t>ÖRNSKÖLDSVIK</t>
        </is>
      </c>
      <c r="F13412" t="inlineStr">
        <is>
          <t>Holmen skog AB</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22318-2024</t>
        </is>
      </c>
      <c r="B13413" s="1" t="n">
        <v>45446</v>
      </c>
      <c r="C13413" s="1" t="n">
        <v>45657</v>
      </c>
      <c r="D13413" t="inlineStr">
        <is>
          <t>VÄSTERNORRLANDS LÄN</t>
        </is>
      </c>
      <c r="E13413" t="inlineStr">
        <is>
          <t>ÖRNSKÖLDSVIK</t>
        </is>
      </c>
      <c r="F13413" t="inlineStr">
        <is>
          <t>Holmen skog AB</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22289-2024</t>
        </is>
      </c>
      <c r="B13414" s="1" t="n">
        <v>45446</v>
      </c>
      <c r="C13414" s="1" t="n">
        <v>45657</v>
      </c>
      <c r="D13414" t="inlineStr">
        <is>
          <t>VÄSTERNORRLANDS LÄN</t>
        </is>
      </c>
      <c r="E13414" t="inlineStr">
        <is>
          <t>ÖRNSKÖLDSVIK</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22208-2024</t>
        </is>
      </c>
      <c r="B13415" s="1" t="n">
        <v>45446</v>
      </c>
      <c r="C13415" s="1" t="n">
        <v>45657</v>
      </c>
      <c r="D13415" t="inlineStr">
        <is>
          <t>VÄSTERNORRLANDS LÄN</t>
        </is>
      </c>
      <c r="E13415" t="inlineStr">
        <is>
          <t>SOLLEFTEÅ</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22416-2024</t>
        </is>
      </c>
      <c r="B13416" s="1" t="n">
        <v>45446</v>
      </c>
      <c r="C13416" s="1" t="n">
        <v>45657</v>
      </c>
      <c r="D13416" t="inlineStr">
        <is>
          <t>VÄSTERNORRLANDS LÄN</t>
        </is>
      </c>
      <c r="E13416" t="inlineStr">
        <is>
          <t>TIMRÅ</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22456-2024</t>
        </is>
      </c>
      <c r="B13417" s="1" t="n">
        <v>45447</v>
      </c>
      <c r="C13417" s="1" t="n">
        <v>45657</v>
      </c>
      <c r="D13417" t="inlineStr">
        <is>
          <t>VÄSTERNORRLANDS LÄN</t>
        </is>
      </c>
      <c r="E13417" t="inlineStr">
        <is>
          <t>SOLLEFTEÅ</t>
        </is>
      </c>
      <c r="F13417" t="inlineStr">
        <is>
          <t>SCA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22460-2024</t>
        </is>
      </c>
      <c r="B13418" s="1" t="n">
        <v>45446</v>
      </c>
      <c r="C13418" s="1" t="n">
        <v>45657</v>
      </c>
      <c r="D13418" t="inlineStr">
        <is>
          <t>VÄSTERNORRLANDS LÄN</t>
        </is>
      </c>
      <c r="E13418" t="inlineStr">
        <is>
          <t>ÅNGE</t>
        </is>
      </c>
      <c r="F13418" t="inlineStr">
        <is>
          <t>SCA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22464-2024</t>
        </is>
      </c>
      <c r="B13419" s="1" t="n">
        <v>45447</v>
      </c>
      <c r="C13419" s="1" t="n">
        <v>45657</v>
      </c>
      <c r="D13419" t="inlineStr">
        <is>
          <t>VÄSTERNORRLANDS LÄN</t>
        </is>
      </c>
      <c r="E13419" t="inlineStr">
        <is>
          <t>ÅNGE</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22468-2024</t>
        </is>
      </c>
      <c r="B13420" s="1" t="n">
        <v>45447</v>
      </c>
      <c r="C13420" s="1" t="n">
        <v>45657</v>
      </c>
      <c r="D13420" t="inlineStr">
        <is>
          <t>VÄSTERNORRLANDS LÄN</t>
        </is>
      </c>
      <c r="E13420" t="inlineStr">
        <is>
          <t>SOLLEFTEÅ</t>
        </is>
      </c>
      <c r="F13420" t="inlineStr">
        <is>
          <t>SCA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22472-2024</t>
        </is>
      </c>
      <c r="B13421" s="1" t="n">
        <v>45447</v>
      </c>
      <c r="C13421" s="1" t="n">
        <v>45657</v>
      </c>
      <c r="D13421" t="inlineStr">
        <is>
          <t>VÄSTERNORRLANDS LÄN</t>
        </is>
      </c>
      <c r="E13421" t="inlineStr">
        <is>
          <t>SOLLEFTEÅ</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22476-2024</t>
        </is>
      </c>
      <c r="B13422" s="1" t="n">
        <v>45446</v>
      </c>
      <c r="C13422" s="1" t="n">
        <v>45657</v>
      </c>
      <c r="D13422" t="inlineStr">
        <is>
          <t>VÄSTERNORRLANDS LÄN</t>
        </is>
      </c>
      <c r="E13422" t="inlineStr">
        <is>
          <t>SOLLEFTEÅ</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22462-2024</t>
        </is>
      </c>
      <c r="B13423" s="1" t="n">
        <v>45446</v>
      </c>
      <c r="C13423" s="1" t="n">
        <v>45657</v>
      </c>
      <c r="D13423" t="inlineStr">
        <is>
          <t>VÄSTERNORRLANDS LÄN</t>
        </is>
      </c>
      <c r="E13423" t="inlineStr">
        <is>
          <t>SOLLEFTEÅ</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22273-2024</t>
        </is>
      </c>
      <c r="B13424" s="1" t="n">
        <v>45446</v>
      </c>
      <c r="C13424" s="1" t="n">
        <v>45657</v>
      </c>
      <c r="D13424" t="inlineStr">
        <is>
          <t>VÄSTERNORRLANDS LÄN</t>
        </is>
      </c>
      <c r="E13424" t="inlineStr">
        <is>
          <t>ÖRNSKÖLDSVIK</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22243-2024</t>
        </is>
      </c>
      <c r="B13425" s="1" t="n">
        <v>45446</v>
      </c>
      <c r="C13425" s="1" t="n">
        <v>45657</v>
      </c>
      <c r="D13425" t="inlineStr">
        <is>
          <t>VÄSTERNORRLANDS LÄN</t>
        </is>
      </c>
      <c r="E13425" t="inlineStr">
        <is>
          <t>SOLLEFTEÅ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22235-2024</t>
        </is>
      </c>
      <c r="B13426" s="1" t="n">
        <v>45446</v>
      </c>
      <c r="C13426" s="1" t="n">
        <v>45657</v>
      </c>
      <c r="D13426" t="inlineStr">
        <is>
          <t>VÄSTERNORRLANDS LÄN</t>
        </is>
      </c>
      <c r="E13426" t="inlineStr">
        <is>
          <t>SOLLEFTEÅ</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22663-2024</t>
        </is>
      </c>
      <c r="B13427" s="1" t="n">
        <v>45447</v>
      </c>
      <c r="C13427" s="1" t="n">
        <v>45657</v>
      </c>
      <c r="D13427" t="inlineStr">
        <is>
          <t>VÄSTERNORRLANDS LÄN</t>
        </is>
      </c>
      <c r="E13427" t="inlineStr">
        <is>
          <t>ÖRNSKÖLDSVIK</t>
        </is>
      </c>
      <c r="F13427" t="inlineStr">
        <is>
          <t>SCA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22671-2024</t>
        </is>
      </c>
      <c r="B13428" s="1" t="n">
        <v>45448</v>
      </c>
      <c r="C13428" s="1" t="n">
        <v>45657</v>
      </c>
      <c r="D13428" t="inlineStr">
        <is>
          <t>VÄSTERNORRLANDS LÄN</t>
        </is>
      </c>
      <c r="E13428" t="inlineStr">
        <is>
          <t>SOLLEFTEÅ</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22675-2024</t>
        </is>
      </c>
      <c r="B13429" s="1" t="n">
        <v>45448</v>
      </c>
      <c r="C13429" s="1" t="n">
        <v>45657</v>
      </c>
      <c r="D13429" t="inlineStr">
        <is>
          <t>VÄSTERNORRLANDS LÄN</t>
        </is>
      </c>
      <c r="E13429" t="inlineStr">
        <is>
          <t>SOLLEFTEÅ</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22679-2024</t>
        </is>
      </c>
      <c r="B13430" s="1" t="n">
        <v>45447</v>
      </c>
      <c r="C13430" s="1" t="n">
        <v>45657</v>
      </c>
      <c r="D13430" t="inlineStr">
        <is>
          <t>VÄSTERNORRLANDS LÄN</t>
        </is>
      </c>
      <c r="E13430" t="inlineStr">
        <is>
          <t>ÅNGE</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22666-2024</t>
        </is>
      </c>
      <c r="B13431" s="1" t="n">
        <v>45447</v>
      </c>
      <c r="C13431" s="1" t="n">
        <v>45657</v>
      </c>
      <c r="D13431" t="inlineStr">
        <is>
          <t>VÄSTERNORRLANDS LÄN</t>
        </is>
      </c>
      <c r="E13431" t="inlineStr">
        <is>
          <t>SOLLEFTEÅ</t>
        </is>
      </c>
      <c r="F13431" t="inlineStr">
        <is>
          <t>SCA</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22661-2024</t>
        </is>
      </c>
      <c r="B13432" s="1" t="n">
        <v>45448</v>
      </c>
      <c r="C13432" s="1" t="n">
        <v>45657</v>
      </c>
      <c r="D13432" t="inlineStr">
        <is>
          <t>VÄSTERNORRLANDS LÄN</t>
        </is>
      </c>
      <c r="E13432" t="inlineStr">
        <is>
          <t>SOLLEFTEÅ</t>
        </is>
      </c>
      <c r="F13432" t="inlineStr">
        <is>
          <t>SCA</t>
        </is>
      </c>
      <c r="G13432" t="n">
        <v>10</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22665-2024</t>
        </is>
      </c>
      <c r="B13433" s="1" t="n">
        <v>45448</v>
      </c>
      <c r="C13433" s="1" t="n">
        <v>45657</v>
      </c>
      <c r="D13433" t="inlineStr">
        <is>
          <t>VÄSTERNORRLANDS LÄN</t>
        </is>
      </c>
      <c r="E13433" t="inlineStr">
        <is>
          <t>SOLLEFTEÅ</t>
        </is>
      </c>
      <c r="F13433" t="inlineStr">
        <is>
          <t>SCA</t>
        </is>
      </c>
      <c r="G13433" t="n">
        <v>35.6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22664-2024</t>
        </is>
      </c>
      <c r="B13434" s="1" t="n">
        <v>45448</v>
      </c>
      <c r="C13434" s="1" t="n">
        <v>45657</v>
      </c>
      <c r="D13434" t="inlineStr">
        <is>
          <t>VÄSTERNORRLANDS LÄN</t>
        </is>
      </c>
      <c r="E13434" t="inlineStr">
        <is>
          <t>SOLLEFTEÅ</t>
        </is>
      </c>
      <c r="F13434" t="inlineStr">
        <is>
          <t>SCA</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22668-2024</t>
        </is>
      </c>
      <c r="B13435" s="1" t="n">
        <v>45448</v>
      </c>
      <c r="C13435" s="1" t="n">
        <v>45657</v>
      </c>
      <c r="D13435" t="inlineStr">
        <is>
          <t>VÄSTERNORRLANDS LÄN</t>
        </is>
      </c>
      <c r="E13435" t="inlineStr">
        <is>
          <t>SOLLEFTEÅ</t>
        </is>
      </c>
      <c r="F13435" t="inlineStr">
        <is>
          <t>SCA</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22669-2024</t>
        </is>
      </c>
      <c r="B13436" s="1" t="n">
        <v>45447</v>
      </c>
      <c r="C13436" s="1" t="n">
        <v>45657</v>
      </c>
      <c r="D13436" t="inlineStr">
        <is>
          <t>VÄSTERNORRLANDS LÄN</t>
        </is>
      </c>
      <c r="E13436" t="inlineStr">
        <is>
          <t>TIMRÅ</t>
        </is>
      </c>
      <c r="F13436" t="inlineStr">
        <is>
          <t>SCA</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22673-2024</t>
        </is>
      </c>
      <c r="B13437" s="1" t="n">
        <v>45448</v>
      </c>
      <c r="C13437" s="1" t="n">
        <v>45657</v>
      </c>
      <c r="D13437" t="inlineStr">
        <is>
          <t>VÄSTERNORRLANDS LÄN</t>
        </is>
      </c>
      <c r="E13437" t="inlineStr">
        <is>
          <t>SOLLEFTEÅ</t>
        </is>
      </c>
      <c r="F13437" t="inlineStr">
        <is>
          <t>SCA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22628-2024</t>
        </is>
      </c>
      <c r="B13438" s="1" t="n">
        <v>45447</v>
      </c>
      <c r="C13438" s="1" t="n">
        <v>45657</v>
      </c>
      <c r="D13438" t="inlineStr">
        <is>
          <t>VÄSTERNORRLANDS LÄN</t>
        </is>
      </c>
      <c r="E13438" t="inlineStr">
        <is>
          <t>SUNDSVALL</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22624-2024</t>
        </is>
      </c>
      <c r="B13439" s="1" t="n">
        <v>45447</v>
      </c>
      <c r="C13439" s="1" t="n">
        <v>45657</v>
      </c>
      <c r="D13439" t="inlineStr">
        <is>
          <t>VÄSTERNORRLANDS LÄN</t>
        </is>
      </c>
      <c r="E13439" t="inlineStr">
        <is>
          <t>SUNDSVALL</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22670-2024</t>
        </is>
      </c>
      <c r="B13440" s="1" t="n">
        <v>45448</v>
      </c>
      <c r="C13440" s="1" t="n">
        <v>45657</v>
      </c>
      <c r="D13440" t="inlineStr">
        <is>
          <t>VÄSTERNORRLANDS LÄN</t>
        </is>
      </c>
      <c r="E13440" t="inlineStr">
        <is>
          <t>SUNDSVALL</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22678-2024</t>
        </is>
      </c>
      <c r="B13441" s="1" t="n">
        <v>45448</v>
      </c>
      <c r="C13441" s="1" t="n">
        <v>45657</v>
      </c>
      <c r="D13441" t="inlineStr">
        <is>
          <t>VÄSTERNORRLANDS LÄN</t>
        </is>
      </c>
      <c r="E13441" t="inlineStr">
        <is>
          <t>ÅNGE</t>
        </is>
      </c>
      <c r="F13441" t="inlineStr">
        <is>
          <t>SCA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22682-2024</t>
        </is>
      </c>
      <c r="B13442" s="1" t="n">
        <v>45447</v>
      </c>
      <c r="C13442" s="1" t="n">
        <v>45657</v>
      </c>
      <c r="D13442" t="inlineStr">
        <is>
          <t>VÄSTERNORRLANDS LÄN</t>
        </is>
      </c>
      <c r="E13442" t="inlineStr">
        <is>
          <t>SOLLEFTEÅ</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22519-2024</t>
        </is>
      </c>
      <c r="B13443" s="1" t="n">
        <v>45447</v>
      </c>
      <c r="C13443" s="1" t="n">
        <v>45657</v>
      </c>
      <c r="D13443" t="inlineStr">
        <is>
          <t>VÄSTERNORRLANDS LÄN</t>
        </is>
      </c>
      <c r="E13443" t="inlineStr">
        <is>
          <t>ÖRNSKÖLDSVIK</t>
        </is>
      </c>
      <c r="F13443" t="inlineStr">
        <is>
          <t>Holmen skog AB</t>
        </is>
      </c>
      <c r="G13443" t="n">
        <v>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22515-2024</t>
        </is>
      </c>
      <c r="B13444" s="1" t="n">
        <v>45447</v>
      </c>
      <c r="C13444" s="1" t="n">
        <v>45657</v>
      </c>
      <c r="D13444" t="inlineStr">
        <is>
          <t>VÄSTERNORRLANDS LÄN</t>
        </is>
      </c>
      <c r="E13444" t="inlineStr">
        <is>
          <t>ÖRNSKÖLDSVIK</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22672-2024</t>
        </is>
      </c>
      <c r="B13445" s="1" t="n">
        <v>45448</v>
      </c>
      <c r="C13445" s="1" t="n">
        <v>45657</v>
      </c>
      <c r="D13445" t="inlineStr">
        <is>
          <t>VÄSTERNORRLANDS LÄN</t>
        </is>
      </c>
      <c r="E13445" t="inlineStr">
        <is>
          <t>SOLLEFTEÅ</t>
        </is>
      </c>
      <c r="F13445" t="inlineStr">
        <is>
          <t>SCA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22680-2024</t>
        </is>
      </c>
      <c r="B13446" s="1" t="n">
        <v>45448</v>
      </c>
      <c r="C13446" s="1" t="n">
        <v>45657</v>
      </c>
      <c r="D13446" t="inlineStr">
        <is>
          <t>VÄSTERNORRLANDS LÄN</t>
        </is>
      </c>
      <c r="E13446" t="inlineStr">
        <is>
          <t>ÅNGE</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22631-2024</t>
        </is>
      </c>
      <c r="B13447" s="1" t="n">
        <v>45447</v>
      </c>
      <c r="C13447" s="1" t="n">
        <v>45657</v>
      </c>
      <c r="D13447" t="inlineStr">
        <is>
          <t>VÄSTERNORRLANDS LÄN</t>
        </is>
      </c>
      <c r="E13447" t="inlineStr">
        <is>
          <t>ÖRNSKÖLDSVIK</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22627-2024</t>
        </is>
      </c>
      <c r="B13448" s="1" t="n">
        <v>45447</v>
      </c>
      <c r="C13448" s="1" t="n">
        <v>45657</v>
      </c>
      <c r="D13448" t="inlineStr">
        <is>
          <t>VÄSTERNORRLANDS LÄN</t>
        </is>
      </c>
      <c r="E13448" t="inlineStr">
        <is>
          <t>SUNDSVALL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22574-2024</t>
        </is>
      </c>
      <c r="B13449" s="1" t="n">
        <v>45447</v>
      </c>
      <c r="C13449" s="1" t="n">
        <v>45657</v>
      </c>
      <c r="D13449" t="inlineStr">
        <is>
          <t>VÄSTERNORRLANDS LÄN</t>
        </is>
      </c>
      <c r="E13449" t="inlineStr">
        <is>
          <t>ÖRNSKÖLDSVIK</t>
        </is>
      </c>
      <c r="F13449" t="inlineStr">
        <is>
          <t>Holmen skog AB</t>
        </is>
      </c>
      <c r="G13449" t="n">
        <v>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22558-2024</t>
        </is>
      </c>
      <c r="B13450" s="1" t="n">
        <v>45447</v>
      </c>
      <c r="C13450" s="1" t="n">
        <v>45657</v>
      </c>
      <c r="D13450" t="inlineStr">
        <is>
          <t>VÄSTERNORRLANDS LÄN</t>
        </is>
      </c>
      <c r="E13450" t="inlineStr">
        <is>
          <t>ÖRNSKÖLDSVIK</t>
        </is>
      </c>
      <c r="F13450" t="inlineStr">
        <is>
          <t>Holmen skog AB</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22681-2024</t>
        </is>
      </c>
      <c r="B13451" s="1" t="n">
        <v>45447</v>
      </c>
      <c r="C13451" s="1" t="n">
        <v>45657</v>
      </c>
      <c r="D13451" t="inlineStr">
        <is>
          <t>VÄSTERNORRLANDS LÄN</t>
        </is>
      </c>
      <c r="E13451" t="inlineStr">
        <is>
          <t>ÅNGE</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22509-2024</t>
        </is>
      </c>
      <c r="B13452" s="1" t="n">
        <v>45447</v>
      </c>
      <c r="C13452" s="1" t="n">
        <v>45657</v>
      </c>
      <c r="D13452" t="inlineStr">
        <is>
          <t>VÄSTERNORRLANDS LÄN</t>
        </is>
      </c>
      <c r="E13452" t="inlineStr">
        <is>
          <t>HÄRNÖSAND</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22493-2024</t>
        </is>
      </c>
      <c r="B13453" s="1" t="n">
        <v>45447</v>
      </c>
      <c r="C13453" s="1" t="n">
        <v>45657</v>
      </c>
      <c r="D13453" t="inlineStr">
        <is>
          <t>VÄSTERNORRLANDS LÄN</t>
        </is>
      </c>
      <c r="E13453" t="inlineStr">
        <is>
          <t>ÖRNSKÖLDSVIK</t>
        </is>
      </c>
      <c r="F13453" t="inlineStr">
        <is>
          <t>Holmen skog AB</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22496-2024</t>
        </is>
      </c>
      <c r="B13454" s="1" t="n">
        <v>45447</v>
      </c>
      <c r="C13454" s="1" t="n">
        <v>45657</v>
      </c>
      <c r="D13454" t="inlineStr">
        <is>
          <t>VÄSTERNORRLANDS LÄN</t>
        </is>
      </c>
      <c r="E13454" t="inlineStr">
        <is>
          <t>KRAMFORS</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22630-2024</t>
        </is>
      </c>
      <c r="B13455" s="1" t="n">
        <v>45447</v>
      </c>
      <c r="C13455" s="1" t="n">
        <v>45657</v>
      </c>
      <c r="D13455" t="inlineStr">
        <is>
          <t>VÄSTERNORRLANDS LÄN</t>
        </is>
      </c>
      <c r="E13455" t="inlineStr">
        <is>
          <t>ÖRNSKÖLDSVIK</t>
        </is>
      </c>
      <c r="F13455" t="inlineStr">
        <is>
          <t>Holmen skog AB</t>
        </is>
      </c>
      <c r="G13455" t="n">
        <v>9.6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22932-2024</t>
        </is>
      </c>
      <c r="B13456" s="1" t="n">
        <v>45449</v>
      </c>
      <c r="C13456" s="1" t="n">
        <v>45657</v>
      </c>
      <c r="D13456" t="inlineStr">
        <is>
          <t>VÄSTERNORRLANDS LÄN</t>
        </is>
      </c>
      <c r="E13456" t="inlineStr">
        <is>
          <t>SUNDSVALL</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22690-2024</t>
        </is>
      </c>
      <c r="B13457" s="1" t="n">
        <v>45448</v>
      </c>
      <c r="C13457" s="1" t="n">
        <v>45657</v>
      </c>
      <c r="D13457" t="inlineStr">
        <is>
          <t>VÄSTERNORRLANDS LÄN</t>
        </is>
      </c>
      <c r="E13457" t="inlineStr">
        <is>
          <t>SOLLEFTEÅ</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22800-2024</t>
        </is>
      </c>
      <c r="B13458" s="1" t="n">
        <v>45448</v>
      </c>
      <c r="C13458" s="1" t="n">
        <v>45657</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22938-2024</t>
        </is>
      </c>
      <c r="B13459" s="1" t="n">
        <v>45448</v>
      </c>
      <c r="C13459" s="1" t="n">
        <v>45657</v>
      </c>
      <c r="D13459" t="inlineStr">
        <is>
          <t>VÄSTERNORRLANDS LÄN</t>
        </is>
      </c>
      <c r="E13459" t="inlineStr">
        <is>
          <t>SOLLEFTEÅ</t>
        </is>
      </c>
      <c r="F13459" t="inlineStr">
        <is>
          <t>SCA</t>
        </is>
      </c>
      <c r="G13459" t="n">
        <v>10.4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22871-2024</t>
        </is>
      </c>
      <c r="B13460" s="1" t="n">
        <v>45448</v>
      </c>
      <c r="C13460" s="1" t="n">
        <v>45657</v>
      </c>
      <c r="D13460" t="inlineStr">
        <is>
          <t>VÄSTERNORRLANDS LÄN</t>
        </is>
      </c>
      <c r="E13460" t="inlineStr">
        <is>
          <t>ÖRNSKÖLDSVIK</t>
        </is>
      </c>
      <c r="F13460" t="inlineStr">
        <is>
          <t>Holmen skog AB</t>
        </is>
      </c>
      <c r="G13460" t="n">
        <v>5.8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22939-2024</t>
        </is>
      </c>
      <c r="B13461" s="1" t="n">
        <v>45449</v>
      </c>
      <c r="C13461" s="1" t="n">
        <v>45657</v>
      </c>
      <c r="D13461" t="inlineStr">
        <is>
          <t>VÄSTERNORRLANDS LÄN</t>
        </is>
      </c>
      <c r="E13461" t="inlineStr">
        <is>
          <t>SOLLEFTEÅ</t>
        </is>
      </c>
      <c r="F13461" t="inlineStr">
        <is>
          <t>SCA</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22986-2024</t>
        </is>
      </c>
      <c r="B13462" s="1" t="n">
        <v>45450</v>
      </c>
      <c r="C13462" s="1" t="n">
        <v>45657</v>
      </c>
      <c r="D13462" t="inlineStr">
        <is>
          <t>VÄSTERNORRLANDS LÄN</t>
        </is>
      </c>
      <c r="E13462" t="inlineStr">
        <is>
          <t>ÅNGE</t>
        </is>
      </c>
      <c r="F13462" t="inlineStr">
        <is>
          <t>SCA</t>
        </is>
      </c>
      <c r="G13462" t="n">
        <v>17.8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22955-2024</t>
        </is>
      </c>
      <c r="B13463" s="1" t="n">
        <v>45449</v>
      </c>
      <c r="C13463" s="1" t="n">
        <v>45657</v>
      </c>
      <c r="D13463" t="inlineStr">
        <is>
          <t>VÄSTERNORRLANDS LÄN</t>
        </is>
      </c>
      <c r="E13463" t="inlineStr">
        <is>
          <t>ÖRNSKÖLDSVIK</t>
        </is>
      </c>
      <c r="F13463" t="inlineStr">
        <is>
          <t>Holmen skog AB</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22963-2024</t>
        </is>
      </c>
      <c r="B13464" s="1" t="n">
        <v>45449</v>
      </c>
      <c r="C13464" s="1" t="n">
        <v>45657</v>
      </c>
      <c r="D13464" t="inlineStr">
        <is>
          <t>VÄSTERNORRLANDS LÄN</t>
        </is>
      </c>
      <c r="E13464" t="inlineStr">
        <is>
          <t>ÖRNSKÖLDSVIK</t>
        </is>
      </c>
      <c r="F13464" t="inlineStr">
        <is>
          <t>Holmen skog AB</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22990-2024</t>
        </is>
      </c>
      <c r="B13465" s="1" t="n">
        <v>45450</v>
      </c>
      <c r="C13465" s="1" t="n">
        <v>45657</v>
      </c>
      <c r="D13465" t="inlineStr">
        <is>
          <t>VÄSTERNORRLANDS LÄN</t>
        </is>
      </c>
      <c r="E13465" t="inlineStr">
        <is>
          <t>ÅNGE</t>
        </is>
      </c>
      <c r="F13465" t="inlineStr">
        <is>
          <t>SCA</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22989-2024</t>
        </is>
      </c>
      <c r="B13466" s="1" t="n">
        <v>45450</v>
      </c>
      <c r="C13466" s="1" t="n">
        <v>45657</v>
      </c>
      <c r="D13466" t="inlineStr">
        <is>
          <t>VÄSTERNORRLANDS LÄN</t>
        </is>
      </c>
      <c r="E13466" t="inlineStr">
        <is>
          <t>ÅNGE</t>
        </is>
      </c>
      <c r="F13466" t="inlineStr">
        <is>
          <t>SCA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22987-2024</t>
        </is>
      </c>
      <c r="B13467" s="1" t="n">
        <v>45450</v>
      </c>
      <c r="C13467" s="1" t="n">
        <v>45657</v>
      </c>
      <c r="D13467" t="inlineStr">
        <is>
          <t>VÄSTERNORRLANDS LÄN</t>
        </is>
      </c>
      <c r="E13467" t="inlineStr">
        <is>
          <t>ÅNGE</t>
        </is>
      </c>
      <c r="F13467" t="inlineStr">
        <is>
          <t>SCA</t>
        </is>
      </c>
      <c r="G13467" t="n">
        <v>8.5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22991-2024</t>
        </is>
      </c>
      <c r="B13468" s="1" t="n">
        <v>45450</v>
      </c>
      <c r="C13468" s="1" t="n">
        <v>45657</v>
      </c>
      <c r="D13468" t="inlineStr">
        <is>
          <t>VÄSTERNORRLANDS LÄN</t>
        </is>
      </c>
      <c r="E13468" t="inlineStr">
        <is>
          <t>ÅNGE</t>
        </is>
      </c>
      <c r="F13468" t="inlineStr">
        <is>
          <t>SCA</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22988-2024</t>
        </is>
      </c>
      <c r="B13469" s="1" t="n">
        <v>45450</v>
      </c>
      <c r="C13469" s="1" t="n">
        <v>45657</v>
      </c>
      <c r="D13469" t="inlineStr">
        <is>
          <t>VÄSTERNORRLANDS LÄN</t>
        </is>
      </c>
      <c r="E13469" t="inlineStr">
        <is>
          <t>ÅNGE</t>
        </is>
      </c>
      <c r="F13469" t="inlineStr">
        <is>
          <t>SCA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22984-2024</t>
        </is>
      </c>
      <c r="B13470" s="1" t="n">
        <v>45450</v>
      </c>
      <c r="C13470" s="1" t="n">
        <v>45657</v>
      </c>
      <c r="D13470" t="inlineStr">
        <is>
          <t>VÄSTERNORRLANDS LÄN</t>
        </is>
      </c>
      <c r="E13470" t="inlineStr">
        <is>
          <t>ÅNGE</t>
        </is>
      </c>
      <c r="F13470" t="inlineStr">
        <is>
          <t>SCA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22962-2024</t>
        </is>
      </c>
      <c r="B13471" s="1" t="n">
        <v>45449</v>
      </c>
      <c r="C13471" s="1" t="n">
        <v>45657</v>
      </c>
      <c r="D13471" t="inlineStr">
        <is>
          <t>VÄSTERNORRLANDS LÄN</t>
        </is>
      </c>
      <c r="E13471" t="inlineStr">
        <is>
          <t>ÖRNSKÖLDSVIK</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22958-2024</t>
        </is>
      </c>
      <c r="B13472" s="1" t="n">
        <v>45449</v>
      </c>
      <c r="C13472" s="1" t="n">
        <v>45657</v>
      </c>
      <c r="D13472" t="inlineStr">
        <is>
          <t>VÄSTERNORRLANDS LÄN</t>
        </is>
      </c>
      <c r="E13472" t="inlineStr">
        <is>
          <t>ÖRNSKÖLDSVIK</t>
        </is>
      </c>
      <c r="F13472" t="inlineStr">
        <is>
          <t>Holmen skog AB</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23021-2024</t>
        </is>
      </c>
      <c r="B13473" s="1" t="n">
        <v>45450</v>
      </c>
      <c r="C13473" s="1" t="n">
        <v>45657</v>
      </c>
      <c r="D13473" t="inlineStr">
        <is>
          <t>VÄSTERNORRLANDS LÄN</t>
        </is>
      </c>
      <c r="E13473" t="inlineStr">
        <is>
          <t>SOLLEFTEÅ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23025-2024</t>
        </is>
      </c>
      <c r="B13474" s="1" t="n">
        <v>45450</v>
      </c>
      <c r="C13474" s="1" t="n">
        <v>45657</v>
      </c>
      <c r="D13474" t="inlineStr">
        <is>
          <t>VÄSTERNORRLANDS LÄN</t>
        </is>
      </c>
      <c r="E13474" t="inlineStr">
        <is>
          <t>SOLLEFTEÅ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23097-2024</t>
        </is>
      </c>
      <c r="B13475" s="1" t="n">
        <v>45450</v>
      </c>
      <c r="C13475" s="1" t="n">
        <v>45657</v>
      </c>
      <c r="D13475" t="inlineStr">
        <is>
          <t>VÄSTERNORRLANDS LÄN</t>
        </is>
      </c>
      <c r="E13475" t="inlineStr">
        <is>
          <t>ÖRNSKÖLDSVIK</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23109-2024</t>
        </is>
      </c>
      <c r="B13476" s="1" t="n">
        <v>45450</v>
      </c>
      <c r="C13476" s="1" t="n">
        <v>45657</v>
      </c>
      <c r="D13476" t="inlineStr">
        <is>
          <t>VÄSTERNORRLANDS LÄN</t>
        </is>
      </c>
      <c r="E13476" t="inlineStr">
        <is>
          <t>SUNDSVALL</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23129-2024</t>
        </is>
      </c>
      <c r="B13477" s="1" t="n">
        <v>45450</v>
      </c>
      <c r="C13477" s="1" t="n">
        <v>45657</v>
      </c>
      <c r="D13477" t="inlineStr">
        <is>
          <t>VÄSTERNORRLANDS LÄN</t>
        </is>
      </c>
      <c r="E13477" t="inlineStr">
        <is>
          <t>KRAMFORS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23137-2024</t>
        </is>
      </c>
      <c r="B13478" s="1" t="n">
        <v>45450</v>
      </c>
      <c r="C13478" s="1" t="n">
        <v>45657</v>
      </c>
      <c r="D13478" t="inlineStr">
        <is>
          <t>VÄSTERNORRLANDS LÄN</t>
        </is>
      </c>
      <c r="E13478" t="inlineStr">
        <is>
          <t>ÖRNSKÖLDSVIK</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22998-2024</t>
        </is>
      </c>
      <c r="B13479" s="1" t="n">
        <v>45450</v>
      </c>
      <c r="C13479" s="1" t="n">
        <v>45657</v>
      </c>
      <c r="D13479" t="inlineStr">
        <is>
          <t>VÄSTERNORRLANDS LÄN</t>
        </is>
      </c>
      <c r="E13479" t="inlineStr">
        <is>
          <t>ÖRNSKÖLDSVIK</t>
        </is>
      </c>
      <c r="G13479" t="n">
        <v>17.7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23140-2024</t>
        </is>
      </c>
      <c r="B13480" s="1" t="n">
        <v>45450</v>
      </c>
      <c r="C13480" s="1" t="n">
        <v>45657</v>
      </c>
      <c r="D13480" t="inlineStr">
        <is>
          <t>VÄSTERNORRLANDS LÄN</t>
        </is>
      </c>
      <c r="E13480" t="inlineStr">
        <is>
          <t>ÖRNSKÖLDSVIK</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23035-2024</t>
        </is>
      </c>
      <c r="B13481" s="1" t="n">
        <v>45450</v>
      </c>
      <c r="C13481" s="1" t="n">
        <v>45657</v>
      </c>
      <c r="D13481" t="inlineStr">
        <is>
          <t>VÄSTERNORRLANDS LÄN</t>
        </is>
      </c>
      <c r="E13481" t="inlineStr">
        <is>
          <t>ÅNGE</t>
        </is>
      </c>
      <c r="G13481" t="n">
        <v>12.1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23045-2024</t>
        </is>
      </c>
      <c r="B13482" s="1" t="n">
        <v>45450</v>
      </c>
      <c r="C13482" s="1" t="n">
        <v>45657</v>
      </c>
      <c r="D13482" t="inlineStr">
        <is>
          <t>VÄSTERNORRLANDS LÄN</t>
        </is>
      </c>
      <c r="E13482" t="inlineStr">
        <is>
          <t>ÅNGE</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23049-2024</t>
        </is>
      </c>
      <c r="B13483" s="1" t="n">
        <v>45450</v>
      </c>
      <c r="C13483" s="1" t="n">
        <v>45657</v>
      </c>
      <c r="D13483" t="inlineStr">
        <is>
          <t>VÄSTERNORRLANDS LÄN</t>
        </is>
      </c>
      <c r="E13483" t="inlineStr">
        <is>
          <t>TIMRÅ</t>
        </is>
      </c>
      <c r="G13483" t="n">
        <v>8.4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23058-2024</t>
        </is>
      </c>
      <c r="B13484" s="1" t="n">
        <v>45450</v>
      </c>
      <c r="C13484" s="1" t="n">
        <v>45657</v>
      </c>
      <c r="D13484" t="inlineStr">
        <is>
          <t>VÄSTERNORRLANDS LÄN</t>
        </is>
      </c>
      <c r="E13484" t="inlineStr">
        <is>
          <t>ÅNGE</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23063-2024</t>
        </is>
      </c>
      <c r="B13485" s="1" t="n">
        <v>45450</v>
      </c>
      <c r="C13485" s="1" t="n">
        <v>45657</v>
      </c>
      <c r="D13485" t="inlineStr">
        <is>
          <t>VÄSTERNORRLANDS LÄN</t>
        </is>
      </c>
      <c r="E13485" t="inlineStr">
        <is>
          <t>ÅNGE</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23069-2024</t>
        </is>
      </c>
      <c r="B13486" s="1" t="n">
        <v>45450</v>
      </c>
      <c r="C13486" s="1" t="n">
        <v>45657</v>
      </c>
      <c r="D13486" t="inlineStr">
        <is>
          <t>VÄSTERNORRLANDS LÄN</t>
        </is>
      </c>
      <c r="E13486" t="inlineStr">
        <is>
          <t>ÅNGE</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23127-2024</t>
        </is>
      </c>
      <c r="B13487" s="1" t="n">
        <v>45450</v>
      </c>
      <c r="C13487" s="1" t="n">
        <v>45657</v>
      </c>
      <c r="D13487" t="inlineStr">
        <is>
          <t>VÄSTERNORRLANDS LÄN</t>
        </is>
      </c>
      <c r="E13487" t="inlineStr">
        <is>
          <t>KRAMFORS</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23094-2024</t>
        </is>
      </c>
      <c r="B13488" s="1" t="n">
        <v>45450</v>
      </c>
      <c r="C13488" s="1" t="n">
        <v>45657</v>
      </c>
      <c r="D13488" t="inlineStr">
        <is>
          <t>VÄSTERNORRLANDS LÄN</t>
        </is>
      </c>
      <c r="E13488" t="inlineStr">
        <is>
          <t>ÖRNSKÖLDSVIK</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23175-2024</t>
        </is>
      </c>
      <c r="B13489" s="1" t="n">
        <v>45451</v>
      </c>
      <c r="C13489" s="1" t="n">
        <v>45657</v>
      </c>
      <c r="D13489" t="inlineStr">
        <is>
          <t>VÄSTERNORRLANDS LÄN</t>
        </is>
      </c>
      <c r="E13489" t="inlineStr">
        <is>
          <t>SOLLEFTEÅ</t>
        </is>
      </c>
      <c r="F13489" t="inlineStr">
        <is>
          <t>SCA</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23225-2024</t>
        </is>
      </c>
      <c r="B13490" s="1" t="n">
        <v>45453</v>
      </c>
      <c r="C13490" s="1" t="n">
        <v>45657</v>
      </c>
      <c r="D13490" t="inlineStr">
        <is>
          <t>VÄSTERNORRLANDS LÄN</t>
        </is>
      </c>
      <c r="E13490" t="inlineStr">
        <is>
          <t>ÅNGE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23224-2024</t>
        </is>
      </c>
      <c r="B13491" s="1" t="n">
        <v>45452</v>
      </c>
      <c r="C13491" s="1" t="n">
        <v>45657</v>
      </c>
      <c r="D13491" t="inlineStr">
        <is>
          <t>VÄSTERNORRLANDS LÄN</t>
        </is>
      </c>
      <c r="E13491" t="inlineStr">
        <is>
          <t>ÅNGE</t>
        </is>
      </c>
      <c r="F13491" t="inlineStr">
        <is>
          <t>SCA</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23268-2024</t>
        </is>
      </c>
      <c r="B13492" s="1" t="n">
        <v>45453</v>
      </c>
      <c r="C13492" s="1" t="n">
        <v>45657</v>
      </c>
      <c r="D13492" t="inlineStr">
        <is>
          <t>VÄSTERNORRLANDS LÄN</t>
        </is>
      </c>
      <c r="E13492" t="inlineStr">
        <is>
          <t>ÖRNSKÖLDSVIK</t>
        </is>
      </c>
      <c r="G13492" t="n">
        <v>12.4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23340-2024</t>
        </is>
      </c>
      <c r="B13493" s="1" t="n">
        <v>45453</v>
      </c>
      <c r="C13493" s="1" t="n">
        <v>45657</v>
      </c>
      <c r="D13493" t="inlineStr">
        <is>
          <t>VÄSTERNORRLANDS LÄN</t>
        </is>
      </c>
      <c r="E13493" t="inlineStr">
        <is>
          <t>ÖRNSKÖLDSVIK</t>
        </is>
      </c>
      <c r="F13493" t="inlineStr">
        <is>
          <t>Holmen skog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23346-2024</t>
        </is>
      </c>
      <c r="B13494" s="1" t="n">
        <v>45453</v>
      </c>
      <c r="C13494" s="1" t="n">
        <v>45657</v>
      </c>
      <c r="D13494" t="inlineStr">
        <is>
          <t>VÄSTERNORRLANDS LÄN</t>
        </is>
      </c>
      <c r="E13494" t="inlineStr">
        <is>
          <t>ÖRNSKÖLDSVIK</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23558-2024</t>
        </is>
      </c>
      <c r="B13495" s="1" t="n">
        <v>45454</v>
      </c>
      <c r="C13495" s="1" t="n">
        <v>45657</v>
      </c>
      <c r="D13495" t="inlineStr">
        <is>
          <t>VÄSTERNORRLANDS LÄN</t>
        </is>
      </c>
      <c r="E13495" t="inlineStr">
        <is>
          <t>SUNDSVALL</t>
        </is>
      </c>
      <c r="F13495" t="inlineStr">
        <is>
          <t>SCA</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23556-2024</t>
        </is>
      </c>
      <c r="B13496" s="1" t="n">
        <v>45453</v>
      </c>
      <c r="C13496" s="1" t="n">
        <v>45657</v>
      </c>
      <c r="D13496" t="inlineStr">
        <is>
          <t>VÄSTERNORRLANDS LÄN</t>
        </is>
      </c>
      <c r="E13496" t="inlineStr">
        <is>
          <t>TIMRÅ</t>
        </is>
      </c>
      <c r="F13496" t="inlineStr">
        <is>
          <t>SCA</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23546-2024</t>
        </is>
      </c>
      <c r="B13497" s="1" t="n">
        <v>45454</v>
      </c>
      <c r="C13497" s="1" t="n">
        <v>45657</v>
      </c>
      <c r="D13497" t="inlineStr">
        <is>
          <t>VÄSTERNORRLANDS LÄN</t>
        </is>
      </c>
      <c r="E13497" t="inlineStr">
        <is>
          <t>SUNDSVALL</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23542-2024</t>
        </is>
      </c>
      <c r="B13498" s="1" t="n">
        <v>45454</v>
      </c>
      <c r="C13498" s="1" t="n">
        <v>45657</v>
      </c>
      <c r="D13498" t="inlineStr">
        <is>
          <t>VÄSTERNORRLANDS LÄN</t>
        </is>
      </c>
      <c r="E13498" t="inlineStr">
        <is>
          <t>SOLLEFTEÅ</t>
        </is>
      </c>
      <c r="F13498" t="inlineStr">
        <is>
          <t>SCA</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23530-2024</t>
        </is>
      </c>
      <c r="B13499" s="1" t="n">
        <v>45454</v>
      </c>
      <c r="C13499" s="1" t="n">
        <v>45657</v>
      </c>
      <c r="D13499" t="inlineStr">
        <is>
          <t>VÄSTERNORRLANDS LÄN</t>
        </is>
      </c>
      <c r="E13499" t="inlineStr">
        <is>
          <t>SOLLEFTEÅ</t>
        </is>
      </c>
      <c r="F13499" t="inlineStr">
        <is>
          <t>SCA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23353-2024</t>
        </is>
      </c>
      <c r="B13500" s="1" t="n">
        <v>45453</v>
      </c>
      <c r="C13500" s="1" t="n">
        <v>45657</v>
      </c>
      <c r="D13500" t="inlineStr">
        <is>
          <t>VÄSTERNORRLANDS LÄN</t>
        </is>
      </c>
      <c r="E13500" t="inlineStr">
        <is>
          <t>ÅNGE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23540-2024</t>
        </is>
      </c>
      <c r="B13501" s="1" t="n">
        <v>45454</v>
      </c>
      <c r="C13501" s="1" t="n">
        <v>45657</v>
      </c>
      <c r="D13501" t="inlineStr">
        <is>
          <t>VÄSTERNORRLANDS LÄN</t>
        </is>
      </c>
      <c r="E13501" t="inlineStr">
        <is>
          <t>SOLLEFTEÅ</t>
        </is>
      </c>
      <c r="F13501" t="inlineStr">
        <is>
          <t>SCA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23532-2024</t>
        </is>
      </c>
      <c r="B13502" s="1" t="n">
        <v>45454</v>
      </c>
      <c r="C13502" s="1" t="n">
        <v>45657</v>
      </c>
      <c r="D13502" t="inlineStr">
        <is>
          <t>VÄSTERNORRLANDS LÄN</t>
        </is>
      </c>
      <c r="E13502" t="inlineStr">
        <is>
          <t>SOLLEFTEÅ</t>
        </is>
      </c>
      <c r="F13502" t="inlineStr">
        <is>
          <t>SCA</t>
        </is>
      </c>
      <c r="G13502" t="n">
        <v>15.6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23516-2024</t>
        </is>
      </c>
      <c r="B13503" s="1" t="n">
        <v>45453</v>
      </c>
      <c r="C13503" s="1" t="n">
        <v>45657</v>
      </c>
      <c r="D13503" t="inlineStr">
        <is>
          <t>VÄSTERNORRLANDS LÄN</t>
        </is>
      </c>
      <c r="E13503" t="inlineStr">
        <is>
          <t>ÖRNSKÖLDSVIK</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23407-2024</t>
        </is>
      </c>
      <c r="B13504" s="1" t="n">
        <v>45453</v>
      </c>
      <c r="C13504" s="1" t="n">
        <v>45657</v>
      </c>
      <c r="D13504" t="inlineStr">
        <is>
          <t>VÄSTERNORRLANDS LÄN</t>
        </is>
      </c>
      <c r="E13504" t="inlineStr">
        <is>
          <t>ÖRNSKÖLDSVIK</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23419-2024</t>
        </is>
      </c>
      <c r="B13505" s="1" t="n">
        <v>45453</v>
      </c>
      <c r="C13505" s="1" t="n">
        <v>45657</v>
      </c>
      <c r="D13505" t="inlineStr">
        <is>
          <t>VÄSTERNORRLANDS LÄN</t>
        </is>
      </c>
      <c r="E13505" t="inlineStr">
        <is>
          <t>ÅNGE</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23515-2024</t>
        </is>
      </c>
      <c r="B13506" s="1" t="n">
        <v>45453</v>
      </c>
      <c r="C13506" s="1" t="n">
        <v>45657</v>
      </c>
      <c r="D13506" t="inlineStr">
        <is>
          <t>VÄSTERNORRLANDS LÄN</t>
        </is>
      </c>
      <c r="E13506" t="inlineStr">
        <is>
          <t>ÖRNSKÖLDSVIK</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23547-2024</t>
        </is>
      </c>
      <c r="B13507" s="1" t="n">
        <v>45454</v>
      </c>
      <c r="C13507" s="1" t="n">
        <v>45657</v>
      </c>
      <c r="D13507" t="inlineStr">
        <is>
          <t>VÄSTERNORRLANDS LÄN</t>
        </is>
      </c>
      <c r="E13507" t="inlineStr">
        <is>
          <t>SOLLEFTEÅ</t>
        </is>
      </c>
      <c r="F13507" t="inlineStr">
        <is>
          <t>SCA</t>
        </is>
      </c>
      <c r="G13507" t="n">
        <v>8.4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23551-2024</t>
        </is>
      </c>
      <c r="B13508" s="1" t="n">
        <v>45454</v>
      </c>
      <c r="C13508" s="1" t="n">
        <v>45657</v>
      </c>
      <c r="D13508" t="inlineStr">
        <is>
          <t>VÄSTERNORRLANDS LÄN</t>
        </is>
      </c>
      <c r="E13508" t="inlineStr">
        <is>
          <t>ÖRNSKÖLDSVIK</t>
        </is>
      </c>
      <c r="F13508" t="inlineStr">
        <is>
          <t>SCA</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23529-2024</t>
        </is>
      </c>
      <c r="B13509" s="1" t="n">
        <v>45454</v>
      </c>
      <c r="C13509" s="1" t="n">
        <v>45657</v>
      </c>
      <c r="D13509" t="inlineStr">
        <is>
          <t>VÄSTERNORRLANDS LÄN</t>
        </is>
      </c>
      <c r="E13509" t="inlineStr">
        <is>
          <t>SOLLEFTEÅ</t>
        </is>
      </c>
      <c r="F13509" t="inlineStr">
        <is>
          <t>SCA</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23537-2024</t>
        </is>
      </c>
      <c r="B13510" s="1" t="n">
        <v>45454</v>
      </c>
      <c r="C13510" s="1" t="n">
        <v>45657</v>
      </c>
      <c r="D13510" t="inlineStr">
        <is>
          <t>VÄSTERNORRLANDS LÄN</t>
        </is>
      </c>
      <c r="E13510" t="inlineStr">
        <is>
          <t>SUNDSVALL</t>
        </is>
      </c>
      <c r="F13510" t="inlineStr">
        <is>
          <t>Naturvårdsverket</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23541-2024</t>
        </is>
      </c>
      <c r="B13511" s="1" t="n">
        <v>45454</v>
      </c>
      <c r="C13511" s="1" t="n">
        <v>45657</v>
      </c>
      <c r="D13511" t="inlineStr">
        <is>
          <t>VÄSTERNORRLANDS LÄN</t>
        </is>
      </c>
      <c r="E13511" t="inlineStr">
        <is>
          <t>SOLLEFTEÅ</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23359-2024</t>
        </is>
      </c>
      <c r="B13512" s="1" t="n">
        <v>45453</v>
      </c>
      <c r="C13512" s="1" t="n">
        <v>45657</v>
      </c>
      <c r="D13512" t="inlineStr">
        <is>
          <t>VÄSTERNORRLANDS LÄN</t>
        </is>
      </c>
      <c r="E13512" t="inlineStr">
        <is>
          <t>ÖRNSKÖLDSVIK</t>
        </is>
      </c>
      <c r="F13512" t="inlineStr">
        <is>
          <t>Holmen skog AB</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23557-2024</t>
        </is>
      </c>
      <c r="B13513" s="1" t="n">
        <v>45454</v>
      </c>
      <c r="C13513" s="1" t="n">
        <v>45657</v>
      </c>
      <c r="D13513" t="inlineStr">
        <is>
          <t>VÄSTERNORRLANDS LÄN</t>
        </is>
      </c>
      <c r="E13513" t="inlineStr">
        <is>
          <t>SUNDSVALL</t>
        </is>
      </c>
      <c r="F13513" t="inlineStr">
        <is>
          <t>SCA</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23590-2024</t>
        </is>
      </c>
      <c r="B13514" s="1" t="n">
        <v>45454</v>
      </c>
      <c r="C13514" s="1" t="n">
        <v>45657</v>
      </c>
      <c r="D13514" t="inlineStr">
        <is>
          <t>VÄSTERNORRLANDS LÄN</t>
        </is>
      </c>
      <c r="E13514" t="inlineStr">
        <is>
          <t>ÖRNSKÖLDSVIK</t>
        </is>
      </c>
      <c r="F13514" t="inlineStr">
        <is>
          <t>Holmen skog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23573-2024</t>
        </is>
      </c>
      <c r="B13515" s="1" t="n">
        <v>45454</v>
      </c>
      <c r="C13515" s="1" t="n">
        <v>45657</v>
      </c>
      <c r="D13515" t="inlineStr">
        <is>
          <t>VÄSTERNORRLANDS LÄN</t>
        </is>
      </c>
      <c r="E13515" t="inlineStr">
        <is>
          <t>KRAMFORS</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23605-2024</t>
        </is>
      </c>
      <c r="B13516" s="1" t="n">
        <v>45454</v>
      </c>
      <c r="C13516" s="1" t="n">
        <v>45657</v>
      </c>
      <c r="D13516" t="inlineStr">
        <is>
          <t>VÄSTERNORRLANDS LÄN</t>
        </is>
      </c>
      <c r="E13516" t="inlineStr">
        <is>
          <t>ÖRNSKÖLDSVIK</t>
        </is>
      </c>
      <c r="G13516" t="n">
        <v>15.7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23618-2024</t>
        </is>
      </c>
      <c r="B13517" s="1" t="n">
        <v>45454</v>
      </c>
      <c r="C13517" s="1" t="n">
        <v>45657</v>
      </c>
      <c r="D13517" t="inlineStr">
        <is>
          <t>VÄSTERNORRLANDS LÄN</t>
        </is>
      </c>
      <c r="E13517" t="inlineStr">
        <is>
          <t>SUNDSVALL</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23668-2024</t>
        </is>
      </c>
      <c r="B13518" s="1" t="n">
        <v>45454</v>
      </c>
      <c r="C13518" s="1" t="n">
        <v>45657</v>
      </c>
      <c r="D13518" t="inlineStr">
        <is>
          <t>VÄSTERNORRLANDS LÄN</t>
        </is>
      </c>
      <c r="E13518" t="inlineStr">
        <is>
          <t>KRAMFORS</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23687-2024</t>
        </is>
      </c>
      <c r="B13519" s="1" t="n">
        <v>45454</v>
      </c>
      <c r="C13519" s="1" t="n">
        <v>45657</v>
      </c>
      <c r="D13519" t="inlineStr">
        <is>
          <t>VÄSTERNORRLANDS LÄN</t>
        </is>
      </c>
      <c r="E13519" t="inlineStr">
        <is>
          <t>ÖRNSKÖLDSVIK</t>
        </is>
      </c>
      <c r="F13519" t="inlineStr">
        <is>
          <t>Holmen skog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23731-2024</t>
        </is>
      </c>
      <c r="B13520" s="1" t="n">
        <v>45455</v>
      </c>
      <c r="C13520" s="1" t="n">
        <v>45657</v>
      </c>
      <c r="D13520" t="inlineStr">
        <is>
          <t>VÄSTERNORRLANDS LÄN</t>
        </is>
      </c>
      <c r="E13520" t="inlineStr">
        <is>
          <t>SOLLEFTEÅ</t>
        </is>
      </c>
      <c r="F13520" t="inlineStr">
        <is>
          <t>SCA</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23730-2024</t>
        </is>
      </c>
      <c r="B13521" s="1" t="n">
        <v>45455</v>
      </c>
      <c r="C13521" s="1" t="n">
        <v>45657</v>
      </c>
      <c r="D13521" t="inlineStr">
        <is>
          <t>VÄSTERNORRLANDS LÄN</t>
        </is>
      </c>
      <c r="E13521" t="inlineStr">
        <is>
          <t>SOLLEFTEÅ</t>
        </is>
      </c>
      <c r="F13521" t="inlineStr">
        <is>
          <t>SCA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23725-2024</t>
        </is>
      </c>
      <c r="B13522" s="1" t="n">
        <v>45455</v>
      </c>
      <c r="C13522" s="1" t="n">
        <v>45657</v>
      </c>
      <c r="D13522" t="inlineStr">
        <is>
          <t>VÄSTERNORRLANDS LÄN</t>
        </is>
      </c>
      <c r="E13522" t="inlineStr">
        <is>
          <t>TIMRÅ</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23717-2024</t>
        </is>
      </c>
      <c r="B13523" s="1" t="n">
        <v>45454</v>
      </c>
      <c r="C13523" s="1" t="n">
        <v>45657</v>
      </c>
      <c r="D13523" t="inlineStr">
        <is>
          <t>VÄSTERNORRLANDS LÄN</t>
        </is>
      </c>
      <c r="E13523" t="inlineStr">
        <is>
          <t>KRAMFORS</t>
        </is>
      </c>
      <c r="G13523" t="n">
        <v>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23685-2024</t>
        </is>
      </c>
      <c r="B13524" s="1" t="n">
        <v>45454</v>
      </c>
      <c r="C13524" s="1" t="n">
        <v>45657</v>
      </c>
      <c r="D13524" t="inlineStr">
        <is>
          <t>VÄSTERNORRLANDS LÄN</t>
        </is>
      </c>
      <c r="E13524" t="inlineStr">
        <is>
          <t>ÖRNSKÖLDSVIK</t>
        </is>
      </c>
      <c r="F13524" t="inlineStr">
        <is>
          <t>Holmen skog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23812-2024</t>
        </is>
      </c>
      <c r="B13525" s="1" t="n">
        <v>45455</v>
      </c>
      <c r="C13525" s="1" t="n">
        <v>45657</v>
      </c>
      <c r="D13525" t="inlineStr">
        <is>
          <t>VÄSTERNORRLANDS LÄN</t>
        </is>
      </c>
      <c r="E13525" t="inlineStr">
        <is>
          <t>ÖRNSKÖLDSVIK</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23761-2024</t>
        </is>
      </c>
      <c r="B13526" s="1" t="n">
        <v>45455</v>
      </c>
      <c r="C13526" s="1" t="n">
        <v>45657</v>
      </c>
      <c r="D13526" t="inlineStr">
        <is>
          <t>VÄSTERNORRLANDS LÄN</t>
        </is>
      </c>
      <c r="E13526" t="inlineStr">
        <is>
          <t>HÄRNÖSAND</t>
        </is>
      </c>
      <c r="F13526" t="inlineStr">
        <is>
          <t>Kommuner</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23802-2024</t>
        </is>
      </c>
      <c r="B13527" s="1" t="n">
        <v>45455</v>
      </c>
      <c r="C13527" s="1" t="n">
        <v>45657</v>
      </c>
      <c r="D13527" t="inlineStr">
        <is>
          <t>VÄSTERNORRLANDS LÄN</t>
        </is>
      </c>
      <c r="E13527" t="inlineStr">
        <is>
          <t>SUNDSVALL</t>
        </is>
      </c>
      <c r="F13527" t="inlineStr">
        <is>
          <t>Holmen skog AB</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23878-2024</t>
        </is>
      </c>
      <c r="B13528" s="1" t="n">
        <v>45455</v>
      </c>
      <c r="C13528" s="1" t="n">
        <v>45657</v>
      </c>
      <c r="D13528" t="inlineStr">
        <is>
          <t>VÄSTERNORRLANDS LÄN</t>
        </is>
      </c>
      <c r="E13528" t="inlineStr">
        <is>
          <t>TIMRÅ</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23953-2024</t>
        </is>
      </c>
      <c r="B13529" s="1" t="n">
        <v>45456</v>
      </c>
      <c r="C13529" s="1" t="n">
        <v>45657</v>
      </c>
      <c r="D13529" t="inlineStr">
        <is>
          <t>VÄSTERNORRLANDS LÄN</t>
        </is>
      </c>
      <c r="E13529" t="inlineStr">
        <is>
          <t>SUNDSVALL</t>
        </is>
      </c>
      <c r="F13529" t="inlineStr">
        <is>
          <t>SCA</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23945-2024</t>
        </is>
      </c>
      <c r="B13530" s="1" t="n">
        <v>45456</v>
      </c>
      <c r="C13530" s="1" t="n">
        <v>45657</v>
      </c>
      <c r="D13530" t="inlineStr">
        <is>
          <t>VÄSTERNORRLANDS LÄN</t>
        </is>
      </c>
      <c r="E13530" t="inlineStr">
        <is>
          <t>SUNDSVALL</t>
        </is>
      </c>
      <c r="F13530" t="inlineStr">
        <is>
          <t>SCA</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23933-2024</t>
        </is>
      </c>
      <c r="B13531" s="1" t="n">
        <v>45455</v>
      </c>
      <c r="C13531" s="1" t="n">
        <v>45657</v>
      </c>
      <c r="D13531" t="inlineStr">
        <is>
          <t>VÄSTERNORRLANDS LÄN</t>
        </is>
      </c>
      <c r="E13531" t="inlineStr">
        <is>
          <t>ÅNGE</t>
        </is>
      </c>
      <c r="F13531" t="inlineStr">
        <is>
          <t>SCA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23869-2024</t>
        </is>
      </c>
      <c r="B13532" s="1" t="n">
        <v>45455</v>
      </c>
      <c r="C13532" s="1" t="n">
        <v>45657</v>
      </c>
      <c r="D13532" t="inlineStr">
        <is>
          <t>VÄSTERNORRLANDS LÄN</t>
        </is>
      </c>
      <c r="E13532" t="inlineStr">
        <is>
          <t>ÖRNSKÖLDSVIK</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23832-2024</t>
        </is>
      </c>
      <c r="B13533" s="1" t="n">
        <v>45455</v>
      </c>
      <c r="C13533" s="1" t="n">
        <v>45657</v>
      </c>
      <c r="D13533" t="inlineStr">
        <is>
          <t>VÄSTERNORRLANDS LÄN</t>
        </is>
      </c>
      <c r="E13533" t="inlineStr">
        <is>
          <t>SUNDSVALL</t>
        </is>
      </c>
      <c r="F13533" t="inlineStr">
        <is>
          <t>Holmen skog AB</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23936-2024</t>
        </is>
      </c>
      <c r="B13534" s="1" t="n">
        <v>45456</v>
      </c>
      <c r="C13534" s="1" t="n">
        <v>45657</v>
      </c>
      <c r="D13534" t="inlineStr">
        <is>
          <t>VÄSTERNORRLANDS LÄN</t>
        </is>
      </c>
      <c r="E13534" t="inlineStr">
        <is>
          <t>SOLLEFTEÅ</t>
        </is>
      </c>
      <c r="F13534" t="inlineStr">
        <is>
          <t>SCA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23969-2024</t>
        </is>
      </c>
      <c r="B13535" s="1" t="n">
        <v>45456</v>
      </c>
      <c r="C13535" s="1" t="n">
        <v>45657</v>
      </c>
      <c r="D13535" t="inlineStr">
        <is>
          <t>VÄSTERNORRLANDS LÄN</t>
        </is>
      </c>
      <c r="E13535" t="inlineStr">
        <is>
          <t>SOLLEFTEÅ</t>
        </is>
      </c>
      <c r="F13535" t="inlineStr">
        <is>
          <t>SCA</t>
        </is>
      </c>
      <c r="G13535" t="n">
        <v>16.7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23961-2024</t>
        </is>
      </c>
      <c r="B13536" s="1" t="n">
        <v>45456</v>
      </c>
      <c r="C13536" s="1" t="n">
        <v>45657</v>
      </c>
      <c r="D13536" t="inlineStr">
        <is>
          <t>VÄSTERNORRLANDS LÄN</t>
        </is>
      </c>
      <c r="E13536" t="inlineStr">
        <is>
          <t>ÅNGE</t>
        </is>
      </c>
      <c r="F13536" t="inlineStr">
        <is>
          <t>SCA</t>
        </is>
      </c>
      <c r="G13536" t="n">
        <v>8.5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23935-2024</t>
        </is>
      </c>
      <c r="B13537" s="1" t="n">
        <v>45456</v>
      </c>
      <c r="C13537" s="1" t="n">
        <v>45657</v>
      </c>
      <c r="D13537" t="inlineStr">
        <is>
          <t>VÄSTERNORRLANDS LÄN</t>
        </is>
      </c>
      <c r="E13537" t="inlineStr">
        <is>
          <t>SOLLEFTEÅ</t>
        </is>
      </c>
      <c r="F13537" t="inlineStr">
        <is>
          <t>SCA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23851-2024</t>
        </is>
      </c>
      <c r="B13538" s="1" t="n">
        <v>45455</v>
      </c>
      <c r="C13538" s="1" t="n">
        <v>45657</v>
      </c>
      <c r="D13538" t="inlineStr">
        <is>
          <t>VÄSTERNORRLANDS LÄN</t>
        </is>
      </c>
      <c r="E13538" t="inlineStr">
        <is>
          <t>TIMRÅ</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23960-2024</t>
        </is>
      </c>
      <c r="B13539" s="1" t="n">
        <v>45456</v>
      </c>
      <c r="C13539" s="1" t="n">
        <v>45657</v>
      </c>
      <c r="D13539" t="inlineStr">
        <is>
          <t>VÄSTERNORRLANDS LÄN</t>
        </is>
      </c>
      <c r="E13539" t="inlineStr">
        <is>
          <t>ÖRNSKÖLDSVIK</t>
        </is>
      </c>
      <c r="F13539" t="inlineStr">
        <is>
          <t>SCA</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23968-2024</t>
        </is>
      </c>
      <c r="B13540" s="1" t="n">
        <v>45456</v>
      </c>
      <c r="C13540" s="1" t="n">
        <v>45657</v>
      </c>
      <c r="D13540" t="inlineStr">
        <is>
          <t>VÄSTERNORRLANDS LÄN</t>
        </is>
      </c>
      <c r="E13540" t="inlineStr">
        <is>
          <t>SOLLEFTEÅ</t>
        </is>
      </c>
      <c r="F13540" t="inlineStr">
        <is>
          <t>SCA</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24028-2024</t>
        </is>
      </c>
      <c r="B13541" s="1" t="n">
        <v>45456</v>
      </c>
      <c r="C13541" s="1" t="n">
        <v>45657</v>
      </c>
      <c r="D13541" t="inlineStr">
        <is>
          <t>VÄSTERNORRLANDS LÄN</t>
        </is>
      </c>
      <c r="E13541" t="inlineStr">
        <is>
          <t>SUNDSVALL</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23974-2024</t>
        </is>
      </c>
      <c r="B13542" s="1" t="n">
        <v>45456</v>
      </c>
      <c r="C13542" s="1" t="n">
        <v>45657</v>
      </c>
      <c r="D13542" t="inlineStr">
        <is>
          <t>VÄSTERNORRLANDS LÄN</t>
        </is>
      </c>
      <c r="E13542" t="inlineStr">
        <is>
          <t>KRAMFORS</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24144-2024</t>
        </is>
      </c>
      <c r="B13543" s="1" t="n">
        <v>45456</v>
      </c>
      <c r="C13543" s="1" t="n">
        <v>45657</v>
      </c>
      <c r="D13543" t="inlineStr">
        <is>
          <t>VÄSTERNORRLANDS LÄN</t>
        </is>
      </c>
      <c r="E13543" t="inlineStr">
        <is>
          <t>ÖRNSKÖLDSVIK</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24041-2024</t>
        </is>
      </c>
      <c r="B13544" s="1" t="n">
        <v>45456</v>
      </c>
      <c r="C13544" s="1" t="n">
        <v>45657</v>
      </c>
      <c r="D13544" t="inlineStr">
        <is>
          <t>VÄSTERNORRLANDS LÄN</t>
        </is>
      </c>
      <c r="E13544" t="inlineStr">
        <is>
          <t>ÖRNSKÖLDSVIK</t>
        </is>
      </c>
      <c r="F13544" t="inlineStr">
        <is>
          <t>Holmen skog AB</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24070-2024</t>
        </is>
      </c>
      <c r="B13545" s="1" t="n">
        <v>45456</v>
      </c>
      <c r="C13545" s="1" t="n">
        <v>45657</v>
      </c>
      <c r="D13545" t="inlineStr">
        <is>
          <t>VÄSTERNORRLANDS LÄN</t>
        </is>
      </c>
      <c r="E13545" t="inlineStr">
        <is>
          <t>ÖRNSKÖLDSVIK</t>
        </is>
      </c>
      <c r="F13545" t="inlineStr">
        <is>
          <t>Holmen skog AB</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24145-2024</t>
        </is>
      </c>
      <c r="B13546" s="1" t="n">
        <v>45456</v>
      </c>
      <c r="C13546" s="1" t="n">
        <v>45657</v>
      </c>
      <c r="D13546" t="inlineStr">
        <is>
          <t>VÄSTERNORRLANDS LÄN</t>
        </is>
      </c>
      <c r="E13546" t="inlineStr">
        <is>
          <t>ÖRNSKÖLDSVIK</t>
        </is>
      </c>
      <c r="F13546" t="inlineStr">
        <is>
          <t>Holmen skog AB</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24191-2024</t>
        </is>
      </c>
      <c r="B13547" s="1" t="n">
        <v>45457</v>
      </c>
      <c r="C13547" s="1" t="n">
        <v>45657</v>
      </c>
      <c r="D13547" t="inlineStr">
        <is>
          <t>VÄSTERNORRLANDS LÄN</t>
        </is>
      </c>
      <c r="E13547" t="inlineStr">
        <is>
          <t>SUNDSVALL</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24199-2024</t>
        </is>
      </c>
      <c r="B13548" s="1" t="n">
        <v>45457</v>
      </c>
      <c r="C13548" s="1" t="n">
        <v>45657</v>
      </c>
      <c r="D13548" t="inlineStr">
        <is>
          <t>VÄSTERNORRLANDS LÄN</t>
        </is>
      </c>
      <c r="E13548" t="inlineStr">
        <is>
          <t>SOLLEFTEÅ</t>
        </is>
      </c>
      <c r="F13548" t="inlineStr">
        <is>
          <t>SCA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24203-2024</t>
        </is>
      </c>
      <c r="B13549" s="1" t="n">
        <v>45457</v>
      </c>
      <c r="C13549" s="1" t="n">
        <v>45657</v>
      </c>
      <c r="D13549" t="inlineStr">
        <is>
          <t>VÄSTERNORRLANDS LÄN</t>
        </is>
      </c>
      <c r="E13549" t="inlineStr">
        <is>
          <t>HÄRNÖSAND</t>
        </is>
      </c>
      <c r="F13549" t="inlineStr">
        <is>
          <t>SCA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24211-2024</t>
        </is>
      </c>
      <c r="B13550" s="1" t="n">
        <v>45457</v>
      </c>
      <c r="C13550" s="1" t="n">
        <v>45657</v>
      </c>
      <c r="D13550" t="inlineStr">
        <is>
          <t>VÄSTERNORRLANDS LÄN</t>
        </is>
      </c>
      <c r="E13550" t="inlineStr">
        <is>
          <t>SOLLEFTEÅ</t>
        </is>
      </c>
      <c r="F13550" t="inlineStr">
        <is>
          <t>SCA</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24165-2024</t>
        </is>
      </c>
      <c r="B13551" s="1" t="n">
        <v>45456</v>
      </c>
      <c r="C13551" s="1" t="n">
        <v>45657</v>
      </c>
      <c r="D13551" t="inlineStr">
        <is>
          <t>VÄSTERNORRLANDS LÄN</t>
        </is>
      </c>
      <c r="E13551" t="inlineStr">
        <is>
          <t>ÖRNSKÖLDSVIK</t>
        </is>
      </c>
      <c r="F13551" t="inlineStr">
        <is>
          <t>Holmen skog AB</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24189-2024</t>
        </is>
      </c>
      <c r="B13552" s="1" t="n">
        <v>45456</v>
      </c>
      <c r="C13552" s="1" t="n">
        <v>45657</v>
      </c>
      <c r="D13552" t="inlineStr">
        <is>
          <t>VÄSTERNORRLANDS LÄN</t>
        </is>
      </c>
      <c r="E13552" t="inlineStr">
        <is>
          <t>SUNDSVALL</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24209-2024</t>
        </is>
      </c>
      <c r="B13553" s="1" t="n">
        <v>45457</v>
      </c>
      <c r="C13553" s="1" t="n">
        <v>45657</v>
      </c>
      <c r="D13553" t="inlineStr">
        <is>
          <t>VÄSTERNORRLANDS LÄN</t>
        </is>
      </c>
      <c r="E13553" t="inlineStr">
        <is>
          <t>SOLLEFTEÅ</t>
        </is>
      </c>
      <c r="F13553" t="inlineStr">
        <is>
          <t>SCA</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24194-2024</t>
        </is>
      </c>
      <c r="B13554" s="1" t="n">
        <v>45457</v>
      </c>
      <c r="C13554" s="1" t="n">
        <v>45657</v>
      </c>
      <c r="D13554" t="inlineStr">
        <is>
          <t>VÄSTERNORRLANDS LÄN</t>
        </is>
      </c>
      <c r="E13554" t="inlineStr">
        <is>
          <t>SUNDSVALL</t>
        </is>
      </c>
      <c r="G13554" t="n">
        <v>10.8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24202-2024</t>
        </is>
      </c>
      <c r="B13555" s="1" t="n">
        <v>45457</v>
      </c>
      <c r="C13555" s="1" t="n">
        <v>45657</v>
      </c>
      <c r="D13555" t="inlineStr">
        <is>
          <t>VÄSTERNORRLANDS LÄN</t>
        </is>
      </c>
      <c r="E13555" t="inlineStr">
        <is>
          <t>HÄRNÖSAND</t>
        </is>
      </c>
      <c r="F13555" t="inlineStr">
        <is>
          <t>SCA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24210-2024</t>
        </is>
      </c>
      <c r="B13556" s="1" t="n">
        <v>45457</v>
      </c>
      <c r="C13556" s="1" t="n">
        <v>45657</v>
      </c>
      <c r="D13556" t="inlineStr">
        <is>
          <t>VÄSTERNORRLANDS LÄN</t>
        </is>
      </c>
      <c r="E13556" t="inlineStr">
        <is>
          <t>SOLLEFTEÅ</t>
        </is>
      </c>
      <c r="F13556" t="inlineStr">
        <is>
          <t>SCA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24131-2024</t>
        </is>
      </c>
      <c r="B13557" s="1" t="n">
        <v>45456</v>
      </c>
      <c r="C13557" s="1" t="n">
        <v>45657</v>
      </c>
      <c r="D13557" t="inlineStr">
        <is>
          <t>VÄSTERNORRLANDS LÄN</t>
        </is>
      </c>
      <c r="E13557" t="inlineStr">
        <is>
          <t>ÅNGE</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24208-2024</t>
        </is>
      </c>
      <c r="B13558" s="1" t="n">
        <v>45457</v>
      </c>
      <c r="C13558" s="1" t="n">
        <v>45657</v>
      </c>
      <c r="D13558" t="inlineStr">
        <is>
          <t>VÄSTERNORRLANDS LÄN</t>
        </is>
      </c>
      <c r="E13558" t="inlineStr">
        <is>
          <t>SOLLEFTEÅ</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24231-2024</t>
        </is>
      </c>
      <c r="B13559" s="1" t="n">
        <v>45457</v>
      </c>
      <c r="C13559" s="1" t="n">
        <v>45657</v>
      </c>
      <c r="D13559" t="inlineStr">
        <is>
          <t>VÄSTERNORRLANDS LÄN</t>
        </is>
      </c>
      <c r="E13559" t="inlineStr">
        <is>
          <t>ÅNGE</t>
        </is>
      </c>
      <c r="F13559" t="inlineStr">
        <is>
          <t>Sveaskog</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24436-2024</t>
        </is>
      </c>
      <c r="B13560" s="1" t="n">
        <v>45458</v>
      </c>
      <c r="C13560" s="1" t="n">
        <v>45657</v>
      </c>
      <c r="D13560" t="inlineStr">
        <is>
          <t>VÄSTERNORRLANDS LÄN</t>
        </is>
      </c>
      <c r="E13560" t="inlineStr">
        <is>
          <t>ÅNGE</t>
        </is>
      </c>
      <c r="F13560" t="inlineStr">
        <is>
          <t>SCA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24446-2024</t>
        </is>
      </c>
      <c r="B13561" s="1" t="n">
        <v>45458</v>
      </c>
      <c r="C13561" s="1" t="n">
        <v>45657</v>
      </c>
      <c r="D13561" t="inlineStr">
        <is>
          <t>VÄSTERNORRLANDS LÄN</t>
        </is>
      </c>
      <c r="E13561" t="inlineStr">
        <is>
          <t>SUNDSVALL</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24450-2024</t>
        </is>
      </c>
      <c r="B13562" s="1" t="n">
        <v>45458</v>
      </c>
      <c r="C13562" s="1" t="n">
        <v>45657</v>
      </c>
      <c r="D13562" t="inlineStr">
        <is>
          <t>VÄSTERNORRLANDS LÄN</t>
        </is>
      </c>
      <c r="E13562" t="inlineStr">
        <is>
          <t>KRAMFORS</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24462-2024</t>
        </is>
      </c>
      <c r="B13563" s="1" t="n">
        <v>45458</v>
      </c>
      <c r="C13563" s="1" t="n">
        <v>45657</v>
      </c>
      <c r="D13563" t="inlineStr">
        <is>
          <t>VÄSTERNORRLANDS LÄN</t>
        </is>
      </c>
      <c r="E13563" t="inlineStr">
        <is>
          <t>SUNDSVALL</t>
        </is>
      </c>
      <c r="F13563" t="inlineStr">
        <is>
          <t>SCA</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24229-2024</t>
        </is>
      </c>
      <c r="B13564" s="1" t="n">
        <v>45457</v>
      </c>
      <c r="C13564" s="1" t="n">
        <v>45657</v>
      </c>
      <c r="D13564" t="inlineStr">
        <is>
          <t>VÄSTERNORRLANDS LÄN</t>
        </is>
      </c>
      <c r="E13564" t="inlineStr">
        <is>
          <t>ÅNGE</t>
        </is>
      </c>
      <c r="F13564" t="inlineStr">
        <is>
          <t>Sveaskog</t>
        </is>
      </c>
      <c r="G13564" t="n">
        <v>4.7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24233-2024</t>
        </is>
      </c>
      <c r="B13565" s="1" t="n">
        <v>45457</v>
      </c>
      <c r="C13565" s="1" t="n">
        <v>45657</v>
      </c>
      <c r="D13565" t="inlineStr">
        <is>
          <t>VÄSTERNORRLANDS LÄN</t>
        </is>
      </c>
      <c r="E13565" t="inlineStr">
        <is>
          <t>ÖRNSKÖLDSVIK</t>
        </is>
      </c>
      <c r="G13565" t="n">
        <v>20.5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24237-2024</t>
        </is>
      </c>
      <c r="B13566" s="1" t="n">
        <v>45457</v>
      </c>
      <c r="C13566" s="1" t="n">
        <v>45657</v>
      </c>
      <c r="D13566" t="inlineStr">
        <is>
          <t>VÄSTERNORRLANDS LÄN</t>
        </is>
      </c>
      <c r="E13566" t="inlineStr">
        <is>
          <t>ÖRNSKÖLDSVIK</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24277-2024</t>
        </is>
      </c>
      <c r="B13567" s="1" t="n">
        <v>45457</v>
      </c>
      <c r="C13567" s="1" t="n">
        <v>45657</v>
      </c>
      <c r="D13567" t="inlineStr">
        <is>
          <t>VÄSTERNORRLANDS LÄN</t>
        </is>
      </c>
      <c r="E13567" t="inlineStr">
        <is>
          <t>ÖRNSKÖLDSVIK</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24405-2024</t>
        </is>
      </c>
      <c r="B13568" s="1" t="n">
        <v>45457</v>
      </c>
      <c r="C13568" s="1" t="n">
        <v>45657</v>
      </c>
      <c r="D13568" t="inlineStr">
        <is>
          <t>VÄSTERNORRLANDS LÄN</t>
        </is>
      </c>
      <c r="E13568" t="inlineStr">
        <is>
          <t>ÖRNSKÖLDSVIK</t>
        </is>
      </c>
      <c r="F13568" t="inlineStr">
        <is>
          <t>Holmen skog AB</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24417-2024</t>
        </is>
      </c>
      <c r="B13569" s="1" t="n">
        <v>45457</v>
      </c>
      <c r="C13569" s="1" t="n">
        <v>45657</v>
      </c>
      <c r="D13569" t="inlineStr">
        <is>
          <t>VÄSTERNORRLANDS LÄN</t>
        </is>
      </c>
      <c r="E13569" t="inlineStr">
        <is>
          <t>ÖRNSKÖLDSVIK</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24449-2024</t>
        </is>
      </c>
      <c r="B13570" s="1" t="n">
        <v>45458</v>
      </c>
      <c r="C13570" s="1" t="n">
        <v>45657</v>
      </c>
      <c r="D13570" t="inlineStr">
        <is>
          <t>VÄSTERNORRLANDS LÄN</t>
        </is>
      </c>
      <c r="E13570" t="inlineStr">
        <is>
          <t>ÖRNSKÖLDSVIK</t>
        </is>
      </c>
      <c r="F13570" t="inlineStr">
        <is>
          <t>SCA</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24461-2024</t>
        </is>
      </c>
      <c r="B13571" s="1" t="n">
        <v>45458</v>
      </c>
      <c r="C13571" s="1" t="n">
        <v>45657</v>
      </c>
      <c r="D13571" t="inlineStr">
        <is>
          <t>VÄSTERNORRLANDS LÄN</t>
        </is>
      </c>
      <c r="E13571" t="inlineStr">
        <is>
          <t>SOLLEFTEÅ</t>
        </is>
      </c>
      <c r="F13571" t="inlineStr">
        <is>
          <t>SCA</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24232-2024</t>
        </is>
      </c>
      <c r="B13572" s="1" t="n">
        <v>45457</v>
      </c>
      <c r="C13572" s="1" t="n">
        <v>45657</v>
      </c>
      <c r="D13572" t="inlineStr">
        <is>
          <t>VÄSTERNORRLANDS LÄN</t>
        </is>
      </c>
      <c r="E13572" t="inlineStr">
        <is>
          <t>ÅNGE</t>
        </is>
      </c>
      <c r="F13572" t="inlineStr">
        <is>
          <t>Sveaskog</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24324-2024</t>
        </is>
      </c>
      <c r="B13573" s="1" t="n">
        <v>45457</v>
      </c>
      <c r="C13573" s="1" t="n">
        <v>45657</v>
      </c>
      <c r="D13573" t="inlineStr">
        <is>
          <t>VÄSTERNORRLANDS LÄN</t>
        </is>
      </c>
      <c r="E13573" t="inlineStr">
        <is>
          <t>ÖRNSKÖLDSVIK</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24336-2024</t>
        </is>
      </c>
      <c r="B13574" s="1" t="n">
        <v>45457</v>
      </c>
      <c r="C13574" s="1" t="n">
        <v>45657</v>
      </c>
      <c r="D13574" t="inlineStr">
        <is>
          <t>VÄSTERNORRLANDS LÄN</t>
        </is>
      </c>
      <c r="E13574" t="inlineStr">
        <is>
          <t>ÖRNSKÖLDSVIK</t>
        </is>
      </c>
      <c r="F13574" t="inlineStr">
        <is>
          <t>Holmen skog AB</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24416-2024</t>
        </is>
      </c>
      <c r="B13575" s="1" t="n">
        <v>45457</v>
      </c>
      <c r="C13575" s="1" t="n">
        <v>45657</v>
      </c>
      <c r="D13575" t="inlineStr">
        <is>
          <t>VÄSTERNORRLANDS LÄN</t>
        </is>
      </c>
      <c r="E13575" t="inlineStr">
        <is>
          <t>ÖRNSKÖLDSVIK</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24448-2024</t>
        </is>
      </c>
      <c r="B13576" s="1" t="n">
        <v>45458</v>
      </c>
      <c r="C13576" s="1" t="n">
        <v>45657</v>
      </c>
      <c r="D13576" t="inlineStr">
        <is>
          <t>VÄSTERNORRLANDS LÄN</t>
        </is>
      </c>
      <c r="E13576" t="inlineStr">
        <is>
          <t>ÖRNSKÖLDSVIK</t>
        </is>
      </c>
      <c r="F13576" t="inlineStr">
        <is>
          <t>SCA</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24460-2024</t>
        </is>
      </c>
      <c r="B13577" s="1" t="n">
        <v>45458</v>
      </c>
      <c r="C13577" s="1" t="n">
        <v>45657</v>
      </c>
      <c r="D13577" t="inlineStr">
        <is>
          <t>VÄSTERNORRLANDS LÄN</t>
        </is>
      </c>
      <c r="E13577" t="inlineStr">
        <is>
          <t>SUNDSVALL</t>
        </is>
      </c>
      <c r="F13577" t="inlineStr">
        <is>
          <t>SCA</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24239-2024</t>
        </is>
      </c>
      <c r="B13578" s="1" t="n">
        <v>45457</v>
      </c>
      <c r="C13578" s="1" t="n">
        <v>45657</v>
      </c>
      <c r="D13578" t="inlineStr">
        <is>
          <t>VÄSTERNORRLANDS LÄN</t>
        </is>
      </c>
      <c r="E13578" t="inlineStr">
        <is>
          <t>SOLLEFTEÅ</t>
        </is>
      </c>
      <c r="G13578" t="n">
        <v>10</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24299-2024</t>
        </is>
      </c>
      <c r="B13579" s="1" t="n">
        <v>45457</v>
      </c>
      <c r="C13579" s="1" t="n">
        <v>45657</v>
      </c>
      <c r="D13579" t="inlineStr">
        <is>
          <t>VÄSTERNORRLANDS LÄN</t>
        </is>
      </c>
      <c r="E13579" t="inlineStr">
        <is>
          <t>ÖRNSKÖLDSVIK</t>
        </is>
      </c>
      <c r="F13579" t="inlineStr">
        <is>
          <t>Holmen skog AB</t>
        </is>
      </c>
      <c r="G13579" t="n">
        <v>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24447-2024</t>
        </is>
      </c>
      <c r="B13580" s="1" t="n">
        <v>45458</v>
      </c>
      <c r="C13580" s="1" t="n">
        <v>45657</v>
      </c>
      <c r="D13580" t="inlineStr">
        <is>
          <t>VÄSTERNORRLANDS LÄN</t>
        </is>
      </c>
      <c r="E13580" t="inlineStr">
        <is>
          <t>SUNDSVALL</t>
        </is>
      </c>
      <c r="F13580" t="inlineStr">
        <is>
          <t>SCA</t>
        </is>
      </c>
      <c r="G13580" t="n">
        <v>8.300000000000001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24498-2024</t>
        </is>
      </c>
      <c r="B13581" s="1" t="n">
        <v>45460</v>
      </c>
      <c r="C13581" s="1" t="n">
        <v>45657</v>
      </c>
      <c r="D13581" t="inlineStr">
        <is>
          <t>VÄSTERNORRLANDS LÄN</t>
        </is>
      </c>
      <c r="E13581" t="inlineStr">
        <is>
          <t>ÅNGE</t>
        </is>
      </c>
      <c r="F13581" t="inlineStr">
        <is>
          <t>SCA</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24754-2024</t>
        </is>
      </c>
      <c r="B13582" s="1" t="n">
        <v>45460</v>
      </c>
      <c r="C13582" s="1" t="n">
        <v>45657</v>
      </c>
      <c r="D13582" t="inlineStr">
        <is>
          <t>VÄSTERNORRLANDS LÄN</t>
        </is>
      </c>
      <c r="E13582" t="inlineStr">
        <is>
          <t>ÖRNSKÖLDSVIK</t>
        </is>
      </c>
      <c r="F13582" t="inlineStr">
        <is>
          <t>Holmen skog AB</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24762-2024</t>
        </is>
      </c>
      <c r="B13583" s="1" t="n">
        <v>45460</v>
      </c>
      <c r="C13583" s="1" t="n">
        <v>45657</v>
      </c>
      <c r="D13583" t="inlineStr">
        <is>
          <t>VÄSTERNORRLANDS LÄN</t>
        </is>
      </c>
      <c r="E13583" t="inlineStr">
        <is>
          <t>ÖRNSKÖLDSVIK</t>
        </is>
      </c>
      <c r="G13583" t="n">
        <v>9.800000000000001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24777-2024</t>
        </is>
      </c>
      <c r="B13584" s="1" t="n">
        <v>45460</v>
      </c>
      <c r="C13584" s="1" t="n">
        <v>45657</v>
      </c>
      <c r="D13584" t="inlineStr">
        <is>
          <t>VÄSTERNORRLANDS LÄN</t>
        </is>
      </c>
      <c r="E13584" t="inlineStr">
        <is>
          <t>SOLLEFTEÅ</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24739-2024</t>
        </is>
      </c>
      <c r="B13585" s="1" t="n">
        <v>45460</v>
      </c>
      <c r="C13585" s="1" t="n">
        <v>45657</v>
      </c>
      <c r="D13585" t="inlineStr">
        <is>
          <t>VÄSTERNORRLANDS LÄN</t>
        </is>
      </c>
      <c r="E13585" t="inlineStr">
        <is>
          <t>TIMRÅ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24729-2024</t>
        </is>
      </c>
      <c r="B13586" s="1" t="n">
        <v>45460</v>
      </c>
      <c r="C13586" s="1" t="n">
        <v>45657</v>
      </c>
      <c r="D13586" t="inlineStr">
        <is>
          <t>VÄSTERNORRLANDS LÄN</t>
        </is>
      </c>
      <c r="E13586" t="inlineStr">
        <is>
          <t>ÖRNSKÖLDSVIK</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24751-2024</t>
        </is>
      </c>
      <c r="B13587" s="1" t="n">
        <v>45460</v>
      </c>
      <c r="C13587" s="1" t="n">
        <v>45657</v>
      </c>
      <c r="D13587" t="inlineStr">
        <is>
          <t>VÄSTERNORRLANDS LÄN</t>
        </is>
      </c>
      <c r="E13587" t="inlineStr">
        <is>
          <t>ÖRNSKÖLDSVIK</t>
        </is>
      </c>
      <c r="F13587" t="inlineStr">
        <is>
          <t>Holmen skog AB</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24808-2024</t>
        </is>
      </c>
      <c r="B13588" s="1" t="n">
        <v>45461</v>
      </c>
      <c r="C13588" s="1" t="n">
        <v>45657</v>
      </c>
      <c r="D13588" t="inlineStr">
        <is>
          <t>VÄSTERNORRLANDS LÄN</t>
        </is>
      </c>
      <c r="E13588" t="inlineStr">
        <is>
          <t>ÖRNSKÖLDSVIK</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24782-2024</t>
        </is>
      </c>
      <c r="B13589" s="1" t="n">
        <v>45460</v>
      </c>
      <c r="C13589" s="1" t="n">
        <v>45657</v>
      </c>
      <c r="D13589" t="inlineStr">
        <is>
          <t>VÄSTERNORRLANDS LÄN</t>
        </is>
      </c>
      <c r="E13589" t="inlineStr">
        <is>
          <t>SUNDSVALL</t>
        </is>
      </c>
      <c r="F13589" t="inlineStr">
        <is>
          <t>Kommuner</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24798-2024</t>
        </is>
      </c>
      <c r="B13590" s="1" t="n">
        <v>45461</v>
      </c>
      <c r="C13590" s="1" t="n">
        <v>45657</v>
      </c>
      <c r="D13590" t="inlineStr">
        <is>
          <t>VÄSTERNORRLANDS LÄN</t>
        </is>
      </c>
      <c r="E13590" t="inlineStr">
        <is>
          <t>ÅNGE</t>
        </is>
      </c>
      <c r="F13590" t="inlineStr">
        <is>
          <t>SCA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24661-2024</t>
        </is>
      </c>
      <c r="B13591" s="1" t="n">
        <v>45460</v>
      </c>
      <c r="C13591" s="1" t="n">
        <v>45657</v>
      </c>
      <c r="D13591" t="inlineStr">
        <is>
          <t>VÄSTERNORRLANDS LÄN</t>
        </is>
      </c>
      <c r="E13591" t="inlineStr">
        <is>
          <t>ÖRNSKÖLDSVIK</t>
        </is>
      </c>
      <c r="F13591" t="inlineStr">
        <is>
          <t>Holmen skog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24797-2024</t>
        </is>
      </c>
      <c r="B13592" s="1" t="n">
        <v>45461</v>
      </c>
      <c r="C13592" s="1" t="n">
        <v>45657</v>
      </c>
      <c r="D13592" t="inlineStr">
        <is>
          <t>VÄSTERNORRLANDS LÄN</t>
        </is>
      </c>
      <c r="E13592" t="inlineStr">
        <is>
          <t>ÅNGE</t>
        </is>
      </c>
      <c r="F13592" t="inlineStr">
        <is>
          <t>SCA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24997-2024</t>
        </is>
      </c>
      <c r="B13593" s="1" t="n">
        <v>45461</v>
      </c>
      <c r="C13593" s="1" t="n">
        <v>45657</v>
      </c>
      <c r="D13593" t="inlineStr">
        <is>
          <t>VÄSTERNORRLANDS LÄN</t>
        </is>
      </c>
      <c r="E13593" t="inlineStr">
        <is>
          <t>ÖRNSKÖLDSVIK</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25001-2024</t>
        </is>
      </c>
      <c r="B13594" s="1" t="n">
        <v>45461</v>
      </c>
      <c r="C13594" s="1" t="n">
        <v>45657</v>
      </c>
      <c r="D13594" t="inlineStr">
        <is>
          <t>VÄSTERNORRLANDS LÄN</t>
        </is>
      </c>
      <c r="E13594" t="inlineStr">
        <is>
          <t>ÖRNSKÖLDSVIK</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24987-2024</t>
        </is>
      </c>
      <c r="B13595" s="1" t="n">
        <v>45461</v>
      </c>
      <c r="C13595" s="1" t="n">
        <v>45657</v>
      </c>
      <c r="D13595" t="inlineStr">
        <is>
          <t>VÄSTERNORRLANDS LÄN</t>
        </is>
      </c>
      <c r="E13595" t="inlineStr">
        <is>
          <t>SUNDSVALL</t>
        </is>
      </c>
      <c r="G13595" t="n">
        <v>12.8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24897-2024</t>
        </is>
      </c>
      <c r="B13596" s="1" t="n">
        <v>45461</v>
      </c>
      <c r="C13596" s="1" t="n">
        <v>45657</v>
      </c>
      <c r="D13596" t="inlineStr">
        <is>
          <t>VÄSTERNORRLANDS LÄN</t>
        </is>
      </c>
      <c r="E13596" t="inlineStr">
        <is>
          <t>ÖRNSKÖLDSVIK</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25032-2024</t>
        </is>
      </c>
      <c r="B13597" s="1" t="n">
        <v>45462</v>
      </c>
      <c r="C13597" s="1" t="n">
        <v>45657</v>
      </c>
      <c r="D13597" t="inlineStr">
        <is>
          <t>VÄSTERNORRLANDS LÄN</t>
        </is>
      </c>
      <c r="E13597" t="inlineStr">
        <is>
          <t>KRAMFORS</t>
        </is>
      </c>
      <c r="F13597" t="inlineStr">
        <is>
          <t>SCA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25002-2024</t>
        </is>
      </c>
      <c r="B13598" s="1" t="n">
        <v>45461</v>
      </c>
      <c r="C13598" s="1" t="n">
        <v>45657</v>
      </c>
      <c r="D13598" t="inlineStr">
        <is>
          <t>VÄSTERNORRLANDS LÄN</t>
        </is>
      </c>
      <c r="E13598" t="inlineStr">
        <is>
          <t>ÖRNSKÖLDSVIK</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25023-2024</t>
        </is>
      </c>
      <c r="B13599" s="1" t="n">
        <v>45462</v>
      </c>
      <c r="C13599" s="1" t="n">
        <v>45657</v>
      </c>
      <c r="D13599" t="inlineStr">
        <is>
          <t>VÄSTERNORRLANDS LÄN</t>
        </is>
      </c>
      <c r="E13599" t="inlineStr">
        <is>
          <t>SOLLEFTEÅ</t>
        </is>
      </c>
      <c r="F13599" t="inlineStr">
        <is>
          <t>SCA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25033-2024</t>
        </is>
      </c>
      <c r="B13600" s="1" t="n">
        <v>45462</v>
      </c>
      <c r="C13600" s="1" t="n">
        <v>45657</v>
      </c>
      <c r="D13600" t="inlineStr">
        <is>
          <t>VÄSTERNORRLANDS LÄN</t>
        </is>
      </c>
      <c r="E13600" t="inlineStr">
        <is>
          <t>ÅNGE</t>
        </is>
      </c>
      <c r="F13600" t="inlineStr">
        <is>
          <t>SCA</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25025-2024</t>
        </is>
      </c>
      <c r="B13601" s="1" t="n">
        <v>45462</v>
      </c>
      <c r="C13601" s="1" t="n">
        <v>45657</v>
      </c>
      <c r="D13601" t="inlineStr">
        <is>
          <t>VÄSTERNORRLANDS LÄN</t>
        </is>
      </c>
      <c r="E13601" t="inlineStr">
        <is>
          <t>ÅNGE</t>
        </is>
      </c>
      <c r="F13601" t="inlineStr">
        <is>
          <t>SCA</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25024-2024</t>
        </is>
      </c>
      <c r="B13602" s="1" t="n">
        <v>45461</v>
      </c>
      <c r="C13602" s="1" t="n">
        <v>45657</v>
      </c>
      <c r="D13602" t="inlineStr">
        <is>
          <t>VÄSTERNORRLANDS LÄN</t>
        </is>
      </c>
      <c r="E13602" t="inlineStr">
        <is>
          <t>SUNDSVALL</t>
        </is>
      </c>
      <c r="F13602" t="inlineStr">
        <is>
          <t>SCA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25035-2024</t>
        </is>
      </c>
      <c r="B13603" s="1" t="n">
        <v>45462</v>
      </c>
      <c r="C13603" s="1" t="n">
        <v>45657</v>
      </c>
      <c r="D13603" t="inlineStr">
        <is>
          <t>VÄSTERNORRLANDS LÄN</t>
        </is>
      </c>
      <c r="E13603" t="inlineStr">
        <is>
          <t>SOLLEFTEÅ</t>
        </is>
      </c>
      <c r="F13603" t="inlineStr">
        <is>
          <t>SCA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24996-2024</t>
        </is>
      </c>
      <c r="B13604" s="1" t="n">
        <v>45461</v>
      </c>
      <c r="C13604" s="1" t="n">
        <v>45657</v>
      </c>
      <c r="D13604" t="inlineStr">
        <is>
          <t>VÄSTERNORRLANDS LÄN</t>
        </is>
      </c>
      <c r="E13604" t="inlineStr">
        <is>
          <t>ÖRNSKÖLDSVIK</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25000-2024</t>
        </is>
      </c>
      <c r="B13605" s="1" t="n">
        <v>45461</v>
      </c>
      <c r="C13605" s="1" t="n">
        <v>45657</v>
      </c>
      <c r="D13605" t="inlineStr">
        <is>
          <t>VÄSTERNORRLANDS LÄN</t>
        </is>
      </c>
      <c r="E13605" t="inlineStr">
        <is>
          <t>ÖRNSKÖLDSVIK</t>
        </is>
      </c>
      <c r="G13605" t="n">
        <v>7.8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25026-2024</t>
        </is>
      </c>
      <c r="B13606" s="1" t="n">
        <v>45462</v>
      </c>
      <c r="C13606" s="1" t="n">
        <v>45657</v>
      </c>
      <c r="D13606" t="inlineStr">
        <is>
          <t>VÄSTERNORRLANDS LÄN</t>
        </is>
      </c>
      <c r="E13606" t="inlineStr">
        <is>
          <t>SOLLEFTEÅ</t>
        </is>
      </c>
      <c r="F13606" t="inlineStr">
        <is>
          <t>SCA</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25022-2024</t>
        </is>
      </c>
      <c r="B13607" s="1" t="n">
        <v>45462</v>
      </c>
      <c r="C13607" s="1" t="n">
        <v>45657</v>
      </c>
      <c r="D13607" t="inlineStr">
        <is>
          <t>VÄSTERNORRLANDS LÄN</t>
        </is>
      </c>
      <c r="E13607" t="inlineStr">
        <is>
          <t>SUNDSVALL</t>
        </is>
      </c>
      <c r="F13607" t="inlineStr">
        <is>
          <t>SCA</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25356-2024</t>
        </is>
      </c>
      <c r="B13608" s="1" t="n">
        <v>45463</v>
      </c>
      <c r="C13608" s="1" t="n">
        <v>45657</v>
      </c>
      <c r="D13608" t="inlineStr">
        <is>
          <t>VÄSTERNORRLANDS LÄN</t>
        </is>
      </c>
      <c r="E13608" t="inlineStr">
        <is>
          <t>SOLLEFTEÅ</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25364-2024</t>
        </is>
      </c>
      <c r="B13609" s="1" t="n">
        <v>45463</v>
      </c>
      <c r="C13609" s="1" t="n">
        <v>45657</v>
      </c>
      <c r="D13609" t="inlineStr">
        <is>
          <t>VÄSTERNORRLANDS LÄN</t>
        </is>
      </c>
      <c r="E13609" t="inlineStr">
        <is>
          <t>SOLLEFTEÅ</t>
        </is>
      </c>
      <c r="F13609" t="inlineStr">
        <is>
          <t>SCA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25351-2024</t>
        </is>
      </c>
      <c r="B13610" s="1" t="n">
        <v>45463</v>
      </c>
      <c r="C13610" s="1" t="n">
        <v>45657</v>
      </c>
      <c r="D13610" t="inlineStr">
        <is>
          <t>VÄSTERNORRLANDS LÄN</t>
        </is>
      </c>
      <c r="E13610" t="inlineStr">
        <is>
          <t>SUNDSVALL</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25363-2024</t>
        </is>
      </c>
      <c r="B13611" s="1" t="n">
        <v>45463</v>
      </c>
      <c r="C13611" s="1" t="n">
        <v>45657</v>
      </c>
      <c r="D13611" t="inlineStr">
        <is>
          <t>VÄSTERNORRLANDS LÄN</t>
        </is>
      </c>
      <c r="E13611" t="inlineStr">
        <is>
          <t>SOLLEFTEÅ</t>
        </is>
      </c>
      <c r="F13611" t="inlineStr">
        <is>
          <t>SCA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25383-2024</t>
        </is>
      </c>
      <c r="B13612" s="1" t="n">
        <v>45463</v>
      </c>
      <c r="C13612" s="1" t="n">
        <v>45657</v>
      </c>
      <c r="D13612" t="inlineStr">
        <is>
          <t>VÄSTERNORRLANDS LÄN</t>
        </is>
      </c>
      <c r="E13612" t="inlineStr">
        <is>
          <t>SUNDSVALL</t>
        </is>
      </c>
      <c r="F13612" t="inlineStr">
        <is>
          <t>SCA</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25392-2024</t>
        </is>
      </c>
      <c r="B13613" s="1" t="n">
        <v>45462</v>
      </c>
      <c r="C13613" s="1" t="n">
        <v>45657</v>
      </c>
      <c r="D13613" t="inlineStr">
        <is>
          <t>VÄSTERNORRLANDS LÄN</t>
        </is>
      </c>
      <c r="E13613" t="inlineStr">
        <is>
          <t>SUNDSVALL</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25376-2024</t>
        </is>
      </c>
      <c r="B13614" s="1" t="n">
        <v>45463</v>
      </c>
      <c r="C13614" s="1" t="n">
        <v>45657</v>
      </c>
      <c r="D13614" t="inlineStr">
        <is>
          <t>VÄSTERNORRLANDS LÄN</t>
        </is>
      </c>
      <c r="E13614" t="inlineStr">
        <is>
          <t>ÅNGE</t>
        </is>
      </c>
      <c r="F13614" t="inlineStr">
        <is>
          <t>SCA</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25384-2024</t>
        </is>
      </c>
      <c r="B13615" s="1" t="n">
        <v>45463</v>
      </c>
      <c r="C13615" s="1" t="n">
        <v>45657</v>
      </c>
      <c r="D13615" t="inlineStr">
        <is>
          <t>VÄSTERNORRLANDS LÄN</t>
        </is>
      </c>
      <c r="E13615" t="inlineStr">
        <is>
          <t>SOLLEFTEÅ</t>
        </is>
      </c>
      <c r="F13615" t="inlineStr">
        <is>
          <t>SCA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25362-2024</t>
        </is>
      </c>
      <c r="B13616" s="1" t="n">
        <v>45463</v>
      </c>
      <c r="C13616" s="1" t="n">
        <v>45657</v>
      </c>
      <c r="D13616" t="inlineStr">
        <is>
          <t>VÄSTERNORRLANDS LÄN</t>
        </is>
      </c>
      <c r="E13616" t="inlineStr">
        <is>
          <t>SUNDSVALL</t>
        </is>
      </c>
      <c r="F13616" t="inlineStr">
        <is>
          <t>SCA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25382-2024</t>
        </is>
      </c>
      <c r="B13617" s="1" t="n">
        <v>45463</v>
      </c>
      <c r="C13617" s="1" t="n">
        <v>45657</v>
      </c>
      <c r="D13617" t="inlineStr">
        <is>
          <t>VÄSTERNORRLANDS LÄN</t>
        </is>
      </c>
      <c r="E13617" t="inlineStr">
        <is>
          <t>SUNDSVALL</t>
        </is>
      </c>
      <c r="F13617" t="inlineStr">
        <is>
          <t>SCA</t>
        </is>
      </c>
      <c r="G13617" t="n">
        <v>10.1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25386-2024</t>
        </is>
      </c>
      <c r="B13618" s="1" t="n">
        <v>45462</v>
      </c>
      <c r="C13618" s="1" t="n">
        <v>45657</v>
      </c>
      <c r="D13618" t="inlineStr">
        <is>
          <t>VÄSTERNORRLANDS LÄN</t>
        </is>
      </c>
      <c r="E13618" t="inlineStr">
        <is>
          <t>SUNDSVALL</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25334-2024</t>
        </is>
      </c>
      <c r="B13619" s="1" t="n">
        <v>45462</v>
      </c>
      <c r="C13619" s="1" t="n">
        <v>45657</v>
      </c>
      <c r="D13619" t="inlineStr">
        <is>
          <t>VÄSTERNORRLANDS LÄN</t>
        </is>
      </c>
      <c r="E13619" t="inlineStr">
        <is>
          <t>SOLLEFTEÅ</t>
        </is>
      </c>
      <c r="G13619" t="n">
        <v>11.1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25278-2024</t>
        </is>
      </c>
      <c r="B13620" s="1" t="n">
        <v>45462</v>
      </c>
      <c r="C13620" s="1" t="n">
        <v>45657</v>
      </c>
      <c r="D13620" t="inlineStr">
        <is>
          <t>VÄSTERNORRLANDS LÄN</t>
        </is>
      </c>
      <c r="E13620" t="inlineStr">
        <is>
          <t>ÖRNSKÖLDSVIK</t>
        </is>
      </c>
      <c r="F13620" t="inlineStr">
        <is>
          <t>Holmen skog AB</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25201-2024</t>
        </is>
      </c>
      <c r="B13621" s="1" t="n">
        <v>45462</v>
      </c>
      <c r="C13621" s="1" t="n">
        <v>45657</v>
      </c>
      <c r="D13621" t="inlineStr">
        <is>
          <t>VÄSTERNORRLANDS LÄN</t>
        </is>
      </c>
      <c r="E13621" t="inlineStr">
        <is>
          <t>ÖRNSKÖLDSVIK</t>
        </is>
      </c>
      <c r="F13621" t="inlineStr">
        <is>
          <t>Holmen skog AB</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25189-2024</t>
        </is>
      </c>
      <c r="B13622" s="1" t="n">
        <v>45462</v>
      </c>
      <c r="C13622" s="1" t="n">
        <v>45657</v>
      </c>
      <c r="D13622" t="inlineStr">
        <is>
          <t>VÄSTERNORRLANDS LÄN</t>
        </is>
      </c>
      <c r="E13622" t="inlineStr">
        <is>
          <t>ÖRNSKÖLDSVIK</t>
        </is>
      </c>
      <c r="F13622" t="inlineStr">
        <is>
          <t>Holmen skog AB</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25430-2024</t>
        </is>
      </c>
      <c r="B13623" s="1" t="n">
        <v>45462</v>
      </c>
      <c r="C13623" s="1" t="n">
        <v>45657</v>
      </c>
      <c r="D13623" t="inlineStr">
        <is>
          <t>VÄSTERNORRLANDS LÄN</t>
        </is>
      </c>
      <c r="E13623" t="inlineStr">
        <is>
          <t>SUNDSVALL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25348-2024</t>
        </is>
      </c>
      <c r="B13624" s="1" t="n">
        <v>45463</v>
      </c>
      <c r="C13624" s="1" t="n">
        <v>45657</v>
      </c>
      <c r="D13624" t="inlineStr">
        <is>
          <t>VÄSTERNORRLANDS LÄN</t>
        </is>
      </c>
      <c r="E13624" t="inlineStr">
        <is>
          <t>SUNDSVALL</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25331-2024</t>
        </is>
      </c>
      <c r="B13625" s="1" t="n">
        <v>45462</v>
      </c>
      <c r="C13625" s="1" t="n">
        <v>45657</v>
      </c>
      <c r="D13625" t="inlineStr">
        <is>
          <t>VÄSTERNORRLANDS LÄN</t>
        </is>
      </c>
      <c r="E13625" t="inlineStr">
        <is>
          <t>HÄRNÖSAND</t>
        </is>
      </c>
      <c r="G13625" t="n">
        <v>12.9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25185-2024</t>
        </is>
      </c>
      <c r="B13626" s="1" t="n">
        <v>45462</v>
      </c>
      <c r="C13626" s="1" t="n">
        <v>45657</v>
      </c>
      <c r="D13626" t="inlineStr">
        <is>
          <t>VÄSTERNORRLANDS LÄN</t>
        </is>
      </c>
      <c r="E13626" t="inlineStr">
        <is>
          <t>ÖRNSKÖLDSVIK</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25350-2024</t>
        </is>
      </c>
      <c r="B13627" s="1" t="n">
        <v>45462</v>
      </c>
      <c r="C13627" s="1" t="n">
        <v>45657</v>
      </c>
      <c r="D13627" t="inlineStr">
        <is>
          <t>VÄSTERNORRLANDS LÄN</t>
        </is>
      </c>
      <c r="E13627" t="inlineStr">
        <is>
          <t>SUNDSVALL</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25329-2024</t>
        </is>
      </c>
      <c r="B13628" s="1" t="n">
        <v>45462</v>
      </c>
      <c r="C13628" s="1" t="n">
        <v>45657</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25115-2024</t>
        </is>
      </c>
      <c r="B13629" s="1" t="n">
        <v>45462</v>
      </c>
      <c r="C13629" s="1" t="n">
        <v>45657</v>
      </c>
      <c r="D13629" t="inlineStr">
        <is>
          <t>VÄSTERNORRLANDS LÄN</t>
        </is>
      </c>
      <c r="E13629" t="inlineStr">
        <is>
          <t>HÄRNÖSAND</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25236-2024</t>
        </is>
      </c>
      <c r="B13630" s="1" t="n">
        <v>45462</v>
      </c>
      <c r="C13630" s="1" t="n">
        <v>45657</v>
      </c>
      <c r="D13630" t="inlineStr">
        <is>
          <t>VÄSTERNORRLANDS LÄN</t>
        </is>
      </c>
      <c r="E13630" t="inlineStr">
        <is>
          <t>ÖRNSKÖLDSVIK</t>
        </is>
      </c>
      <c r="F13630" t="inlineStr">
        <is>
          <t>Holmen skog AB</t>
        </is>
      </c>
      <c r="G13630" t="n">
        <v>9.800000000000001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25192-2024</t>
        </is>
      </c>
      <c r="B13631" s="1" t="n">
        <v>45462</v>
      </c>
      <c r="C13631" s="1" t="n">
        <v>45657</v>
      </c>
      <c r="D13631" t="inlineStr">
        <is>
          <t>VÄSTERNORRLANDS LÄN</t>
        </is>
      </c>
      <c r="E13631" t="inlineStr">
        <is>
          <t>ÖRNSKÖLDSVIK</t>
        </is>
      </c>
      <c r="F13631" t="inlineStr">
        <is>
          <t>Holmen skog AB</t>
        </is>
      </c>
      <c r="G13631" t="n">
        <v>10.5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25148-2024</t>
        </is>
      </c>
      <c r="B13632" s="1" t="n">
        <v>45462</v>
      </c>
      <c r="C13632" s="1" t="n">
        <v>45657</v>
      </c>
      <c r="D13632" t="inlineStr">
        <is>
          <t>VÄSTERNORRLANDS LÄN</t>
        </is>
      </c>
      <c r="E13632" t="inlineStr">
        <is>
          <t>HÄRNÖSAND</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25128-2024</t>
        </is>
      </c>
      <c r="B13633" s="1" t="n">
        <v>45462</v>
      </c>
      <c r="C13633" s="1" t="n">
        <v>45657</v>
      </c>
      <c r="D13633" t="inlineStr">
        <is>
          <t>VÄSTERNORRLANDS LÄN</t>
        </is>
      </c>
      <c r="E13633" t="inlineStr">
        <is>
          <t>ÖRNSKÖLDSVIK</t>
        </is>
      </c>
      <c r="F13633" t="inlineStr">
        <is>
          <t>Holmen skog AB</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25097-2024</t>
        </is>
      </c>
      <c r="B13634" s="1" t="n">
        <v>45462</v>
      </c>
      <c r="C13634" s="1" t="n">
        <v>45657</v>
      </c>
      <c r="D13634" t="inlineStr">
        <is>
          <t>VÄSTERNORRLANDS LÄN</t>
        </is>
      </c>
      <c r="E13634" t="inlineStr">
        <is>
          <t>ÖRNSKÖLDSVIK</t>
        </is>
      </c>
      <c r="F13634" t="inlineStr">
        <is>
          <t>Holmen skog AB</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25072-2024</t>
        </is>
      </c>
      <c r="B13635" s="1" t="n">
        <v>45462</v>
      </c>
      <c r="C13635" s="1" t="n">
        <v>45657</v>
      </c>
      <c r="D13635" t="inlineStr">
        <is>
          <t>VÄSTERNORRLANDS LÄN</t>
        </is>
      </c>
      <c r="E13635" t="inlineStr">
        <is>
          <t>ÖRNSKÖLDSVIK</t>
        </is>
      </c>
      <c r="F13635" t="inlineStr">
        <is>
          <t>Holmen skog AB</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25068-2024</t>
        </is>
      </c>
      <c r="B13636" s="1" t="n">
        <v>45462</v>
      </c>
      <c r="C13636" s="1" t="n">
        <v>45657</v>
      </c>
      <c r="D13636" t="inlineStr">
        <is>
          <t>VÄSTERNORRLANDS LÄN</t>
        </is>
      </c>
      <c r="E13636" t="inlineStr">
        <is>
          <t>ÖRNSKÖLDSVIK</t>
        </is>
      </c>
      <c r="F13636" t="inlineStr">
        <is>
          <t>Holmen skog AB</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25060-2024</t>
        </is>
      </c>
      <c r="B13637" s="1" t="n">
        <v>45462</v>
      </c>
      <c r="C13637" s="1" t="n">
        <v>45657</v>
      </c>
      <c r="D13637" t="inlineStr">
        <is>
          <t>VÄSTERNORRLANDS LÄN</t>
        </is>
      </c>
      <c r="E13637" t="inlineStr">
        <is>
          <t>ÖRNSKÖLDSVIK</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25044-2024</t>
        </is>
      </c>
      <c r="B13638" s="1" t="n">
        <v>45462</v>
      </c>
      <c r="C13638" s="1" t="n">
        <v>45657</v>
      </c>
      <c r="D13638" t="inlineStr">
        <is>
          <t>VÄSTERNORRLANDS LÄN</t>
        </is>
      </c>
      <c r="E13638" t="inlineStr">
        <is>
          <t>ÖRNSKÖLDSVIK</t>
        </is>
      </c>
      <c r="F13638" t="inlineStr">
        <is>
          <t>Holmen skog AB</t>
        </is>
      </c>
      <c r="G13638" t="n">
        <v>8.9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25246-2024</t>
        </is>
      </c>
      <c r="B13639" s="1" t="n">
        <v>45462</v>
      </c>
      <c r="C13639" s="1" t="n">
        <v>45657</v>
      </c>
      <c r="D13639" t="inlineStr">
        <is>
          <t>VÄSTERNORRLANDS LÄN</t>
        </is>
      </c>
      <c r="E13639" t="inlineStr">
        <is>
          <t>ÖRNSKÖLDSVIK</t>
        </is>
      </c>
      <c r="F13639" t="inlineStr">
        <is>
          <t>Holmen skog AB</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25218-2024</t>
        </is>
      </c>
      <c r="B13640" s="1" t="n">
        <v>45462</v>
      </c>
      <c r="C13640" s="1" t="n">
        <v>45657</v>
      </c>
      <c r="D13640" t="inlineStr">
        <is>
          <t>VÄSTERNORRLANDS LÄN</t>
        </is>
      </c>
      <c r="E13640" t="inlineStr">
        <is>
          <t>ÖRNSKÖLDSVIK</t>
        </is>
      </c>
      <c r="F13640" t="inlineStr">
        <is>
          <t>Holmen skog AB</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25186-2024</t>
        </is>
      </c>
      <c r="B13641" s="1" t="n">
        <v>45462</v>
      </c>
      <c r="C13641" s="1" t="n">
        <v>45657</v>
      </c>
      <c r="D13641" t="inlineStr">
        <is>
          <t>VÄSTERNORRLANDS LÄN</t>
        </is>
      </c>
      <c r="E13641" t="inlineStr">
        <is>
          <t>ÖRNSKÖLDSVIK</t>
        </is>
      </c>
      <c r="F13641" t="inlineStr">
        <is>
          <t>Holmen skog AB</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25138-2024</t>
        </is>
      </c>
      <c r="B13642" s="1" t="n">
        <v>45462</v>
      </c>
      <c r="C13642" s="1" t="n">
        <v>45657</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25130-2024</t>
        </is>
      </c>
      <c r="B13643" s="1" t="n">
        <v>45462</v>
      </c>
      <c r="C13643" s="1" t="n">
        <v>45657</v>
      </c>
      <c r="D13643" t="inlineStr">
        <is>
          <t>VÄSTERNORRLANDS LÄN</t>
        </is>
      </c>
      <c r="E13643" t="inlineStr">
        <is>
          <t>ÖRNSKÖLDSVIK</t>
        </is>
      </c>
      <c r="F13643" t="inlineStr">
        <is>
          <t>Holmen skog AB</t>
        </is>
      </c>
      <c r="G13643" t="n">
        <v>78.59999999999999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25116-2024</t>
        </is>
      </c>
      <c r="B13644" s="1" t="n">
        <v>45462</v>
      </c>
      <c r="C13644" s="1" t="n">
        <v>45657</v>
      </c>
      <c r="D13644" t="inlineStr">
        <is>
          <t>VÄSTERNORRLANDS LÄN</t>
        </is>
      </c>
      <c r="E13644" t="inlineStr">
        <is>
          <t>HÄRNÖSAND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25107-2024</t>
        </is>
      </c>
      <c r="B13645" s="1" t="n">
        <v>45462</v>
      </c>
      <c r="C13645" s="1" t="n">
        <v>45657</v>
      </c>
      <c r="D13645" t="inlineStr">
        <is>
          <t>VÄSTERNORRLANDS LÄN</t>
        </is>
      </c>
      <c r="E13645" t="inlineStr">
        <is>
          <t>ÖRNSKÖLDSVIK</t>
        </is>
      </c>
      <c r="F13645" t="inlineStr">
        <is>
          <t>Holmen skog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25065-2024</t>
        </is>
      </c>
      <c r="B13646" s="1" t="n">
        <v>45462</v>
      </c>
      <c r="C13646" s="1" t="n">
        <v>45657</v>
      </c>
      <c r="D13646" t="inlineStr">
        <is>
          <t>VÄSTERNORRLANDS LÄN</t>
        </is>
      </c>
      <c r="E13646" t="inlineStr">
        <is>
          <t>ÖRNSKÖLDSVIK</t>
        </is>
      </c>
      <c r="F13646" t="inlineStr">
        <is>
          <t>Holmen skog AB</t>
        </is>
      </c>
      <c r="G13646" t="n">
        <v>6.7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25061-2024</t>
        </is>
      </c>
      <c r="B13647" s="1" t="n">
        <v>45462</v>
      </c>
      <c r="C13647" s="1" t="n">
        <v>45657</v>
      </c>
      <c r="D13647" t="inlineStr">
        <is>
          <t>VÄSTERNORRLANDS LÄN</t>
        </is>
      </c>
      <c r="E13647" t="inlineStr">
        <is>
          <t>ÖRNSKÖLDSVIK</t>
        </is>
      </c>
      <c r="F13647" t="inlineStr">
        <is>
          <t>Holmen skog AB</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25381-2024</t>
        </is>
      </c>
      <c r="B13648" s="1" t="n">
        <v>45463</v>
      </c>
      <c r="C13648" s="1" t="n">
        <v>45657</v>
      </c>
      <c r="D13648" t="inlineStr">
        <is>
          <t>VÄSTERNORRLANDS LÄN</t>
        </is>
      </c>
      <c r="E13648" t="inlineStr">
        <is>
          <t>SUNDSVALL</t>
        </is>
      </c>
      <c r="F13648" t="inlineStr">
        <is>
          <t>SCA</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25377-2024</t>
        </is>
      </c>
      <c r="B13649" s="1" t="n">
        <v>45463</v>
      </c>
      <c r="C13649" s="1" t="n">
        <v>45657</v>
      </c>
      <c r="D13649" t="inlineStr">
        <is>
          <t>VÄSTERNORRLANDS LÄN</t>
        </is>
      </c>
      <c r="E13649" t="inlineStr">
        <is>
          <t>ÅNGE</t>
        </is>
      </c>
      <c r="F13649" t="inlineStr">
        <is>
          <t>SCA</t>
        </is>
      </c>
      <c r="G13649" t="n">
        <v>20.7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25357-2024</t>
        </is>
      </c>
      <c r="B13650" s="1" t="n">
        <v>45462</v>
      </c>
      <c r="C13650" s="1" t="n">
        <v>45657</v>
      </c>
      <c r="D13650" t="inlineStr">
        <is>
          <t>VÄSTERNORRLANDS LÄN</t>
        </is>
      </c>
      <c r="E13650" t="inlineStr">
        <is>
          <t>SOLLEFTEÅ</t>
        </is>
      </c>
      <c r="F13650" t="inlineStr">
        <is>
          <t>SCA</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25139-2024</t>
        </is>
      </c>
      <c r="B13651" s="1" t="n">
        <v>45462</v>
      </c>
      <c r="C13651" s="1" t="n">
        <v>45657</v>
      </c>
      <c r="D13651" t="inlineStr">
        <is>
          <t>VÄSTERNORRLANDS LÄN</t>
        </is>
      </c>
      <c r="E13651" t="inlineStr">
        <is>
          <t>SOLLEFTEÅ</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25131-2024</t>
        </is>
      </c>
      <c r="B13652" s="1" t="n">
        <v>45462</v>
      </c>
      <c r="C13652" s="1" t="n">
        <v>45657</v>
      </c>
      <c r="D13652" t="inlineStr">
        <is>
          <t>VÄSTERNORRLANDS LÄN</t>
        </is>
      </c>
      <c r="E13652" t="inlineStr">
        <is>
          <t>SOLLEFTEÅ</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25117-2024</t>
        </is>
      </c>
      <c r="B13653" s="1" t="n">
        <v>45462</v>
      </c>
      <c r="C13653" s="1" t="n">
        <v>45657</v>
      </c>
      <c r="D13653" t="inlineStr">
        <is>
          <t>VÄSTERNORRLANDS LÄN</t>
        </is>
      </c>
      <c r="E13653" t="inlineStr">
        <is>
          <t>HÄRNÖSAND</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25070-2024</t>
        </is>
      </c>
      <c r="B13654" s="1" t="n">
        <v>45462</v>
      </c>
      <c r="C13654" s="1" t="n">
        <v>45657</v>
      </c>
      <c r="D13654" t="inlineStr">
        <is>
          <t>VÄSTERNORRLANDS LÄN</t>
        </is>
      </c>
      <c r="E13654" t="inlineStr">
        <is>
          <t>HÄRNÖSAND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25062-2024</t>
        </is>
      </c>
      <c r="B13655" s="1" t="n">
        <v>45462</v>
      </c>
      <c r="C13655" s="1" t="n">
        <v>45657</v>
      </c>
      <c r="D13655" t="inlineStr">
        <is>
          <t>VÄSTERNORRLANDS LÄN</t>
        </is>
      </c>
      <c r="E13655" t="inlineStr">
        <is>
          <t>ÖRNSKÖLDSVIK</t>
        </is>
      </c>
      <c r="F13655" t="inlineStr">
        <is>
          <t>Holmen skog AB</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25050-2024</t>
        </is>
      </c>
      <c r="B13656" s="1" t="n">
        <v>45462</v>
      </c>
      <c r="C13656" s="1" t="n">
        <v>45657</v>
      </c>
      <c r="D13656" t="inlineStr">
        <is>
          <t>VÄSTERNORRLANDS LÄN</t>
        </is>
      </c>
      <c r="E13656" t="inlineStr">
        <is>
          <t>ÖRNSKÖLDSVIK</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25695-2024</t>
        </is>
      </c>
      <c r="B13657" s="1" t="n">
        <v>45463</v>
      </c>
      <c r="C13657" s="1" t="n">
        <v>45657</v>
      </c>
      <c r="D13657" t="inlineStr">
        <is>
          <t>VÄSTERNORRLANDS LÄN</t>
        </is>
      </c>
      <c r="E13657" t="inlineStr">
        <is>
          <t>SUNDSVALL</t>
        </is>
      </c>
      <c r="F13657" t="inlineStr">
        <is>
          <t>SCA</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25699-2024</t>
        </is>
      </c>
      <c r="B13658" s="1" t="n">
        <v>45464</v>
      </c>
      <c r="C13658" s="1" t="n">
        <v>45657</v>
      </c>
      <c r="D13658" t="inlineStr">
        <is>
          <t>VÄSTERNORRLANDS LÄN</t>
        </is>
      </c>
      <c r="E13658" t="inlineStr">
        <is>
          <t>SUNDSVALL</t>
        </is>
      </c>
      <c r="F13658" t="inlineStr">
        <is>
          <t>SCA</t>
        </is>
      </c>
      <c r="G13658" t="n">
        <v>18.1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25703-2024</t>
        </is>
      </c>
      <c r="B13659" s="1" t="n">
        <v>45463</v>
      </c>
      <c r="C13659" s="1" t="n">
        <v>45657</v>
      </c>
      <c r="D13659" t="inlineStr">
        <is>
          <t>VÄSTERNORRLANDS LÄN</t>
        </is>
      </c>
      <c r="E13659" t="inlineStr">
        <is>
          <t>SOLLEFTEÅ</t>
        </is>
      </c>
      <c r="F13659" t="inlineStr">
        <is>
          <t>SCA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25711-2024</t>
        </is>
      </c>
      <c r="B13660" s="1" t="n">
        <v>45463</v>
      </c>
      <c r="C13660" s="1" t="n">
        <v>45657</v>
      </c>
      <c r="D13660" t="inlineStr">
        <is>
          <t>VÄSTERNORRLANDS LÄN</t>
        </is>
      </c>
      <c r="E13660" t="inlineStr">
        <is>
          <t>SOLLEFTEÅ</t>
        </is>
      </c>
      <c r="F13660" t="inlineStr">
        <is>
          <t>SCA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25696-2024</t>
        </is>
      </c>
      <c r="B13661" s="1" t="n">
        <v>45463</v>
      </c>
      <c r="C13661" s="1" t="n">
        <v>45657</v>
      </c>
      <c r="D13661" t="inlineStr">
        <is>
          <t>VÄSTERNORRLANDS LÄN</t>
        </is>
      </c>
      <c r="E13661" t="inlineStr">
        <is>
          <t>SUNDSVALL</t>
        </is>
      </c>
      <c r="F13661" t="inlineStr">
        <is>
          <t>SCA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25700-2024</t>
        </is>
      </c>
      <c r="B13662" s="1" t="n">
        <v>45463</v>
      </c>
      <c r="C13662" s="1" t="n">
        <v>45657</v>
      </c>
      <c r="D13662" t="inlineStr">
        <is>
          <t>VÄSTERNORRLANDS LÄN</t>
        </is>
      </c>
      <c r="E13662" t="inlineStr">
        <is>
          <t>ÅNGE</t>
        </is>
      </c>
      <c r="F13662" t="inlineStr">
        <is>
          <t>SCA</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25704-2024</t>
        </is>
      </c>
      <c r="B13663" s="1" t="n">
        <v>45464</v>
      </c>
      <c r="C13663" s="1" t="n">
        <v>45657</v>
      </c>
      <c r="D13663" t="inlineStr">
        <is>
          <t>VÄSTERNORRLANDS LÄN</t>
        </is>
      </c>
      <c r="E13663" t="inlineStr">
        <is>
          <t>SOLLEFTEÅ</t>
        </is>
      </c>
      <c r="F13663" t="inlineStr">
        <is>
          <t>SCA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25867-2024</t>
        </is>
      </c>
      <c r="B13664" s="1" t="n">
        <v>45463</v>
      </c>
      <c r="C13664" s="1" t="n">
        <v>45657</v>
      </c>
      <c r="D13664" t="inlineStr">
        <is>
          <t>VÄSTERNORRLANDS LÄN</t>
        </is>
      </c>
      <c r="E13664" t="inlineStr">
        <is>
          <t>ÅNGE</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25702-2024</t>
        </is>
      </c>
      <c r="B13665" s="1" t="n">
        <v>45463</v>
      </c>
      <c r="C13665" s="1" t="n">
        <v>45657</v>
      </c>
      <c r="D13665" t="inlineStr">
        <is>
          <t>VÄSTERNORRLANDS LÄN</t>
        </is>
      </c>
      <c r="E13665" t="inlineStr">
        <is>
          <t>SOLLEFTEÅ</t>
        </is>
      </c>
      <c r="F13665" t="inlineStr">
        <is>
          <t>SCA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25543-2024</t>
        </is>
      </c>
      <c r="B13666" s="1" t="n">
        <v>45463</v>
      </c>
      <c r="C13666" s="1" t="n">
        <v>45657</v>
      </c>
      <c r="D13666" t="inlineStr">
        <is>
          <t>VÄSTERNORRLANDS LÄN</t>
        </is>
      </c>
      <c r="E13666" t="inlineStr">
        <is>
          <t>ÖRNSKÖLDSVIK</t>
        </is>
      </c>
      <c r="F13666" t="inlineStr">
        <is>
          <t>Holmen skog AB</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25519-2024</t>
        </is>
      </c>
      <c r="B13667" s="1" t="n">
        <v>45463</v>
      </c>
      <c r="C13667" s="1" t="n">
        <v>45657</v>
      </c>
      <c r="D13667" t="inlineStr">
        <is>
          <t>VÄSTERNORRLANDS LÄN</t>
        </is>
      </c>
      <c r="E13667" t="inlineStr">
        <is>
          <t>HÄRNÖSAND</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25514-2024</t>
        </is>
      </c>
      <c r="B13668" s="1" t="n">
        <v>45463</v>
      </c>
      <c r="C13668" s="1" t="n">
        <v>45657</v>
      </c>
      <c r="D13668" t="inlineStr">
        <is>
          <t>VÄSTERNORRLANDS LÄN</t>
        </is>
      </c>
      <c r="E13668" t="inlineStr">
        <is>
          <t>SOLLEFTEÅ</t>
        </is>
      </c>
      <c r="F13668" t="inlineStr">
        <is>
          <t>Kyrkan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25799-2024</t>
        </is>
      </c>
      <c r="B13669" s="1" t="n">
        <v>45463</v>
      </c>
      <c r="C13669" s="1" t="n">
        <v>45657</v>
      </c>
      <c r="D13669" t="inlineStr">
        <is>
          <t>VÄSTERNORRLANDS LÄN</t>
        </is>
      </c>
      <c r="E13669" t="inlineStr">
        <is>
          <t>SOLLEFTEÅ</t>
        </is>
      </c>
      <c r="F13669" t="inlineStr">
        <is>
          <t>Kommuner</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25508-2024</t>
        </is>
      </c>
      <c r="B13670" s="1" t="n">
        <v>45463</v>
      </c>
      <c r="C13670" s="1" t="n">
        <v>45657</v>
      </c>
      <c r="D13670" t="inlineStr">
        <is>
          <t>VÄSTERNORRLANDS LÄN</t>
        </is>
      </c>
      <c r="E13670" t="inlineStr">
        <is>
          <t>ÖRNSKÖLDSVIK</t>
        </is>
      </c>
      <c r="F13670" t="inlineStr">
        <is>
          <t>Holmen skog AB</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25492-2024</t>
        </is>
      </c>
      <c r="B13671" s="1" t="n">
        <v>45463</v>
      </c>
      <c r="C13671" s="1" t="n">
        <v>45657</v>
      </c>
      <c r="D13671" t="inlineStr">
        <is>
          <t>VÄSTERNORRLANDS LÄN</t>
        </is>
      </c>
      <c r="E13671" t="inlineStr">
        <is>
          <t>ÖRNSKÖLDSVIK</t>
        </is>
      </c>
      <c r="F13671" t="inlineStr">
        <is>
          <t>Holmen skog AB</t>
        </is>
      </c>
      <c r="G13671" t="n">
        <v>18.2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25424-2024</t>
        </is>
      </c>
      <c r="B13672" s="1" t="n">
        <v>45463</v>
      </c>
      <c r="C13672" s="1" t="n">
        <v>45657</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25405-2024</t>
        </is>
      </c>
      <c r="B13673" s="1" t="n">
        <v>45463</v>
      </c>
      <c r="C13673" s="1" t="n">
        <v>45657</v>
      </c>
      <c r="D13673" t="inlineStr">
        <is>
          <t>VÄSTERNORRLANDS LÄN</t>
        </is>
      </c>
      <c r="E13673" t="inlineStr">
        <is>
          <t>ÖRNSKÖLDSVIK</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25483-2024</t>
        </is>
      </c>
      <c r="B13674" s="1" t="n">
        <v>45463</v>
      </c>
      <c r="C13674" s="1" t="n">
        <v>45657</v>
      </c>
      <c r="D13674" t="inlineStr">
        <is>
          <t>VÄSTERNORRLANDS LÄN</t>
        </is>
      </c>
      <c r="E13674" t="inlineStr">
        <is>
          <t>ÖRNSKÖLDSVIK</t>
        </is>
      </c>
      <c r="F13674" t="inlineStr">
        <is>
          <t>Holmen skog AB</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25470-2024</t>
        </is>
      </c>
      <c r="B13675" s="1" t="n">
        <v>45463</v>
      </c>
      <c r="C13675" s="1" t="n">
        <v>45657</v>
      </c>
      <c r="D13675" t="inlineStr">
        <is>
          <t>VÄSTERNORRLANDS LÄN</t>
        </is>
      </c>
      <c r="E13675" t="inlineStr">
        <is>
          <t>SUNDSVALL</t>
        </is>
      </c>
      <c r="F13675" t="inlineStr">
        <is>
          <t>Holmen skog AB</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25481-2024</t>
        </is>
      </c>
      <c r="B13676" s="1" t="n">
        <v>45463</v>
      </c>
      <c r="C13676" s="1" t="n">
        <v>45657</v>
      </c>
      <c r="D13676" t="inlineStr">
        <is>
          <t>VÄSTERNORRLANDS LÄN</t>
        </is>
      </c>
      <c r="E13676" t="inlineStr">
        <is>
          <t>ÖRNSKÖLDSVIK</t>
        </is>
      </c>
      <c r="F13676" t="inlineStr">
        <is>
          <t>Holmen skog AB</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25416-2024</t>
        </is>
      </c>
      <c r="B13677" s="1" t="n">
        <v>45463</v>
      </c>
      <c r="C13677" s="1" t="n">
        <v>45657</v>
      </c>
      <c r="D13677" t="inlineStr">
        <is>
          <t>VÄSTERNORRLANDS LÄN</t>
        </is>
      </c>
      <c r="E13677" t="inlineStr">
        <is>
          <t>ÖRNSKÖLDSVIK</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25406-2024</t>
        </is>
      </c>
      <c r="B13678" s="1" t="n">
        <v>45463</v>
      </c>
      <c r="C13678" s="1" t="n">
        <v>45657</v>
      </c>
      <c r="D13678" t="inlineStr">
        <is>
          <t>VÄSTERNORRLANDS LÄN</t>
        </is>
      </c>
      <c r="E13678" t="inlineStr">
        <is>
          <t>ÖRNSKÖLDSVIK</t>
        </is>
      </c>
      <c r="F13678" t="inlineStr">
        <is>
          <t>Holmen skog AB</t>
        </is>
      </c>
      <c r="G13678" t="n">
        <v>10.5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25769-2024</t>
        </is>
      </c>
      <c r="B13679" s="1" t="n">
        <v>45466</v>
      </c>
      <c r="C13679" s="1" t="n">
        <v>45657</v>
      </c>
      <c r="D13679" t="inlineStr">
        <is>
          <t>VÄSTERNORRLANDS LÄN</t>
        </is>
      </c>
      <c r="E13679" t="inlineStr">
        <is>
          <t>KRAMFORS</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25847-2024</t>
        </is>
      </c>
      <c r="B13680" s="1" t="n">
        <v>45467</v>
      </c>
      <c r="C13680" s="1" t="n">
        <v>45657</v>
      </c>
      <c r="D13680" t="inlineStr">
        <is>
          <t>VÄSTERNORRLANDS LÄN</t>
        </is>
      </c>
      <c r="E13680" t="inlineStr">
        <is>
          <t>SOLLEFTEÅ</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25851-2024</t>
        </is>
      </c>
      <c r="B13681" s="1" t="n">
        <v>45467</v>
      </c>
      <c r="C13681" s="1" t="n">
        <v>45657</v>
      </c>
      <c r="D13681" t="inlineStr">
        <is>
          <t>VÄSTERNORRLANDS LÄN</t>
        </is>
      </c>
      <c r="E13681" t="inlineStr">
        <is>
          <t>SOLLEFTEÅ</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25926-2024</t>
        </is>
      </c>
      <c r="B13682" s="1" t="n">
        <v>45467</v>
      </c>
      <c r="C13682" s="1" t="n">
        <v>45657</v>
      </c>
      <c r="D13682" t="inlineStr">
        <is>
          <t>VÄSTERNORRLANDS LÄN</t>
        </is>
      </c>
      <c r="E13682" t="inlineStr">
        <is>
          <t>ÖRNSKÖLDSVIK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25907-2024</t>
        </is>
      </c>
      <c r="B13683" s="1" t="n">
        <v>45467</v>
      </c>
      <c r="C13683" s="1" t="n">
        <v>45657</v>
      </c>
      <c r="D13683" t="inlineStr">
        <is>
          <t>VÄSTERNORRLANDS LÄN</t>
        </is>
      </c>
      <c r="E13683" t="inlineStr">
        <is>
          <t>SOLLEFTEÅ</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25920-2024</t>
        </is>
      </c>
      <c r="B13684" s="1" t="n">
        <v>45467</v>
      </c>
      <c r="C13684" s="1" t="n">
        <v>45657</v>
      </c>
      <c r="D13684" t="inlineStr">
        <is>
          <t>VÄSTERNORRLANDS LÄN</t>
        </is>
      </c>
      <c r="E13684" t="inlineStr">
        <is>
          <t>ÖRNSKÖLDSVIK</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26000-2024</t>
        </is>
      </c>
      <c r="B13685" s="1" t="n">
        <v>45468</v>
      </c>
      <c r="C13685" s="1" t="n">
        <v>45657</v>
      </c>
      <c r="D13685" t="inlineStr">
        <is>
          <t>VÄSTERNORRLANDS LÄN</t>
        </is>
      </c>
      <c r="E13685" t="inlineStr">
        <is>
          <t>KRAMFORS</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26013-2024</t>
        </is>
      </c>
      <c r="B13686" s="1" t="n">
        <v>45467</v>
      </c>
      <c r="C13686" s="1" t="n">
        <v>45657</v>
      </c>
      <c r="D13686" t="inlineStr">
        <is>
          <t>VÄSTERNORRLANDS LÄN</t>
        </is>
      </c>
      <c r="E13686" t="inlineStr">
        <is>
          <t>ÅNGE</t>
        </is>
      </c>
      <c r="F13686" t="inlineStr">
        <is>
          <t>SCA</t>
        </is>
      </c>
      <c r="G13686" t="n">
        <v>6.8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26017-2024</t>
        </is>
      </c>
      <c r="B13687" s="1" t="n">
        <v>45468</v>
      </c>
      <c r="C13687" s="1" t="n">
        <v>45657</v>
      </c>
      <c r="D13687" t="inlineStr">
        <is>
          <t>VÄSTERNORRLANDS LÄN</t>
        </is>
      </c>
      <c r="E13687" t="inlineStr">
        <is>
          <t>ÅNGE</t>
        </is>
      </c>
      <c r="F13687" t="inlineStr">
        <is>
          <t>SCA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26021-2024</t>
        </is>
      </c>
      <c r="B13688" s="1" t="n">
        <v>45467</v>
      </c>
      <c r="C13688" s="1" t="n">
        <v>45657</v>
      </c>
      <c r="D13688" t="inlineStr">
        <is>
          <t>VÄSTERNORRLANDS LÄN</t>
        </is>
      </c>
      <c r="E13688" t="inlineStr">
        <is>
          <t>ÅNGE</t>
        </is>
      </c>
      <c r="F13688" t="inlineStr">
        <is>
          <t>SCA</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25888-2024</t>
        </is>
      </c>
      <c r="B13689" s="1" t="n">
        <v>45467</v>
      </c>
      <c r="C13689" s="1" t="n">
        <v>45657</v>
      </c>
      <c r="D13689" t="inlineStr">
        <is>
          <t>VÄSTERNORRLANDS LÄN</t>
        </is>
      </c>
      <c r="E13689" t="inlineStr">
        <is>
          <t>ÖRNSKÖLDSVIK</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25965-2024</t>
        </is>
      </c>
      <c r="B13690" s="1" t="n">
        <v>45467</v>
      </c>
      <c r="C13690" s="1" t="n">
        <v>45657</v>
      </c>
      <c r="D13690" t="inlineStr">
        <is>
          <t>VÄSTERNORRLANDS LÄN</t>
        </is>
      </c>
      <c r="E13690" t="inlineStr">
        <is>
          <t>ÖRNSKÖLDSVIK</t>
        </is>
      </c>
      <c r="F13690" t="inlineStr">
        <is>
          <t>Holmen skog AB</t>
        </is>
      </c>
      <c r="G13690" t="n">
        <v>16.5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25985-2024</t>
        </is>
      </c>
      <c r="B13691" s="1" t="n">
        <v>45467</v>
      </c>
      <c r="C13691" s="1" t="n">
        <v>45657</v>
      </c>
      <c r="D13691" t="inlineStr">
        <is>
          <t>VÄSTERNORRLANDS LÄN</t>
        </is>
      </c>
      <c r="E13691" t="inlineStr">
        <is>
          <t>ÖRNSKÖLDSVIK</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25997-2024</t>
        </is>
      </c>
      <c r="B13692" s="1" t="n">
        <v>45467</v>
      </c>
      <c r="C13692" s="1" t="n">
        <v>45657</v>
      </c>
      <c r="D13692" t="inlineStr">
        <is>
          <t>VÄSTERNORRLANDS LÄN</t>
        </is>
      </c>
      <c r="E13692" t="inlineStr">
        <is>
          <t>KRAMFORS</t>
        </is>
      </c>
      <c r="G13692" t="n">
        <v>7.5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26005-2024</t>
        </is>
      </c>
      <c r="B13693" s="1" t="n">
        <v>45468</v>
      </c>
      <c r="C13693" s="1" t="n">
        <v>45657</v>
      </c>
      <c r="D13693" t="inlineStr">
        <is>
          <t>VÄSTERNORRLANDS LÄN</t>
        </is>
      </c>
      <c r="E13693" t="inlineStr">
        <is>
          <t>SOLLEFTEÅ</t>
        </is>
      </c>
      <c r="F13693" t="inlineStr">
        <is>
          <t>SCA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26010-2024</t>
        </is>
      </c>
      <c r="B13694" s="1" t="n">
        <v>45468</v>
      </c>
      <c r="C13694" s="1" t="n">
        <v>45657</v>
      </c>
      <c r="D13694" t="inlineStr">
        <is>
          <t>VÄSTERNORRLANDS LÄN</t>
        </is>
      </c>
      <c r="E13694" t="inlineStr">
        <is>
          <t>ÅNGE</t>
        </is>
      </c>
      <c r="F13694" t="inlineStr">
        <is>
          <t>SCA</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25982-2024</t>
        </is>
      </c>
      <c r="B13695" s="1" t="n">
        <v>45467</v>
      </c>
      <c r="C13695" s="1" t="n">
        <v>45657</v>
      </c>
      <c r="D13695" t="inlineStr">
        <is>
          <t>VÄSTERNORRLANDS LÄN</t>
        </is>
      </c>
      <c r="E13695" t="inlineStr">
        <is>
          <t>SUNDSVALL</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25986-2024</t>
        </is>
      </c>
      <c r="B13696" s="1" t="n">
        <v>45467</v>
      </c>
      <c r="C13696" s="1" t="n">
        <v>45657</v>
      </c>
      <c r="D13696" t="inlineStr">
        <is>
          <t>VÄSTERNORRLANDS LÄN</t>
        </is>
      </c>
      <c r="E13696" t="inlineStr">
        <is>
          <t>ÖRNSKÖLDSVIK</t>
        </is>
      </c>
      <c r="G13696" t="n">
        <v>5.4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25998-2024</t>
        </is>
      </c>
      <c r="B13697" s="1" t="n">
        <v>45468</v>
      </c>
      <c r="C13697" s="1" t="n">
        <v>45657</v>
      </c>
      <c r="D13697" t="inlineStr">
        <is>
          <t>VÄSTERNORRLANDS LÄN</t>
        </is>
      </c>
      <c r="E13697" t="inlineStr">
        <is>
          <t>KRAMFORS</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26011-2024</t>
        </is>
      </c>
      <c r="B13698" s="1" t="n">
        <v>45468</v>
      </c>
      <c r="C13698" s="1" t="n">
        <v>45657</v>
      </c>
      <c r="D13698" t="inlineStr">
        <is>
          <t>VÄSTERNORRLANDS LÄN</t>
        </is>
      </c>
      <c r="E13698" t="inlineStr">
        <is>
          <t>ÅNGE</t>
        </is>
      </c>
      <c r="F13698" t="inlineStr">
        <is>
          <t>SCA</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26015-2024</t>
        </is>
      </c>
      <c r="B13699" s="1" t="n">
        <v>45468</v>
      </c>
      <c r="C13699" s="1" t="n">
        <v>45657</v>
      </c>
      <c r="D13699" t="inlineStr">
        <is>
          <t>VÄSTERNORRLANDS LÄN</t>
        </is>
      </c>
      <c r="E13699" t="inlineStr">
        <is>
          <t>ÅNGE</t>
        </is>
      </c>
      <c r="F13699" t="inlineStr">
        <is>
          <t>SCA</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26019-2024</t>
        </is>
      </c>
      <c r="B13700" s="1" t="n">
        <v>45468</v>
      </c>
      <c r="C13700" s="1" t="n">
        <v>45657</v>
      </c>
      <c r="D13700" t="inlineStr">
        <is>
          <t>VÄSTERNORRLANDS LÄN</t>
        </is>
      </c>
      <c r="E13700" t="inlineStr">
        <is>
          <t>ÅNGE</t>
        </is>
      </c>
      <c r="F13700" t="inlineStr">
        <is>
          <t>SCA</t>
        </is>
      </c>
      <c r="G13700" t="n">
        <v>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26012-2024</t>
        </is>
      </c>
      <c r="B13701" s="1" t="n">
        <v>45467</v>
      </c>
      <c r="C13701" s="1" t="n">
        <v>45657</v>
      </c>
      <c r="D13701" t="inlineStr">
        <is>
          <t>VÄSTERNORRLANDS LÄN</t>
        </is>
      </c>
      <c r="E13701" t="inlineStr">
        <is>
          <t>ÅNGE</t>
        </is>
      </c>
      <c r="F13701" t="inlineStr">
        <is>
          <t>SCA</t>
        </is>
      </c>
      <c r="G13701" t="n">
        <v>7.5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26016-2024</t>
        </is>
      </c>
      <c r="B13702" s="1" t="n">
        <v>45467</v>
      </c>
      <c r="C13702" s="1" t="n">
        <v>45657</v>
      </c>
      <c r="D13702" t="inlineStr">
        <is>
          <t>VÄSTERNORRLANDS LÄN</t>
        </is>
      </c>
      <c r="E13702" t="inlineStr">
        <is>
          <t>ÅNGE</t>
        </is>
      </c>
      <c r="F13702" t="inlineStr">
        <is>
          <t>SCA</t>
        </is>
      </c>
      <c r="G13702" t="n">
        <v>9.800000000000001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26014-2024</t>
        </is>
      </c>
      <c r="B13703" s="1" t="n">
        <v>45468</v>
      </c>
      <c r="C13703" s="1" t="n">
        <v>45657</v>
      </c>
      <c r="D13703" t="inlineStr">
        <is>
          <t>VÄSTERNORRLANDS LÄN</t>
        </is>
      </c>
      <c r="E13703" t="inlineStr">
        <is>
          <t>ÅNGE</t>
        </is>
      </c>
      <c r="F13703" t="inlineStr">
        <is>
          <t>SCA</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26018-2024</t>
        </is>
      </c>
      <c r="B13704" s="1" t="n">
        <v>45468</v>
      </c>
      <c r="C13704" s="1" t="n">
        <v>45657</v>
      </c>
      <c r="D13704" t="inlineStr">
        <is>
          <t>VÄSTERNORRLANDS LÄN</t>
        </is>
      </c>
      <c r="E13704" t="inlineStr">
        <is>
          <t>ÅNGE</t>
        </is>
      </c>
      <c r="F13704" t="inlineStr">
        <is>
          <t>SCA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26022-2024</t>
        </is>
      </c>
      <c r="B13705" s="1" t="n">
        <v>45467</v>
      </c>
      <c r="C13705" s="1" t="n">
        <v>45657</v>
      </c>
      <c r="D13705" t="inlineStr">
        <is>
          <t>VÄSTERNORRLANDS LÄN</t>
        </is>
      </c>
      <c r="E13705" t="inlineStr">
        <is>
          <t>SOLLEFTEÅ</t>
        </is>
      </c>
      <c r="F13705" t="inlineStr">
        <is>
          <t>SCA</t>
        </is>
      </c>
      <c r="G13705" t="n">
        <v>6.8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26030-2024</t>
        </is>
      </c>
      <c r="B13706" s="1" t="n">
        <v>45468</v>
      </c>
      <c r="C13706" s="1" t="n">
        <v>45657</v>
      </c>
      <c r="D13706" t="inlineStr">
        <is>
          <t>VÄSTERNORRLANDS LÄN</t>
        </is>
      </c>
      <c r="E13706" t="inlineStr">
        <is>
          <t>SUNDSVALL</t>
        </is>
      </c>
      <c r="F13706" t="inlineStr">
        <is>
          <t>SCA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26046-2024</t>
        </is>
      </c>
      <c r="B13707" s="1" t="n">
        <v>45467</v>
      </c>
      <c r="C13707" s="1" t="n">
        <v>45657</v>
      </c>
      <c r="D13707" t="inlineStr">
        <is>
          <t>VÄSTERNORRLANDS LÄN</t>
        </is>
      </c>
      <c r="E13707" t="inlineStr">
        <is>
          <t>SOLLEFTEÅ</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26023-2024</t>
        </is>
      </c>
      <c r="B13708" s="1" t="n">
        <v>45468</v>
      </c>
      <c r="C13708" s="1" t="n">
        <v>45657</v>
      </c>
      <c r="D13708" t="inlineStr">
        <is>
          <t>VÄSTERNORRLANDS LÄN</t>
        </is>
      </c>
      <c r="E13708" t="inlineStr">
        <is>
          <t>SOLLEFTEÅ</t>
        </is>
      </c>
      <c r="F13708" t="inlineStr">
        <is>
          <t>SCA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26031-2024</t>
        </is>
      </c>
      <c r="B13709" s="1" t="n">
        <v>45467</v>
      </c>
      <c r="C13709" s="1" t="n">
        <v>45657</v>
      </c>
      <c r="D13709" t="inlineStr">
        <is>
          <t>VÄSTERNORRLANDS LÄN</t>
        </is>
      </c>
      <c r="E13709" t="inlineStr">
        <is>
          <t>SUNDSVALL</t>
        </is>
      </c>
      <c r="F13709" t="inlineStr">
        <is>
          <t>SCA</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26050-2024</t>
        </is>
      </c>
      <c r="B13710" s="1" t="n">
        <v>45467</v>
      </c>
      <c r="C13710" s="1" t="n">
        <v>45657</v>
      </c>
      <c r="D13710" t="inlineStr">
        <is>
          <t>VÄSTERNORRLANDS LÄN</t>
        </is>
      </c>
      <c r="E13710" t="inlineStr">
        <is>
          <t>ÖRNSKÖLDSVIK</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26245-2024</t>
        </is>
      </c>
      <c r="B13711" s="1" t="n">
        <v>45468</v>
      </c>
      <c r="C13711" s="1" t="n">
        <v>45657</v>
      </c>
      <c r="D13711" t="inlineStr">
        <is>
          <t>VÄSTERNORRLANDS LÄN</t>
        </is>
      </c>
      <c r="E13711" t="inlineStr">
        <is>
          <t>ÖRNSKÖLDSVIK</t>
        </is>
      </c>
      <c r="F13711" t="inlineStr">
        <is>
          <t>Holmen skog AB</t>
        </is>
      </c>
      <c r="G13711" t="n">
        <v>78.59999999999999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26391-2024</t>
        </is>
      </c>
      <c r="B13712" s="1" t="n">
        <v>45468</v>
      </c>
      <c r="C13712" s="1" t="n">
        <v>45657</v>
      </c>
      <c r="D13712" t="inlineStr">
        <is>
          <t>VÄSTERNORRLANDS LÄN</t>
        </is>
      </c>
      <c r="E13712" t="inlineStr">
        <is>
          <t>SOLLEFTEÅ</t>
        </is>
      </c>
      <c r="G13712" t="n">
        <v>5.2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26325-2024</t>
        </is>
      </c>
      <c r="B13713" s="1" t="n">
        <v>45468</v>
      </c>
      <c r="C13713" s="1" t="n">
        <v>45657</v>
      </c>
      <c r="D13713" t="inlineStr">
        <is>
          <t>VÄSTERNORRLANDS LÄN</t>
        </is>
      </c>
      <c r="E13713" t="inlineStr">
        <is>
          <t>SOLLEFTEÅ</t>
        </is>
      </c>
      <c r="F13713" t="inlineStr">
        <is>
          <t>SCA</t>
        </is>
      </c>
      <c r="G13713" t="n">
        <v>11.8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26321-2024</t>
        </is>
      </c>
      <c r="B13714" s="1" t="n">
        <v>45468</v>
      </c>
      <c r="C13714" s="1" t="n">
        <v>45657</v>
      </c>
      <c r="D13714" t="inlineStr">
        <is>
          <t>VÄSTERNORRLANDS LÄN</t>
        </is>
      </c>
      <c r="E13714" t="inlineStr">
        <is>
          <t>ÅNGE</t>
        </is>
      </c>
      <c r="G13714" t="n">
        <v>9.800000000000001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26263-2024</t>
        </is>
      </c>
      <c r="B13715" s="1" t="n">
        <v>45468</v>
      </c>
      <c r="C13715" s="1" t="n">
        <v>45657</v>
      </c>
      <c r="D13715" t="inlineStr">
        <is>
          <t>VÄSTERNORRLANDS LÄN</t>
        </is>
      </c>
      <c r="E13715" t="inlineStr">
        <is>
          <t>ÖRNSKÖLDSVIK</t>
        </is>
      </c>
      <c r="F13715" t="inlineStr">
        <is>
          <t>Holmen skog AB</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26250-2024</t>
        </is>
      </c>
      <c r="B13716" s="1" t="n">
        <v>45468</v>
      </c>
      <c r="C13716" s="1" t="n">
        <v>45657</v>
      </c>
      <c r="D13716" t="inlineStr">
        <is>
          <t>VÄSTERNORRLANDS LÄN</t>
        </is>
      </c>
      <c r="E13716" t="inlineStr">
        <is>
          <t>SUNDSVALL</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26323-2024</t>
        </is>
      </c>
      <c r="B13717" s="1" t="n">
        <v>45469</v>
      </c>
      <c r="C13717" s="1" t="n">
        <v>45657</v>
      </c>
      <c r="D13717" t="inlineStr">
        <is>
          <t>VÄSTERNORRLANDS LÄN</t>
        </is>
      </c>
      <c r="E13717" t="inlineStr">
        <is>
          <t>SOLLEFTEÅ</t>
        </is>
      </c>
      <c r="G13717" t="n">
        <v>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26319-2024</t>
        </is>
      </c>
      <c r="B13718" s="1" t="n">
        <v>45469</v>
      </c>
      <c r="C13718" s="1" t="n">
        <v>45657</v>
      </c>
      <c r="D13718" t="inlineStr">
        <is>
          <t>VÄSTERNORRLANDS LÄN</t>
        </is>
      </c>
      <c r="E13718" t="inlineStr">
        <is>
          <t>SOLLEFTEÅ</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26200-2024</t>
        </is>
      </c>
      <c r="B13719" s="1" t="n">
        <v>45468</v>
      </c>
      <c r="C13719" s="1" t="n">
        <v>45657</v>
      </c>
      <c r="D13719" t="inlineStr">
        <is>
          <t>VÄSTERNORRLANDS LÄN</t>
        </is>
      </c>
      <c r="E13719" t="inlineStr">
        <is>
          <t>SUNDSVALL</t>
        </is>
      </c>
      <c r="G13719" t="n">
        <v>6.7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26172-2024</t>
        </is>
      </c>
      <c r="B13720" s="1" t="n">
        <v>45468</v>
      </c>
      <c r="C13720" s="1" t="n">
        <v>45657</v>
      </c>
      <c r="D13720" t="inlineStr">
        <is>
          <t>VÄSTERNORRLANDS LÄN</t>
        </is>
      </c>
      <c r="E13720" t="inlineStr">
        <is>
          <t>SOLLEFTEÅ</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26229-2024</t>
        </is>
      </c>
      <c r="B13721" s="1" t="n">
        <v>45468</v>
      </c>
      <c r="C13721" s="1" t="n">
        <v>45657</v>
      </c>
      <c r="D13721" t="inlineStr">
        <is>
          <t>VÄSTERNORRLANDS LÄN</t>
        </is>
      </c>
      <c r="E13721" t="inlineStr">
        <is>
          <t>SUNDSVALL</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26161-2024</t>
        </is>
      </c>
      <c r="B13722" s="1" t="n">
        <v>45468</v>
      </c>
      <c r="C13722" s="1" t="n">
        <v>45657</v>
      </c>
      <c r="D13722" t="inlineStr">
        <is>
          <t>VÄSTERNORRLANDS LÄN</t>
        </is>
      </c>
      <c r="E13722" t="inlineStr">
        <is>
          <t>ÖRNSKÖLDSVIK</t>
        </is>
      </c>
      <c r="F13722" t="inlineStr">
        <is>
          <t>Holmen skog AB</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26163-2024</t>
        </is>
      </c>
      <c r="B13723" s="1" t="n">
        <v>45468</v>
      </c>
      <c r="C13723" s="1" t="n">
        <v>45657</v>
      </c>
      <c r="D13723" t="inlineStr">
        <is>
          <t>VÄSTERNORRLANDS LÄN</t>
        </is>
      </c>
      <c r="E13723" t="inlineStr">
        <is>
          <t>SOLLEFTEÅ</t>
        </is>
      </c>
      <c r="G13723" t="n">
        <v>16.9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26125-2024</t>
        </is>
      </c>
      <c r="B13724" s="1" t="n">
        <v>45468</v>
      </c>
      <c r="C13724" s="1" t="n">
        <v>45657</v>
      </c>
      <c r="D13724" t="inlineStr">
        <is>
          <t>VÄSTERNORRLANDS LÄN</t>
        </is>
      </c>
      <c r="E13724" t="inlineStr">
        <is>
          <t>KRAMFORS</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26097-2024</t>
        </is>
      </c>
      <c r="B13725" s="1" t="n">
        <v>45468</v>
      </c>
      <c r="C13725" s="1" t="n">
        <v>45657</v>
      </c>
      <c r="D13725" t="inlineStr">
        <is>
          <t>VÄSTERNORRLANDS LÄN</t>
        </is>
      </c>
      <c r="E13725" t="inlineStr">
        <is>
          <t>ÖRNSKÖLDSVIK</t>
        </is>
      </c>
      <c r="F13725" t="inlineStr">
        <is>
          <t>Holmen skog AB</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26087-2024</t>
        </is>
      </c>
      <c r="B13726" s="1" t="n">
        <v>45468</v>
      </c>
      <c r="C13726" s="1" t="n">
        <v>45657</v>
      </c>
      <c r="D13726" t="inlineStr">
        <is>
          <t>VÄSTERNORRLANDS LÄN</t>
        </is>
      </c>
      <c r="E13726" t="inlineStr">
        <is>
          <t>SUNDSVALL</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26084-2024</t>
        </is>
      </c>
      <c r="B13727" s="1" t="n">
        <v>45468</v>
      </c>
      <c r="C13727" s="1" t="n">
        <v>45657</v>
      </c>
      <c r="D13727" t="inlineStr">
        <is>
          <t>VÄSTERNORRLANDS LÄN</t>
        </is>
      </c>
      <c r="E13727" t="inlineStr">
        <is>
          <t>SUNDSVALL</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26059-2024</t>
        </is>
      </c>
      <c r="B13728" s="1" t="n">
        <v>45468</v>
      </c>
      <c r="C13728" s="1" t="n">
        <v>45657</v>
      </c>
      <c r="D13728" t="inlineStr">
        <is>
          <t>VÄSTERNORRLANDS LÄN</t>
        </is>
      </c>
      <c r="E13728" t="inlineStr">
        <is>
          <t>ÖRNSKÖLDSVIK</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26055-2024</t>
        </is>
      </c>
      <c r="B13729" s="1" t="n">
        <v>45468</v>
      </c>
      <c r="C13729" s="1" t="n">
        <v>45657</v>
      </c>
      <c r="D13729" t="inlineStr">
        <is>
          <t>VÄSTERNORRLANDS LÄN</t>
        </is>
      </c>
      <c r="E13729" t="inlineStr">
        <is>
          <t>ÖRNSKÖLDSVIK</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26296-2024</t>
        </is>
      </c>
      <c r="B13730" s="1" t="n">
        <v>45468</v>
      </c>
      <c r="C13730" s="1" t="n">
        <v>45657</v>
      </c>
      <c r="D13730" t="inlineStr">
        <is>
          <t>VÄSTERNORRLANDS LÄN</t>
        </is>
      </c>
      <c r="E13730" t="inlineStr">
        <is>
          <t>SOLLEFTEÅ</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26284-2024</t>
        </is>
      </c>
      <c r="B13731" s="1" t="n">
        <v>45468</v>
      </c>
      <c r="C13731" s="1" t="n">
        <v>45657</v>
      </c>
      <c r="D13731" t="inlineStr">
        <is>
          <t>VÄSTERNORRLANDS LÄN</t>
        </is>
      </c>
      <c r="E13731" t="inlineStr">
        <is>
          <t>KRAMFORS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26268-2024</t>
        </is>
      </c>
      <c r="B13732" s="1" t="n">
        <v>45468</v>
      </c>
      <c r="C13732" s="1" t="n">
        <v>45657</v>
      </c>
      <c r="D13732" t="inlineStr">
        <is>
          <t>VÄSTERNORRLANDS LÄN</t>
        </is>
      </c>
      <c r="E13732" t="inlineStr">
        <is>
          <t>ÖRNSKÖLDSVIK</t>
        </is>
      </c>
      <c r="F13732" t="inlineStr">
        <is>
          <t>Holmen skog AB</t>
        </is>
      </c>
      <c r="G13732" t="n">
        <v>7.2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26234-2024</t>
        </is>
      </c>
      <c r="B13733" s="1" t="n">
        <v>45468</v>
      </c>
      <c r="C13733" s="1" t="n">
        <v>45657</v>
      </c>
      <c r="D13733" t="inlineStr">
        <is>
          <t>VÄSTERNORRLANDS LÄN</t>
        </is>
      </c>
      <c r="E13733" t="inlineStr">
        <is>
          <t>SUNDSVALL</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26069-2024</t>
        </is>
      </c>
      <c r="B13734" s="1" t="n">
        <v>45468</v>
      </c>
      <c r="C13734" s="1" t="n">
        <v>45657</v>
      </c>
      <c r="D13734" t="inlineStr">
        <is>
          <t>VÄSTERNORRLANDS LÄN</t>
        </is>
      </c>
      <c r="E13734" t="inlineStr">
        <is>
          <t>ÖRNSKÖLDSVIK</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26064-2024</t>
        </is>
      </c>
      <c r="B13735" s="1" t="n">
        <v>45468</v>
      </c>
      <c r="C13735" s="1" t="n">
        <v>45657</v>
      </c>
      <c r="D13735" t="inlineStr">
        <is>
          <t>VÄSTERNORRLANDS LÄN</t>
        </is>
      </c>
      <c r="E13735" t="inlineStr">
        <is>
          <t>ÖRNSKÖLDSVIK</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26052-2024</t>
        </is>
      </c>
      <c r="B13736" s="1" t="n">
        <v>45468</v>
      </c>
      <c r="C13736" s="1" t="n">
        <v>45657</v>
      </c>
      <c r="D13736" t="inlineStr">
        <is>
          <t>VÄSTERNORRLANDS LÄN</t>
        </is>
      </c>
      <c r="E13736" t="inlineStr">
        <is>
          <t>ÖRNSKÖLDSVIK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26070-2024</t>
        </is>
      </c>
      <c r="B13737" s="1" t="n">
        <v>45468</v>
      </c>
      <c r="C13737" s="1" t="n">
        <v>45657</v>
      </c>
      <c r="D13737" t="inlineStr">
        <is>
          <t>VÄSTERNORRLANDS LÄN</t>
        </is>
      </c>
      <c r="E13737" t="inlineStr">
        <is>
          <t>KRAMFORS</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26065-2024</t>
        </is>
      </c>
      <c r="B13738" s="1" t="n">
        <v>45468</v>
      </c>
      <c r="C13738" s="1" t="n">
        <v>45657</v>
      </c>
      <c r="D13738" t="inlineStr">
        <is>
          <t>VÄSTERNORRLANDS LÄN</t>
        </is>
      </c>
      <c r="E13738" t="inlineStr">
        <is>
          <t>ÖRNSKÖLDSVIK</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26444-2024</t>
        </is>
      </c>
      <c r="B13739" s="1" t="n">
        <v>45469</v>
      </c>
      <c r="C13739" s="1" t="n">
        <v>45657</v>
      </c>
      <c r="D13739" t="inlineStr">
        <is>
          <t>VÄSTERNORRLANDS LÄN</t>
        </is>
      </c>
      <c r="E13739" t="inlineStr">
        <is>
          <t>SOLLEFTEÅ</t>
        </is>
      </c>
      <c r="F13739" t="inlineStr">
        <is>
          <t>Holmen skog AB</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26641-2024</t>
        </is>
      </c>
      <c r="B13740" s="1" t="n">
        <v>45470</v>
      </c>
      <c r="C13740" s="1" t="n">
        <v>45657</v>
      </c>
      <c r="D13740" t="inlineStr">
        <is>
          <t>VÄSTERNORRLANDS LÄN</t>
        </is>
      </c>
      <c r="E13740" t="inlineStr">
        <is>
          <t>ÅNGE</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26363-2024</t>
        </is>
      </c>
      <c r="B13741" s="1" t="n">
        <v>45469</v>
      </c>
      <c r="C13741" s="1" t="n">
        <v>45657</v>
      </c>
      <c r="D13741" t="inlineStr">
        <is>
          <t>VÄSTERNORRLANDS LÄN</t>
        </is>
      </c>
      <c r="E13741" t="inlineStr">
        <is>
          <t>ÖRNSKÖLDSVIK</t>
        </is>
      </c>
      <c r="F13741" t="inlineStr">
        <is>
          <t>Holmen skog AB</t>
        </is>
      </c>
      <c r="G13741" t="n">
        <v>13.7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26378-2024</t>
        </is>
      </c>
      <c r="B13742" s="1" t="n">
        <v>45469</v>
      </c>
      <c r="C13742" s="1" t="n">
        <v>45657</v>
      </c>
      <c r="D13742" t="inlineStr">
        <is>
          <t>VÄSTERNORRLANDS LÄN</t>
        </is>
      </c>
      <c r="E13742" t="inlineStr">
        <is>
          <t>ÖRNSKÖLDSVIK</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26382-2024</t>
        </is>
      </c>
      <c r="B13743" s="1" t="n">
        <v>45469</v>
      </c>
      <c r="C13743" s="1" t="n">
        <v>45657</v>
      </c>
      <c r="D13743" t="inlineStr">
        <is>
          <t>VÄSTERNORRLANDS LÄN</t>
        </is>
      </c>
      <c r="E13743" t="inlineStr">
        <is>
          <t>ÖRNSKÖLDSVIK</t>
        </is>
      </c>
      <c r="F13743" t="inlineStr">
        <is>
          <t>Holmen skog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26395-2024</t>
        </is>
      </c>
      <c r="B13744" s="1" t="n">
        <v>45469</v>
      </c>
      <c r="C13744" s="1" t="n">
        <v>45657</v>
      </c>
      <c r="D13744" t="inlineStr">
        <is>
          <t>VÄSTERNORRLANDS LÄN</t>
        </is>
      </c>
      <c r="E13744" t="inlineStr">
        <is>
          <t>ÖRNSKÖLDSVIK</t>
        </is>
      </c>
      <c r="F13744" t="inlineStr">
        <is>
          <t>Holmen skog AB</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26424-2024</t>
        </is>
      </c>
      <c r="B13745" s="1" t="n">
        <v>45469</v>
      </c>
      <c r="C13745" s="1" t="n">
        <v>45657</v>
      </c>
      <c r="D13745" t="inlineStr">
        <is>
          <t>VÄSTERNORRLANDS LÄN</t>
        </is>
      </c>
      <c r="E13745" t="inlineStr">
        <is>
          <t>ÅNGE</t>
        </is>
      </c>
      <c r="G13745" t="n">
        <v>11.4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26353-2024</t>
        </is>
      </c>
      <c r="B13746" s="1" t="n">
        <v>45469</v>
      </c>
      <c r="C13746" s="1" t="n">
        <v>45657</v>
      </c>
      <c r="D13746" t="inlineStr">
        <is>
          <t>VÄSTERNORRLANDS LÄN</t>
        </is>
      </c>
      <c r="E13746" t="inlineStr">
        <is>
          <t>SUNDSVALL</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26490-2024</t>
        </is>
      </c>
      <c r="B13747" s="1" t="n">
        <v>45469</v>
      </c>
      <c r="C13747" s="1" t="n">
        <v>45657</v>
      </c>
      <c r="D13747" t="inlineStr">
        <is>
          <t>VÄSTERNORRLANDS LÄN</t>
        </is>
      </c>
      <c r="E13747" t="inlineStr">
        <is>
          <t>ÅNGE</t>
        </is>
      </c>
      <c r="F13747" t="inlineStr">
        <is>
          <t>Sveaskog</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26401-2024</t>
        </is>
      </c>
      <c r="B13748" s="1" t="n">
        <v>45469</v>
      </c>
      <c r="C13748" s="1" t="n">
        <v>45657</v>
      </c>
      <c r="D13748" t="inlineStr">
        <is>
          <t>VÄSTERNORRLANDS LÄN</t>
        </is>
      </c>
      <c r="E13748" t="inlineStr">
        <is>
          <t>SUNDSVALL</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26530-2024</t>
        </is>
      </c>
      <c r="B13749" s="1" t="n">
        <v>45469</v>
      </c>
      <c r="C13749" s="1" t="n">
        <v>45657</v>
      </c>
      <c r="D13749" t="inlineStr">
        <is>
          <t>VÄSTERNORRLANDS LÄN</t>
        </is>
      </c>
      <c r="E13749" t="inlineStr">
        <is>
          <t>ÖRNSKÖLDSVIK</t>
        </is>
      </c>
      <c r="F13749" t="inlineStr">
        <is>
          <t>Holmen skog AB</t>
        </is>
      </c>
      <c r="G13749" t="n">
        <v>11.4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26566-2024</t>
        </is>
      </c>
      <c r="B13750" s="1" t="n">
        <v>45469</v>
      </c>
      <c r="C13750" s="1" t="n">
        <v>45657</v>
      </c>
      <c r="D13750" t="inlineStr">
        <is>
          <t>VÄSTERNORRLANDS LÄN</t>
        </is>
      </c>
      <c r="E13750" t="inlineStr">
        <is>
          <t>ÖRNSKÖLDSVIK</t>
        </is>
      </c>
      <c r="F13750" t="inlineStr">
        <is>
          <t>Holmen skog AB</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26578-2024</t>
        </is>
      </c>
      <c r="B13751" s="1" t="n">
        <v>45469</v>
      </c>
      <c r="C13751" s="1" t="n">
        <v>45657</v>
      </c>
      <c r="D13751" t="inlineStr">
        <is>
          <t>VÄSTERNORRLANDS LÄN</t>
        </is>
      </c>
      <c r="E13751" t="inlineStr">
        <is>
          <t>ÖRNSKÖLDSVIK</t>
        </is>
      </c>
      <c r="F13751" t="inlineStr">
        <is>
          <t>Holmen skog AB</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26590-2024</t>
        </is>
      </c>
      <c r="B13752" s="1" t="n">
        <v>45469</v>
      </c>
      <c r="C13752" s="1" t="n">
        <v>45657</v>
      </c>
      <c r="D13752" t="inlineStr">
        <is>
          <t>VÄSTERNORRLANDS LÄN</t>
        </is>
      </c>
      <c r="E13752" t="inlineStr">
        <is>
          <t>ÖRNSKÖLDSVIK</t>
        </is>
      </c>
      <c r="F13752" t="inlineStr">
        <is>
          <t>Holmen skog AB</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26500-2024</t>
        </is>
      </c>
      <c r="B13753" s="1" t="n">
        <v>45469</v>
      </c>
      <c r="C13753" s="1" t="n">
        <v>45657</v>
      </c>
      <c r="D13753" t="inlineStr">
        <is>
          <t>VÄSTERNORRLANDS LÄN</t>
        </is>
      </c>
      <c r="E13753" t="inlineStr">
        <is>
          <t>SOLLEFTEÅ</t>
        </is>
      </c>
      <c r="F13753" t="inlineStr">
        <is>
          <t>Holmen skog AB</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26639-2024</t>
        </is>
      </c>
      <c r="B13754" s="1" t="n">
        <v>45470</v>
      </c>
      <c r="C13754" s="1" t="n">
        <v>45657</v>
      </c>
      <c r="D13754" t="inlineStr">
        <is>
          <t>VÄSTERNORRLANDS LÄN</t>
        </is>
      </c>
      <c r="E13754" t="inlineStr">
        <is>
          <t>ÅNGE</t>
        </is>
      </c>
      <c r="G13754" t="n">
        <v>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26655-2024</t>
        </is>
      </c>
      <c r="B13755" s="1" t="n">
        <v>45469</v>
      </c>
      <c r="C13755" s="1" t="n">
        <v>45657</v>
      </c>
      <c r="D13755" t="inlineStr">
        <is>
          <t>VÄSTERNORRLANDS LÄN</t>
        </is>
      </c>
      <c r="E13755" t="inlineStr">
        <is>
          <t>SOLLEFTEÅ</t>
        </is>
      </c>
      <c r="F13755" t="inlineStr">
        <is>
          <t>SCA</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26515-2024</t>
        </is>
      </c>
      <c r="B13756" s="1" t="n">
        <v>45469</v>
      </c>
      <c r="C13756" s="1" t="n">
        <v>45657</v>
      </c>
      <c r="D13756" t="inlineStr">
        <is>
          <t>VÄSTERNORRLANDS LÄN</t>
        </is>
      </c>
      <c r="E13756" t="inlineStr">
        <is>
          <t>ÖRNSKÖLDSVIK</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26433-2024</t>
        </is>
      </c>
      <c r="B13757" s="1" t="n">
        <v>45469</v>
      </c>
      <c r="C13757" s="1" t="n">
        <v>45657</v>
      </c>
      <c r="D13757" t="inlineStr">
        <is>
          <t>VÄSTERNORRLANDS LÄN</t>
        </is>
      </c>
      <c r="E13757" t="inlineStr">
        <is>
          <t>ÖRNSKÖLDSVIK</t>
        </is>
      </c>
      <c r="F13757" t="inlineStr">
        <is>
          <t>Holmen skog AB</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26429-2024</t>
        </is>
      </c>
      <c r="B13758" s="1" t="n">
        <v>45469</v>
      </c>
      <c r="C13758" s="1" t="n">
        <v>45657</v>
      </c>
      <c r="D13758" t="inlineStr">
        <is>
          <t>VÄSTERNORRLANDS LÄN</t>
        </is>
      </c>
      <c r="E13758" t="inlineStr">
        <is>
          <t>SUNDSVALL</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26405-2024</t>
        </is>
      </c>
      <c r="B13759" s="1" t="n">
        <v>45469</v>
      </c>
      <c r="C13759" s="1" t="n">
        <v>45657</v>
      </c>
      <c r="D13759" t="inlineStr">
        <is>
          <t>VÄSTERNORRLANDS LÄN</t>
        </is>
      </c>
      <c r="E13759" t="inlineStr">
        <is>
          <t>ÖRNSKÖLDSVIK</t>
        </is>
      </c>
      <c r="F13759" t="inlineStr">
        <is>
          <t>Holmen skog AB</t>
        </is>
      </c>
      <c r="G13759" t="n">
        <v>14.9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26392-2024</t>
        </is>
      </c>
      <c r="B13760" s="1" t="n">
        <v>45469</v>
      </c>
      <c r="C13760" s="1" t="n">
        <v>45657</v>
      </c>
      <c r="D13760" t="inlineStr">
        <is>
          <t>VÄSTERNORRLANDS LÄN</t>
        </is>
      </c>
      <c r="E13760" t="inlineStr">
        <is>
          <t>ÖRNSKÖLDSVIK</t>
        </is>
      </c>
      <c r="F13760" t="inlineStr">
        <is>
          <t>Holmen skog AB</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26593-2024</t>
        </is>
      </c>
      <c r="B13761" s="1" t="n">
        <v>45469</v>
      </c>
      <c r="C13761" s="1" t="n">
        <v>45657</v>
      </c>
      <c r="D13761" t="inlineStr">
        <is>
          <t>VÄSTERNORRLANDS LÄN</t>
        </is>
      </c>
      <c r="E13761" t="inlineStr">
        <is>
          <t>ÖRNSKÖLDSVIK</t>
        </is>
      </c>
      <c r="F13761" t="inlineStr">
        <is>
          <t>Holmen skog AB</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26533-2024</t>
        </is>
      </c>
      <c r="B13762" s="1" t="n">
        <v>45469</v>
      </c>
      <c r="C13762" s="1" t="n">
        <v>45657</v>
      </c>
      <c r="D13762" t="inlineStr">
        <is>
          <t>VÄSTERNORRLANDS LÄN</t>
        </is>
      </c>
      <c r="E13762" t="inlineStr">
        <is>
          <t>HÄRNÖSAND</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26509-2024</t>
        </is>
      </c>
      <c r="B13763" s="1" t="n">
        <v>45469</v>
      </c>
      <c r="C13763" s="1" t="n">
        <v>45657</v>
      </c>
      <c r="D13763" t="inlineStr">
        <is>
          <t>VÄSTERNORRLANDS LÄN</t>
        </is>
      </c>
      <c r="E13763" t="inlineStr">
        <is>
          <t>HÄRNÖSAND</t>
        </is>
      </c>
      <c r="G13763" t="n">
        <v>9.199999999999999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26466-2024</t>
        </is>
      </c>
      <c r="B13764" s="1" t="n">
        <v>45469</v>
      </c>
      <c r="C13764" s="1" t="n">
        <v>45657</v>
      </c>
      <c r="D13764" t="inlineStr">
        <is>
          <t>VÄSTERNORRLANDS LÄN</t>
        </is>
      </c>
      <c r="E13764" t="inlineStr">
        <is>
          <t>ÖRNSKÖLDSVIK</t>
        </is>
      </c>
      <c r="F13764" t="inlineStr">
        <is>
          <t>Holmen skog AB</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26662-2024</t>
        </is>
      </c>
      <c r="B13765" s="1" t="n">
        <v>45469</v>
      </c>
      <c r="C13765" s="1" t="n">
        <v>45657</v>
      </c>
      <c r="D13765" t="inlineStr">
        <is>
          <t>VÄSTERNORRLANDS LÄN</t>
        </is>
      </c>
      <c r="E13765" t="inlineStr">
        <is>
          <t>TIMRÅ</t>
        </is>
      </c>
      <c r="F13765" t="inlineStr">
        <is>
          <t>SCA</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26661-2024</t>
        </is>
      </c>
      <c r="B13766" s="1" t="n">
        <v>45469</v>
      </c>
      <c r="C13766" s="1" t="n">
        <v>45657</v>
      </c>
      <c r="D13766" t="inlineStr">
        <is>
          <t>VÄSTERNORRLANDS LÄN</t>
        </is>
      </c>
      <c r="E13766" t="inlineStr">
        <is>
          <t>SUNDSVALL</t>
        </is>
      </c>
      <c r="F13766" t="inlineStr">
        <is>
          <t>SCA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26524-2024</t>
        </is>
      </c>
      <c r="B13767" s="1" t="n">
        <v>45469</v>
      </c>
      <c r="C13767" s="1" t="n">
        <v>45657</v>
      </c>
      <c r="D13767" t="inlineStr">
        <is>
          <t>VÄSTERNORRLANDS LÄN</t>
        </is>
      </c>
      <c r="E13767" t="inlineStr">
        <is>
          <t>KRAMFORS</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26544-2024</t>
        </is>
      </c>
      <c r="B13768" s="1" t="n">
        <v>45469</v>
      </c>
      <c r="C13768" s="1" t="n">
        <v>45657</v>
      </c>
      <c r="D13768" t="inlineStr">
        <is>
          <t>VÄSTERNORRLANDS LÄN</t>
        </is>
      </c>
      <c r="E13768" t="inlineStr">
        <is>
          <t>ÖRNSKÖLDSVIK</t>
        </is>
      </c>
      <c r="F13768" t="inlineStr">
        <is>
          <t>Holmen skog AB</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26640-2024</t>
        </is>
      </c>
      <c r="B13769" s="1" t="n">
        <v>45470</v>
      </c>
      <c r="C13769" s="1" t="n">
        <v>45657</v>
      </c>
      <c r="D13769" t="inlineStr">
        <is>
          <t>VÄSTERNORRLANDS LÄN</t>
        </is>
      </c>
      <c r="E13769" t="inlineStr">
        <is>
          <t>ÅNGE</t>
        </is>
      </c>
      <c r="G13769" t="n">
        <v>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26962-2024</t>
        </is>
      </c>
      <c r="B13770" s="1" t="n">
        <v>45471</v>
      </c>
      <c r="C13770" s="1" t="n">
        <v>45657</v>
      </c>
      <c r="D13770" t="inlineStr">
        <is>
          <t>VÄSTERNORRLANDS LÄN</t>
        </is>
      </c>
      <c r="E13770" t="inlineStr">
        <is>
          <t>SOLLEFTEÅ</t>
        </is>
      </c>
      <c r="F13770" t="inlineStr">
        <is>
          <t>SCA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26950-2024</t>
        </is>
      </c>
      <c r="B13771" s="1" t="n">
        <v>45470</v>
      </c>
      <c r="C13771" s="1" t="n">
        <v>45657</v>
      </c>
      <c r="D13771" t="inlineStr">
        <is>
          <t>VÄSTERNORRLANDS LÄN</t>
        </is>
      </c>
      <c r="E13771" t="inlineStr">
        <is>
          <t>ÅNGE</t>
        </is>
      </c>
      <c r="F13771" t="inlineStr">
        <is>
          <t>SCA</t>
        </is>
      </c>
      <c r="G13771" t="n">
        <v>5.8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26939-2024</t>
        </is>
      </c>
      <c r="B13772" s="1" t="n">
        <v>45470</v>
      </c>
      <c r="C13772" s="1" t="n">
        <v>45657</v>
      </c>
      <c r="D13772" t="inlineStr">
        <is>
          <t>VÄSTERNORRLANDS LÄN</t>
        </is>
      </c>
      <c r="E13772" t="inlineStr">
        <is>
          <t>SUNDSVALL</t>
        </is>
      </c>
      <c r="F13772" t="inlineStr">
        <is>
          <t>SCA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26943-2024</t>
        </is>
      </c>
      <c r="B13773" s="1" t="n">
        <v>45470</v>
      </c>
      <c r="C13773" s="1" t="n">
        <v>45657</v>
      </c>
      <c r="D13773" t="inlineStr">
        <is>
          <t>VÄSTERNORRLANDS LÄN</t>
        </is>
      </c>
      <c r="E13773" t="inlineStr">
        <is>
          <t>ÅNGE</t>
        </is>
      </c>
      <c r="F13773" t="inlineStr">
        <is>
          <t>SCA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26942-2024</t>
        </is>
      </c>
      <c r="B13774" s="1" t="n">
        <v>45470</v>
      </c>
      <c r="C13774" s="1" t="n">
        <v>45657</v>
      </c>
      <c r="D13774" t="inlineStr">
        <is>
          <t>VÄSTERNORRLANDS LÄN</t>
        </is>
      </c>
      <c r="E13774" t="inlineStr">
        <is>
          <t>ÅNGE</t>
        </is>
      </c>
      <c r="F13774" t="inlineStr">
        <is>
          <t>SCA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26938-2024</t>
        </is>
      </c>
      <c r="B13775" s="1" t="n">
        <v>45471</v>
      </c>
      <c r="C13775" s="1" t="n">
        <v>45657</v>
      </c>
      <c r="D13775" t="inlineStr">
        <is>
          <t>VÄSTERNORRLANDS LÄN</t>
        </is>
      </c>
      <c r="E13775" t="inlineStr">
        <is>
          <t>SUNDSVALL</t>
        </is>
      </c>
      <c r="F13775" t="inlineStr">
        <is>
          <t>SCA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26951-2024</t>
        </is>
      </c>
      <c r="B13776" s="1" t="n">
        <v>45471</v>
      </c>
      <c r="C13776" s="1" t="n">
        <v>45657</v>
      </c>
      <c r="D13776" t="inlineStr">
        <is>
          <t>VÄSTERNORRLANDS LÄN</t>
        </is>
      </c>
      <c r="E13776" t="inlineStr">
        <is>
          <t>ÅNGE</t>
        </is>
      </c>
      <c r="F13776" t="inlineStr">
        <is>
          <t>SCA</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26955-2024</t>
        </is>
      </c>
      <c r="B13777" s="1" t="n">
        <v>45471</v>
      </c>
      <c r="C13777" s="1" t="n">
        <v>45657</v>
      </c>
      <c r="D13777" t="inlineStr">
        <is>
          <t>VÄSTERNORRLANDS LÄN</t>
        </is>
      </c>
      <c r="E13777" t="inlineStr">
        <is>
          <t>SOLLEFTEÅ</t>
        </is>
      </c>
      <c r="F13777" t="inlineStr">
        <is>
          <t>SCA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26963-2024</t>
        </is>
      </c>
      <c r="B13778" s="1" t="n">
        <v>45471</v>
      </c>
      <c r="C13778" s="1" t="n">
        <v>45657</v>
      </c>
      <c r="D13778" t="inlineStr">
        <is>
          <t>VÄSTERNORRLANDS LÄN</t>
        </is>
      </c>
      <c r="E13778" t="inlineStr">
        <is>
          <t>SOLLEFTEÅ</t>
        </is>
      </c>
      <c r="F13778" t="inlineStr">
        <is>
          <t>SCA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26890-2024</t>
        </is>
      </c>
      <c r="B13779" s="1" t="n">
        <v>45470</v>
      </c>
      <c r="C13779" s="1" t="n">
        <v>45657</v>
      </c>
      <c r="D13779" t="inlineStr">
        <is>
          <t>VÄSTERNORRLANDS LÄN</t>
        </is>
      </c>
      <c r="E13779" t="inlineStr">
        <is>
          <t>SOLLEFTEÅ</t>
        </is>
      </c>
      <c r="F13779" t="inlineStr">
        <is>
          <t>Holmen skog AB</t>
        </is>
      </c>
      <c r="G13779" t="n">
        <v>12.8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26846-2024</t>
        </is>
      </c>
      <c r="B13780" s="1" t="n">
        <v>45470</v>
      </c>
      <c r="C13780" s="1" t="n">
        <v>45657</v>
      </c>
      <c r="D13780" t="inlineStr">
        <is>
          <t>VÄSTERNORRLANDS LÄN</t>
        </is>
      </c>
      <c r="E13780" t="inlineStr">
        <is>
          <t>ÖRNSKÖLDSVIK</t>
        </is>
      </c>
      <c r="F13780" t="inlineStr">
        <is>
          <t>Holmen skog AB</t>
        </is>
      </c>
      <c r="G13780" t="n">
        <v>10.4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26776-2024</t>
        </is>
      </c>
      <c r="B13781" s="1" t="n">
        <v>45470</v>
      </c>
      <c r="C13781" s="1" t="n">
        <v>45657</v>
      </c>
      <c r="D13781" t="inlineStr">
        <is>
          <t>VÄSTERNORRLANDS LÄN</t>
        </is>
      </c>
      <c r="E13781" t="inlineStr">
        <is>
          <t>ÖRNSKÖLDSVIK</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26765-2024</t>
        </is>
      </c>
      <c r="B13782" s="1" t="n">
        <v>45470</v>
      </c>
      <c r="C13782" s="1" t="n">
        <v>45657</v>
      </c>
      <c r="D13782" t="inlineStr">
        <is>
          <t>VÄSTERNORRLANDS LÄN</t>
        </is>
      </c>
      <c r="E13782" t="inlineStr">
        <is>
          <t>ÖRNSKÖLDSVIK</t>
        </is>
      </c>
      <c r="F13782" t="inlineStr">
        <is>
          <t>Holmen skog AB</t>
        </is>
      </c>
      <c r="G13782" t="n">
        <v>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26761-2024</t>
        </is>
      </c>
      <c r="B13783" s="1" t="n">
        <v>45470</v>
      </c>
      <c r="C13783" s="1" t="n">
        <v>45657</v>
      </c>
      <c r="D13783" t="inlineStr">
        <is>
          <t>VÄSTERNORRLANDS LÄN</t>
        </is>
      </c>
      <c r="E13783" t="inlineStr">
        <is>
          <t>ÖRNSKÖLDSVIK</t>
        </is>
      </c>
      <c r="F13783" t="inlineStr">
        <is>
          <t>Holmen skog AB</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26755-2024</t>
        </is>
      </c>
      <c r="B13784" s="1" t="n">
        <v>45470</v>
      </c>
      <c r="C13784" s="1" t="n">
        <v>45657</v>
      </c>
      <c r="D13784" t="inlineStr">
        <is>
          <t>VÄSTERNORRLANDS LÄN</t>
        </is>
      </c>
      <c r="E13784" t="inlineStr">
        <is>
          <t>ÖRNSKÖLDSVIK</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26936-2024</t>
        </is>
      </c>
      <c r="B13785" s="1" t="n">
        <v>45470</v>
      </c>
      <c r="C13785" s="1" t="n">
        <v>45657</v>
      </c>
      <c r="D13785" t="inlineStr">
        <is>
          <t>VÄSTERNORRLANDS LÄN</t>
        </is>
      </c>
      <c r="E13785" t="inlineStr">
        <is>
          <t>SOLLEFTEÅ</t>
        </is>
      </c>
      <c r="F13785" t="inlineStr">
        <is>
          <t>SCA</t>
        </is>
      </c>
      <c r="G13785" t="n">
        <v>10.7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26940-2024</t>
        </is>
      </c>
      <c r="B13786" s="1" t="n">
        <v>45470</v>
      </c>
      <c r="C13786" s="1" t="n">
        <v>45657</v>
      </c>
      <c r="D13786" t="inlineStr">
        <is>
          <t>VÄSTERNORRLANDS LÄN</t>
        </is>
      </c>
      <c r="E13786" t="inlineStr">
        <is>
          <t>SUNDSVALL</t>
        </is>
      </c>
      <c r="F13786" t="inlineStr">
        <is>
          <t>SCA</t>
        </is>
      </c>
      <c r="G13786" t="n">
        <v>7.5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26952-2024</t>
        </is>
      </c>
      <c r="B13787" s="1" t="n">
        <v>45470</v>
      </c>
      <c r="C13787" s="1" t="n">
        <v>45657</v>
      </c>
      <c r="D13787" t="inlineStr">
        <is>
          <t>VÄSTERNORRLANDS LÄN</t>
        </is>
      </c>
      <c r="E13787" t="inlineStr">
        <is>
          <t>ÅNGE</t>
        </is>
      </c>
      <c r="F13787" t="inlineStr">
        <is>
          <t>SCA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26895-2024</t>
        </is>
      </c>
      <c r="B13788" s="1" t="n">
        <v>45470</v>
      </c>
      <c r="C13788" s="1" t="n">
        <v>45657</v>
      </c>
      <c r="D13788" t="inlineStr">
        <is>
          <t>VÄSTERNORRLANDS LÄN</t>
        </is>
      </c>
      <c r="E13788" t="inlineStr">
        <is>
          <t>ÖRNSKÖLDSVIK</t>
        </is>
      </c>
      <c r="F13788" t="inlineStr">
        <is>
          <t>Holmen skog AB</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26851-2024</t>
        </is>
      </c>
      <c r="B13789" s="1" t="n">
        <v>45470</v>
      </c>
      <c r="C13789" s="1" t="n">
        <v>45657</v>
      </c>
      <c r="D13789" t="inlineStr">
        <is>
          <t>VÄSTERNORRLANDS LÄN</t>
        </is>
      </c>
      <c r="E13789" t="inlineStr">
        <is>
          <t>ÖRNSKÖLDSVIK</t>
        </is>
      </c>
      <c r="F13789" t="inlineStr">
        <is>
          <t>Holmen skog AB</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26762-2024</t>
        </is>
      </c>
      <c r="B13790" s="1" t="n">
        <v>45470</v>
      </c>
      <c r="C13790" s="1" t="n">
        <v>45657</v>
      </c>
      <c r="D13790" t="inlineStr">
        <is>
          <t>VÄSTERNORRLANDS LÄN</t>
        </is>
      </c>
      <c r="E13790" t="inlineStr">
        <is>
          <t>ÖRNSKÖLDSVIK</t>
        </is>
      </c>
      <c r="F13790" t="inlineStr">
        <is>
          <t>Holmen skog AB</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26725-2024</t>
        </is>
      </c>
      <c r="B13791" s="1" t="n">
        <v>45470</v>
      </c>
      <c r="C13791" s="1" t="n">
        <v>45657</v>
      </c>
      <c r="D13791" t="inlineStr">
        <is>
          <t>VÄSTERNORRLANDS LÄN</t>
        </is>
      </c>
      <c r="E13791" t="inlineStr">
        <is>
          <t>SUNDSVALL</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26706-2024</t>
        </is>
      </c>
      <c r="B13792" s="1" t="n">
        <v>45470</v>
      </c>
      <c r="C13792" s="1" t="n">
        <v>45657</v>
      </c>
      <c r="D13792" t="inlineStr">
        <is>
          <t>VÄSTERNORRLANDS LÄN</t>
        </is>
      </c>
      <c r="E13792" t="inlineStr">
        <is>
          <t>ÖRNSKÖLDSVIK</t>
        </is>
      </c>
      <c r="F13792" t="inlineStr">
        <is>
          <t>Holmen skog AB</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26965-2024</t>
        </is>
      </c>
      <c r="B13793" s="1" t="n">
        <v>45471</v>
      </c>
      <c r="C13793" s="1" t="n">
        <v>45657</v>
      </c>
      <c r="D13793" t="inlineStr">
        <is>
          <t>VÄSTERNORRLANDS LÄN</t>
        </is>
      </c>
      <c r="E13793" t="inlineStr">
        <is>
          <t>ÖRNSKÖLDSVIK</t>
        </is>
      </c>
      <c r="F13793" t="inlineStr">
        <is>
          <t>Holmen skog AB</t>
        </is>
      </c>
      <c r="G13793" t="n">
        <v>12.9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26957-2024</t>
        </is>
      </c>
      <c r="B13794" s="1" t="n">
        <v>45470</v>
      </c>
      <c r="C13794" s="1" t="n">
        <v>45657</v>
      </c>
      <c r="D13794" t="inlineStr">
        <is>
          <t>VÄSTERNORRLANDS LÄN</t>
        </is>
      </c>
      <c r="E13794" t="inlineStr">
        <is>
          <t>ÅNGE</t>
        </is>
      </c>
      <c r="F13794" t="inlineStr">
        <is>
          <t>SCA</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26949-2024</t>
        </is>
      </c>
      <c r="B13795" s="1" t="n">
        <v>45470</v>
      </c>
      <c r="C13795" s="1" t="n">
        <v>45657</v>
      </c>
      <c r="D13795" t="inlineStr">
        <is>
          <t>VÄSTERNORRLANDS LÄN</t>
        </is>
      </c>
      <c r="E13795" t="inlineStr">
        <is>
          <t>SUNDSVALL</t>
        </is>
      </c>
      <c r="F13795" t="inlineStr">
        <is>
          <t>SCA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26945-2024</t>
        </is>
      </c>
      <c r="B13796" s="1" t="n">
        <v>45471</v>
      </c>
      <c r="C13796" s="1" t="n">
        <v>45657</v>
      </c>
      <c r="D13796" t="inlineStr">
        <is>
          <t>VÄSTERNORRLANDS LÄN</t>
        </is>
      </c>
      <c r="E13796" t="inlineStr">
        <is>
          <t>ÅNGE</t>
        </is>
      </c>
      <c r="F13796" t="inlineStr">
        <is>
          <t>SCA</t>
        </is>
      </c>
      <c r="G13796" t="n">
        <v>9.4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26941-2024</t>
        </is>
      </c>
      <c r="B13797" s="1" t="n">
        <v>45470</v>
      </c>
      <c r="C13797" s="1" t="n">
        <v>45657</v>
      </c>
      <c r="D13797" t="inlineStr">
        <is>
          <t>VÄSTERNORRLANDS LÄN</t>
        </is>
      </c>
      <c r="E13797" t="inlineStr">
        <is>
          <t>SOLLEFTEÅ</t>
        </is>
      </c>
      <c r="F13797" t="inlineStr">
        <is>
          <t>SCA</t>
        </is>
      </c>
      <c r="G13797" t="n">
        <v>31.9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26937-2024</t>
        </is>
      </c>
      <c r="B13798" s="1" t="n">
        <v>45471</v>
      </c>
      <c r="C13798" s="1" t="n">
        <v>45657</v>
      </c>
      <c r="D13798" t="inlineStr">
        <is>
          <t>VÄSTERNORRLANDS LÄN</t>
        </is>
      </c>
      <c r="E13798" t="inlineStr">
        <is>
          <t>SOLLEFTEÅ</t>
        </is>
      </c>
      <c r="F13798" t="inlineStr">
        <is>
          <t>SCA</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26775-2024</t>
        </is>
      </c>
      <c r="B13799" s="1" t="n">
        <v>45470</v>
      </c>
      <c r="C13799" s="1" t="n">
        <v>45657</v>
      </c>
      <c r="D13799" t="inlineStr">
        <is>
          <t>VÄSTERNORRLANDS LÄN</t>
        </is>
      </c>
      <c r="E13799" t="inlineStr">
        <is>
          <t>ÖRNSKÖLDSVIK</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26740-2024</t>
        </is>
      </c>
      <c r="B13800" s="1" t="n">
        <v>45470</v>
      </c>
      <c r="C13800" s="1" t="n">
        <v>45657</v>
      </c>
      <c r="D13800" t="inlineStr">
        <is>
          <t>VÄSTERNORRLANDS LÄN</t>
        </is>
      </c>
      <c r="E13800" t="inlineStr">
        <is>
          <t>ÖRNSKÖLDSVIK</t>
        </is>
      </c>
      <c r="F13800" t="inlineStr">
        <is>
          <t>Holmen skog AB</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26723-2024</t>
        </is>
      </c>
      <c r="B13801" s="1" t="n">
        <v>45470</v>
      </c>
      <c r="C13801" s="1" t="n">
        <v>45657</v>
      </c>
      <c r="D13801" t="inlineStr">
        <is>
          <t>VÄSTERNORRLANDS LÄN</t>
        </is>
      </c>
      <c r="E13801" t="inlineStr">
        <is>
          <t>ÖRNSKÖLDSVIK</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27025-2024</t>
        </is>
      </c>
      <c r="B13802" s="1" t="n">
        <v>45471</v>
      </c>
      <c r="C13802" s="1" t="n">
        <v>45657</v>
      </c>
      <c r="D13802" t="inlineStr">
        <is>
          <t>VÄSTERNORRLANDS LÄN</t>
        </is>
      </c>
      <c r="E13802" t="inlineStr">
        <is>
          <t>SOLLEFTEÅ</t>
        </is>
      </c>
      <c r="F13802" t="inlineStr">
        <is>
          <t>Holmen skog AB</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27049-2024</t>
        </is>
      </c>
      <c r="B13803" s="1" t="n">
        <v>45471</v>
      </c>
      <c r="C13803" s="1" t="n">
        <v>45657</v>
      </c>
      <c r="D13803" t="inlineStr">
        <is>
          <t>VÄSTERNORRLANDS LÄN</t>
        </is>
      </c>
      <c r="E13803" t="inlineStr">
        <is>
          <t>ÖRNSKÖLDSVIK</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27034-2024</t>
        </is>
      </c>
      <c r="B13804" s="1" t="n">
        <v>45471</v>
      </c>
      <c r="C13804" s="1" t="n">
        <v>45657</v>
      </c>
      <c r="D13804" t="inlineStr">
        <is>
          <t>VÄSTERNORRLANDS LÄN</t>
        </is>
      </c>
      <c r="E13804" t="inlineStr">
        <is>
          <t>ÖRNSKÖLDSVIK</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27137-2024</t>
        </is>
      </c>
      <c r="B13805" s="1" t="n">
        <v>45471</v>
      </c>
      <c r="C13805" s="1" t="n">
        <v>45657</v>
      </c>
      <c r="D13805" t="inlineStr">
        <is>
          <t>VÄSTERNORRLANDS LÄN</t>
        </is>
      </c>
      <c r="E13805" t="inlineStr">
        <is>
          <t>ÖRNSKÖLDSVIK</t>
        </is>
      </c>
      <c r="F13805" t="inlineStr">
        <is>
          <t>Holmen skog AB</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26973-2024</t>
        </is>
      </c>
      <c r="B13806" s="1" t="n">
        <v>45471</v>
      </c>
      <c r="C13806" s="1" t="n">
        <v>45657</v>
      </c>
      <c r="D13806" t="inlineStr">
        <is>
          <t>VÄSTERNORRLANDS LÄN</t>
        </is>
      </c>
      <c r="E13806" t="inlineStr">
        <is>
          <t>KRAMFORS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26981-2024</t>
        </is>
      </c>
      <c r="B13807" s="1" t="n">
        <v>45471</v>
      </c>
      <c r="C13807" s="1" t="n">
        <v>45657</v>
      </c>
      <c r="D13807" t="inlineStr">
        <is>
          <t>VÄSTERNORRLANDS LÄN</t>
        </is>
      </c>
      <c r="E13807" t="inlineStr">
        <is>
          <t>ÖRNSKÖLDSVIK</t>
        </is>
      </c>
      <c r="F13807" t="inlineStr">
        <is>
          <t>Holmen skog AB</t>
        </is>
      </c>
      <c r="G13807" t="n">
        <v>7.2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27003-2024</t>
        </is>
      </c>
      <c r="B13808" s="1" t="n">
        <v>45471</v>
      </c>
      <c r="C13808" s="1" t="n">
        <v>45657</v>
      </c>
      <c r="D13808" t="inlineStr">
        <is>
          <t>VÄSTERNORRLANDS LÄN</t>
        </is>
      </c>
      <c r="E13808" t="inlineStr">
        <is>
          <t>ÖRNSKÖLDSVIK</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27071-2024</t>
        </is>
      </c>
      <c r="B13809" s="1" t="n">
        <v>45471</v>
      </c>
      <c r="C13809" s="1" t="n">
        <v>45657</v>
      </c>
      <c r="D13809" t="inlineStr">
        <is>
          <t>VÄSTERNORRLANDS LÄN</t>
        </is>
      </c>
      <c r="E13809" t="inlineStr">
        <is>
          <t>SOLLEFTEÅ</t>
        </is>
      </c>
      <c r="F13809" t="inlineStr">
        <is>
          <t>Holmen skog AB</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27148-2024</t>
        </is>
      </c>
      <c r="B13810" s="1" t="n">
        <v>45471</v>
      </c>
      <c r="C13810" s="1" t="n">
        <v>45657</v>
      </c>
      <c r="D13810" t="inlineStr">
        <is>
          <t>VÄSTERNORRLANDS LÄN</t>
        </is>
      </c>
      <c r="E13810" t="inlineStr">
        <is>
          <t>ÖRNSKÖLDSVIK</t>
        </is>
      </c>
      <c r="F13810" t="inlineStr">
        <is>
          <t>Holmen skog AB</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27236-2024</t>
        </is>
      </c>
      <c r="B13811" s="1" t="n">
        <v>45471</v>
      </c>
      <c r="C13811" s="1" t="n">
        <v>45657</v>
      </c>
      <c r="D13811" t="inlineStr">
        <is>
          <t>VÄSTERNORRLANDS LÄN</t>
        </is>
      </c>
      <c r="E13811" t="inlineStr">
        <is>
          <t>ÖRNSKÖLDSVIK</t>
        </is>
      </c>
      <c r="G13811" t="n">
        <v>24.2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27225-2024</t>
        </is>
      </c>
      <c r="B13812" s="1" t="n">
        <v>45471</v>
      </c>
      <c r="C13812" s="1" t="n">
        <v>45657</v>
      </c>
      <c r="D13812" t="inlineStr">
        <is>
          <t>VÄSTERNORRLANDS LÄN</t>
        </is>
      </c>
      <c r="E13812" t="inlineStr">
        <is>
          <t>ÖRNSKÖLDSVIK</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27214-2024</t>
        </is>
      </c>
      <c r="B13813" s="1" t="n">
        <v>45471</v>
      </c>
      <c r="C13813" s="1" t="n">
        <v>45657</v>
      </c>
      <c r="D13813" t="inlineStr">
        <is>
          <t>VÄSTERNORRLANDS LÄN</t>
        </is>
      </c>
      <c r="E13813" t="inlineStr">
        <is>
          <t>ÖRNSKÖLDSVIK</t>
        </is>
      </c>
      <c r="F13813" t="inlineStr">
        <is>
          <t>Holmen skog AB</t>
        </is>
      </c>
      <c r="G13813" t="n">
        <v>10.9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27217-2024</t>
        </is>
      </c>
      <c r="B13814" s="1" t="n">
        <v>45471</v>
      </c>
      <c r="C13814" s="1" t="n">
        <v>45657</v>
      </c>
      <c r="D13814" t="inlineStr">
        <is>
          <t>VÄSTERNORRLANDS LÄN</t>
        </is>
      </c>
      <c r="E13814" t="inlineStr">
        <is>
          <t>ÖRNSKÖLDSVIK</t>
        </is>
      </c>
      <c r="F13814" t="inlineStr">
        <is>
          <t>Holmen skog AB</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27293-2024</t>
        </is>
      </c>
      <c r="B13815" s="1" t="n">
        <v>45472</v>
      </c>
      <c r="C13815" s="1" t="n">
        <v>45657</v>
      </c>
      <c r="D13815" t="inlineStr">
        <is>
          <t>VÄSTERNORRLANDS LÄN</t>
        </is>
      </c>
      <c r="E13815" t="inlineStr">
        <is>
          <t>SOLLEFTEÅ</t>
        </is>
      </c>
      <c r="F13815" t="inlineStr">
        <is>
          <t>SCA</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27041-2024</t>
        </is>
      </c>
      <c r="B13816" s="1" t="n">
        <v>45471</v>
      </c>
      <c r="C13816" s="1" t="n">
        <v>45657</v>
      </c>
      <c r="D13816" t="inlineStr">
        <is>
          <t>VÄSTERNORRLANDS LÄN</t>
        </is>
      </c>
      <c r="E13816" t="inlineStr">
        <is>
          <t>ÖRNSKÖLDSVIK</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26987-2024</t>
        </is>
      </c>
      <c r="B13817" s="1" t="n">
        <v>45471</v>
      </c>
      <c r="C13817" s="1" t="n">
        <v>45657</v>
      </c>
      <c r="D13817" t="inlineStr">
        <is>
          <t>VÄSTERNORRLANDS LÄN</t>
        </is>
      </c>
      <c r="E13817" t="inlineStr">
        <is>
          <t>ÖRNSKÖLDSVIK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26979-2024</t>
        </is>
      </c>
      <c r="B13818" s="1" t="n">
        <v>45471</v>
      </c>
      <c r="C13818" s="1" t="n">
        <v>45657</v>
      </c>
      <c r="D13818" t="inlineStr">
        <is>
          <t>VÄSTERNORRLANDS LÄN</t>
        </is>
      </c>
      <c r="E13818" t="inlineStr">
        <is>
          <t>ÖRNSKÖLDSVIK</t>
        </is>
      </c>
      <c r="F13818" t="inlineStr">
        <is>
          <t>Holmen skog AB</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26971-2024</t>
        </is>
      </c>
      <c r="B13819" s="1" t="n">
        <v>45471</v>
      </c>
      <c r="C13819" s="1" t="n">
        <v>45657</v>
      </c>
      <c r="D13819" t="inlineStr">
        <is>
          <t>VÄSTERNORRLANDS LÄN</t>
        </is>
      </c>
      <c r="E13819" t="inlineStr">
        <is>
          <t>ÖRNSKÖLDSVIK</t>
        </is>
      </c>
      <c r="F13819" t="inlineStr">
        <is>
          <t>Holmen skog AB</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26966-2024</t>
        </is>
      </c>
      <c r="B13820" s="1" t="n">
        <v>45471</v>
      </c>
      <c r="C13820" s="1" t="n">
        <v>45657</v>
      </c>
      <c r="D13820" t="inlineStr">
        <is>
          <t>VÄSTERNORRLANDS LÄN</t>
        </is>
      </c>
      <c r="E13820" t="inlineStr">
        <is>
          <t>ÖRNSKÖLDSVIK</t>
        </is>
      </c>
      <c r="F13820" t="inlineStr">
        <is>
          <t>Holmen skog AB</t>
        </is>
      </c>
      <c r="G13820" t="n">
        <v>70.5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27084-2024</t>
        </is>
      </c>
      <c r="B13821" s="1" t="n">
        <v>45471</v>
      </c>
      <c r="C13821" s="1" t="n">
        <v>45657</v>
      </c>
      <c r="D13821" t="inlineStr">
        <is>
          <t>VÄSTERNORRLANDS LÄN</t>
        </is>
      </c>
      <c r="E13821" t="inlineStr">
        <is>
          <t>ÖRNSKÖLDSVIK</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27072-2024</t>
        </is>
      </c>
      <c r="B13822" s="1" t="n">
        <v>45471</v>
      </c>
      <c r="C13822" s="1" t="n">
        <v>45657</v>
      </c>
      <c r="D13822" t="inlineStr">
        <is>
          <t>VÄSTERNORRLANDS LÄN</t>
        </is>
      </c>
      <c r="E13822" t="inlineStr">
        <is>
          <t>ÖRNSKÖLDSVIK</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27299-2024</t>
        </is>
      </c>
      <c r="B13823" s="1" t="n">
        <v>45472</v>
      </c>
      <c r="C13823" s="1" t="n">
        <v>45657</v>
      </c>
      <c r="D13823" t="inlineStr">
        <is>
          <t>VÄSTERNORRLANDS LÄN</t>
        </is>
      </c>
      <c r="E13823" t="inlineStr">
        <is>
          <t>SUNDSVALL</t>
        </is>
      </c>
      <c r="G13823" t="n">
        <v>7.5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27303-2024</t>
        </is>
      </c>
      <c r="B13824" s="1" t="n">
        <v>45471</v>
      </c>
      <c r="C13824" s="1" t="n">
        <v>45657</v>
      </c>
      <c r="D13824" t="inlineStr">
        <is>
          <t>VÄSTERNORRLANDS LÄN</t>
        </is>
      </c>
      <c r="E13824" t="inlineStr">
        <is>
          <t>SUNDSVALL</t>
        </is>
      </c>
      <c r="F13824" t="inlineStr">
        <is>
          <t>SCA</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27302-2024</t>
        </is>
      </c>
      <c r="B13825" s="1" t="n">
        <v>45472</v>
      </c>
      <c r="C13825" s="1" t="n">
        <v>45657</v>
      </c>
      <c r="D13825" t="inlineStr">
        <is>
          <t>VÄSTERNORRLANDS LÄN</t>
        </is>
      </c>
      <c r="E13825" t="inlineStr">
        <is>
          <t>SUNDSVALL</t>
        </is>
      </c>
      <c r="F13825" t="inlineStr">
        <is>
          <t>SCA</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27306-2024</t>
        </is>
      </c>
      <c r="B13826" s="1" t="n">
        <v>45472</v>
      </c>
      <c r="C13826" s="1" t="n">
        <v>45657</v>
      </c>
      <c r="D13826" t="inlineStr">
        <is>
          <t>VÄSTERNORRLANDS LÄN</t>
        </is>
      </c>
      <c r="E13826" t="inlineStr">
        <is>
          <t>ÅNGE</t>
        </is>
      </c>
      <c r="F13826" t="inlineStr">
        <is>
          <t>SCA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27310-2024</t>
        </is>
      </c>
      <c r="B13827" s="1" t="n">
        <v>45471</v>
      </c>
      <c r="C13827" s="1" t="n">
        <v>45657</v>
      </c>
      <c r="D13827" t="inlineStr">
        <is>
          <t>VÄSTERNORRLANDS LÄN</t>
        </is>
      </c>
      <c r="E13827" t="inlineStr">
        <is>
          <t>SUNDSVALL</t>
        </is>
      </c>
      <c r="F13827" t="inlineStr">
        <is>
          <t>SCA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27314-2024</t>
        </is>
      </c>
      <c r="B13828" s="1" t="n">
        <v>45472</v>
      </c>
      <c r="C13828" s="1" t="n">
        <v>45657</v>
      </c>
      <c r="D13828" t="inlineStr">
        <is>
          <t>VÄSTERNORRLANDS LÄN</t>
        </is>
      </c>
      <c r="E13828" t="inlineStr">
        <is>
          <t>SOLLEFTEÅ</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27318-2024</t>
        </is>
      </c>
      <c r="B13829" s="1" t="n">
        <v>45471</v>
      </c>
      <c r="C13829" s="1" t="n">
        <v>45657</v>
      </c>
      <c r="D13829" t="inlineStr">
        <is>
          <t>VÄSTERNORRLANDS LÄN</t>
        </is>
      </c>
      <c r="E13829" t="inlineStr">
        <is>
          <t>SUNDSVALL</t>
        </is>
      </c>
      <c r="F13829" t="inlineStr">
        <is>
          <t>SCA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27304-2024</t>
        </is>
      </c>
      <c r="B13830" s="1" t="n">
        <v>45472</v>
      </c>
      <c r="C13830" s="1" t="n">
        <v>45657</v>
      </c>
      <c r="D13830" t="inlineStr">
        <is>
          <t>VÄSTERNORRLANDS LÄN</t>
        </is>
      </c>
      <c r="E13830" t="inlineStr">
        <is>
          <t>SUNDSVALL</t>
        </is>
      </c>
      <c r="F13830" t="inlineStr">
        <is>
          <t>SCA</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27316-2024</t>
        </is>
      </c>
      <c r="B13831" s="1" t="n">
        <v>45471</v>
      </c>
      <c r="C13831" s="1" t="n">
        <v>45657</v>
      </c>
      <c r="D13831" t="inlineStr">
        <is>
          <t>VÄSTERNORRLANDS LÄN</t>
        </is>
      </c>
      <c r="E13831" t="inlineStr">
        <is>
          <t>SUNDSVALL</t>
        </is>
      </c>
      <c r="F13831" t="inlineStr">
        <is>
          <t>Naturvårdsverket</t>
        </is>
      </c>
      <c r="G13831" t="n">
        <v>8.699999999999999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27010-2024</t>
        </is>
      </c>
      <c r="B13832" s="1" t="n">
        <v>45471</v>
      </c>
      <c r="C13832" s="1" t="n">
        <v>45657</v>
      </c>
      <c r="D13832" t="inlineStr">
        <is>
          <t>VÄSTERNORRLANDS LÄN</t>
        </is>
      </c>
      <c r="E13832" t="inlineStr">
        <is>
          <t>ÖRNSKÖLDSVIK</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26967-2024</t>
        </is>
      </c>
      <c r="B13833" s="1" t="n">
        <v>45471</v>
      </c>
      <c r="C13833" s="1" t="n">
        <v>45657</v>
      </c>
      <c r="D13833" t="inlineStr">
        <is>
          <t>VÄSTERNORRLANDS LÄN</t>
        </is>
      </c>
      <c r="E13833" t="inlineStr">
        <is>
          <t>ÖRNSKÖLDSVIK</t>
        </is>
      </c>
      <c r="F13833" t="inlineStr">
        <is>
          <t>Holmen skog AB</t>
        </is>
      </c>
      <c r="G13833" t="n">
        <v>73.2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27301-2024</t>
        </is>
      </c>
      <c r="B13834" s="1" t="n">
        <v>45472</v>
      </c>
      <c r="C13834" s="1" t="n">
        <v>45657</v>
      </c>
      <c r="D13834" t="inlineStr">
        <is>
          <t>VÄSTERNORRLANDS LÄN</t>
        </is>
      </c>
      <c r="E13834" t="inlineStr">
        <is>
          <t>SUNDSVALL</t>
        </is>
      </c>
      <c r="F13834" t="inlineStr">
        <is>
          <t>SCA</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27321-2024</t>
        </is>
      </c>
      <c r="B13835" s="1" t="n">
        <v>45471</v>
      </c>
      <c r="C13835" s="1" t="n">
        <v>45657</v>
      </c>
      <c r="D13835" t="inlineStr">
        <is>
          <t>VÄSTERNORRLANDS LÄN</t>
        </is>
      </c>
      <c r="E13835" t="inlineStr">
        <is>
          <t>ÅNGE</t>
        </is>
      </c>
      <c r="F13835" t="inlineStr">
        <is>
          <t>SCA</t>
        </is>
      </c>
      <c r="G13835" t="n">
        <v>14.1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27319-2024</t>
        </is>
      </c>
      <c r="B13836" s="1" t="n">
        <v>45471</v>
      </c>
      <c r="C13836" s="1" t="n">
        <v>45657</v>
      </c>
      <c r="D13836" t="inlineStr">
        <is>
          <t>VÄSTERNORRLANDS LÄN</t>
        </is>
      </c>
      <c r="E13836" t="inlineStr">
        <is>
          <t>SUNDSVALL</t>
        </is>
      </c>
      <c r="F13836" t="inlineStr">
        <is>
          <t>SCA</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27324-2024</t>
        </is>
      </c>
      <c r="B13837" s="1" t="n">
        <v>45471</v>
      </c>
      <c r="C13837" s="1" t="n">
        <v>45657</v>
      </c>
      <c r="D13837" t="inlineStr">
        <is>
          <t>VÄSTERNORRLANDS LÄN</t>
        </is>
      </c>
      <c r="E13837" t="inlineStr">
        <is>
          <t>SUNDSVALL</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27414-2024</t>
        </is>
      </c>
      <c r="B13838" s="1" t="n">
        <v>45473</v>
      </c>
      <c r="C13838" s="1" t="n">
        <v>45657</v>
      </c>
      <c r="D13838" t="inlineStr">
        <is>
          <t>VÄSTERNORRLANDS LÄN</t>
        </is>
      </c>
      <c r="E13838" t="inlineStr">
        <is>
          <t>ÖRNSKÖLDSVIK</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27377-2024</t>
        </is>
      </c>
      <c r="B13839" s="1" t="n">
        <v>45473</v>
      </c>
      <c r="C13839" s="1" t="n">
        <v>45657</v>
      </c>
      <c r="D13839" t="inlineStr">
        <is>
          <t>VÄSTERNORRLANDS LÄN</t>
        </is>
      </c>
      <c r="E13839" t="inlineStr">
        <is>
          <t>SOLLEFTEÅ</t>
        </is>
      </c>
      <c r="G13839" t="n">
        <v>9.1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27668-2024</t>
        </is>
      </c>
      <c r="B13840" s="1" t="n">
        <v>45475</v>
      </c>
      <c r="C13840" s="1" t="n">
        <v>45657</v>
      </c>
      <c r="D13840" t="inlineStr">
        <is>
          <t>VÄSTERNORRLANDS LÄN</t>
        </is>
      </c>
      <c r="E13840" t="inlineStr">
        <is>
          <t>ÅNGE</t>
        </is>
      </c>
      <c r="F13840" t="inlineStr">
        <is>
          <t>SCA</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27395-2024</t>
        </is>
      </c>
      <c r="B13841" s="1" t="n">
        <v>45474</v>
      </c>
      <c r="C13841" s="1" t="n">
        <v>45657</v>
      </c>
      <c r="D13841" t="inlineStr">
        <is>
          <t>VÄSTERNORRLANDS LÄN</t>
        </is>
      </c>
      <c r="E13841" t="inlineStr">
        <is>
          <t>ÖRNSKÖLDSVIK</t>
        </is>
      </c>
      <c r="F13841" t="inlineStr">
        <is>
          <t>Holmen skog AB</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27468-2024</t>
        </is>
      </c>
      <c r="B13842" s="1" t="n">
        <v>45474</v>
      </c>
      <c r="C13842" s="1" t="n">
        <v>45657</v>
      </c>
      <c r="D13842" t="inlineStr">
        <is>
          <t>VÄSTERNORRLANDS LÄN</t>
        </is>
      </c>
      <c r="E13842" t="inlineStr">
        <is>
          <t>ÅNGE</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27536-2024</t>
        </is>
      </c>
      <c r="B13843" s="1" t="n">
        <v>45474</v>
      </c>
      <c r="C13843" s="1" t="n">
        <v>45657</v>
      </c>
      <c r="D13843" t="inlineStr">
        <is>
          <t>VÄSTERNORRLANDS LÄN</t>
        </is>
      </c>
      <c r="E13843" t="inlineStr">
        <is>
          <t>ÖRNSKÖLDSVIK</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27461-2024</t>
        </is>
      </c>
      <c r="B13844" s="1" t="n">
        <v>45474</v>
      </c>
      <c r="C13844" s="1" t="n">
        <v>45657</v>
      </c>
      <c r="D13844" t="inlineStr">
        <is>
          <t>VÄSTERNORRLANDS LÄN</t>
        </is>
      </c>
      <c r="E13844" t="inlineStr">
        <is>
          <t>ÅNGE</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27394-2024</t>
        </is>
      </c>
      <c r="B13845" s="1" t="n">
        <v>45474</v>
      </c>
      <c r="C13845" s="1" t="n">
        <v>45657</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27407-2024</t>
        </is>
      </c>
      <c r="B13846" s="1" t="n">
        <v>45474</v>
      </c>
      <c r="C13846" s="1" t="n">
        <v>45657</v>
      </c>
      <c r="D13846" t="inlineStr">
        <is>
          <t>VÄSTERNORRLANDS LÄN</t>
        </is>
      </c>
      <c r="E13846" t="inlineStr">
        <is>
          <t>ÖRNSKÖLDSVIK</t>
        </is>
      </c>
      <c r="F13846" t="inlineStr">
        <is>
          <t>Holmen skog AB</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27531-2024</t>
        </is>
      </c>
      <c r="B13847" s="1" t="n">
        <v>45474</v>
      </c>
      <c r="C13847" s="1" t="n">
        <v>45657</v>
      </c>
      <c r="D13847" t="inlineStr">
        <is>
          <t>VÄSTERNORRLANDS LÄN</t>
        </is>
      </c>
      <c r="E13847" t="inlineStr">
        <is>
          <t>ÖRNSKÖLDSVIK</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27539-2024</t>
        </is>
      </c>
      <c r="B13848" s="1" t="n">
        <v>45474</v>
      </c>
      <c r="C13848" s="1" t="n">
        <v>45657</v>
      </c>
      <c r="D13848" t="inlineStr">
        <is>
          <t>VÄSTERNORRLANDS LÄN</t>
        </is>
      </c>
      <c r="E13848" t="inlineStr">
        <is>
          <t>ÖRNSKÖLDSVIK</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27567-2024</t>
        </is>
      </c>
      <c r="B13849" s="1" t="n">
        <v>45474</v>
      </c>
      <c r="C13849" s="1" t="n">
        <v>45657</v>
      </c>
      <c r="D13849" t="inlineStr">
        <is>
          <t>VÄSTERNORRLANDS LÄN</t>
        </is>
      </c>
      <c r="E13849" t="inlineStr">
        <is>
          <t>ÖRNSKÖLDSVIK</t>
        </is>
      </c>
      <c r="F13849" t="inlineStr">
        <is>
          <t>Holmen skog AB</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27575-2024</t>
        </is>
      </c>
      <c r="B13850" s="1" t="n">
        <v>45474</v>
      </c>
      <c r="C13850" s="1" t="n">
        <v>45657</v>
      </c>
      <c r="D13850" t="inlineStr">
        <is>
          <t>VÄSTERNORRLANDS LÄN</t>
        </is>
      </c>
      <c r="E13850" t="inlineStr">
        <is>
          <t>SUNDSVALL</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27599-2024</t>
        </is>
      </c>
      <c r="B13851" s="1" t="n">
        <v>45474</v>
      </c>
      <c r="C13851" s="1" t="n">
        <v>45657</v>
      </c>
      <c r="D13851" t="inlineStr">
        <is>
          <t>VÄSTERNORRLANDS LÄN</t>
        </is>
      </c>
      <c r="E13851" t="inlineStr">
        <is>
          <t>ÖRNSKÖLDSVIK</t>
        </is>
      </c>
      <c r="F13851" t="inlineStr">
        <is>
          <t>Holmen skog AB</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27623-2024</t>
        </is>
      </c>
      <c r="B13852" s="1" t="n">
        <v>45474</v>
      </c>
      <c r="C13852" s="1" t="n">
        <v>45657</v>
      </c>
      <c r="D13852" t="inlineStr">
        <is>
          <t>VÄSTERNORRLANDS LÄN</t>
        </is>
      </c>
      <c r="E13852" t="inlineStr">
        <is>
          <t>TIMRÅ</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27639-2024</t>
        </is>
      </c>
      <c r="B13853" s="1" t="n">
        <v>45474</v>
      </c>
      <c r="C13853" s="1" t="n">
        <v>45657</v>
      </c>
      <c r="D13853" t="inlineStr">
        <is>
          <t>VÄSTERNORRLANDS LÄN</t>
        </is>
      </c>
      <c r="E13853" t="inlineStr">
        <is>
          <t>SOLLEFTEÅ</t>
        </is>
      </c>
      <c r="F13853" t="inlineStr">
        <is>
          <t>SCA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27562-2024</t>
        </is>
      </c>
      <c r="B13854" s="1" t="n">
        <v>45474</v>
      </c>
      <c r="C13854" s="1" t="n">
        <v>45657</v>
      </c>
      <c r="D13854" t="inlineStr">
        <is>
          <t>VÄSTERNORRLANDS LÄN</t>
        </is>
      </c>
      <c r="E13854" t="inlineStr">
        <is>
          <t>ÖRNSKÖLDSVIK</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27622-2024</t>
        </is>
      </c>
      <c r="B13855" s="1" t="n">
        <v>45474</v>
      </c>
      <c r="C13855" s="1" t="n">
        <v>45657</v>
      </c>
      <c r="D13855" t="inlineStr">
        <is>
          <t>VÄSTERNORRLANDS LÄN</t>
        </is>
      </c>
      <c r="E13855" t="inlineStr">
        <is>
          <t>KRAMFORS</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27572-2024</t>
        </is>
      </c>
      <c r="B13856" s="1" t="n">
        <v>45474</v>
      </c>
      <c r="C13856" s="1" t="n">
        <v>45657</v>
      </c>
      <c r="D13856" t="inlineStr">
        <is>
          <t>VÄSTERNORRLANDS LÄN</t>
        </is>
      </c>
      <c r="E13856" t="inlineStr">
        <is>
          <t>ÖRNSKÖLDSVIK</t>
        </is>
      </c>
      <c r="F13856" t="inlineStr">
        <is>
          <t>Holmen skog AB</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27630-2024</t>
        </is>
      </c>
      <c r="B13857" s="1" t="n">
        <v>45474</v>
      </c>
      <c r="C13857" s="1" t="n">
        <v>45657</v>
      </c>
      <c r="D13857" t="inlineStr">
        <is>
          <t>VÄSTERNORRLANDS LÄN</t>
        </is>
      </c>
      <c r="E13857" t="inlineStr">
        <is>
          <t>ÅNGE</t>
        </is>
      </c>
      <c r="G13857" t="n">
        <v>8.199999999999999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27634-2024</t>
        </is>
      </c>
      <c r="B13858" s="1" t="n">
        <v>45475</v>
      </c>
      <c r="C13858" s="1" t="n">
        <v>45657</v>
      </c>
      <c r="D13858" t="inlineStr">
        <is>
          <t>VÄSTERNORRLANDS LÄN</t>
        </is>
      </c>
      <c r="E13858" t="inlineStr">
        <is>
          <t>SOLLEFTEÅ</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27485-2024</t>
        </is>
      </c>
      <c r="B13859" s="1" t="n">
        <v>45474</v>
      </c>
      <c r="C13859" s="1" t="n">
        <v>45657</v>
      </c>
      <c r="D13859" t="inlineStr">
        <is>
          <t>VÄSTERNORRLANDS LÄN</t>
        </is>
      </c>
      <c r="E13859" t="inlineStr">
        <is>
          <t>ÖRNSKÖLDSVIK</t>
        </is>
      </c>
      <c r="F13859" t="inlineStr">
        <is>
          <t>Holmen skog AB</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27629-2024</t>
        </is>
      </c>
      <c r="B13860" s="1" t="n">
        <v>45474</v>
      </c>
      <c r="C13860" s="1" t="n">
        <v>45657</v>
      </c>
      <c r="D13860" t="inlineStr">
        <is>
          <t>VÄSTERNORRLANDS LÄN</t>
        </is>
      </c>
      <c r="E13860" t="inlineStr">
        <is>
          <t>ÅNGE</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27633-2024</t>
        </is>
      </c>
      <c r="B13861" s="1" t="n">
        <v>45475</v>
      </c>
      <c r="C13861" s="1" t="n">
        <v>45657</v>
      </c>
      <c r="D13861" t="inlineStr">
        <is>
          <t>VÄSTERNORRLANDS LÄN</t>
        </is>
      </c>
      <c r="E13861" t="inlineStr">
        <is>
          <t>SOLLEFTEÅ</t>
        </is>
      </c>
      <c r="F13861" t="inlineStr">
        <is>
          <t>SCA</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27641-2024</t>
        </is>
      </c>
      <c r="B13862" s="1" t="n">
        <v>45475</v>
      </c>
      <c r="C13862" s="1" t="n">
        <v>45657</v>
      </c>
      <c r="D13862" t="inlineStr">
        <is>
          <t>VÄSTERNORRLANDS LÄN</t>
        </is>
      </c>
      <c r="E13862" t="inlineStr">
        <is>
          <t>SOLLEFTEÅ</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27645-2024</t>
        </is>
      </c>
      <c r="B13863" s="1" t="n">
        <v>45474</v>
      </c>
      <c r="C13863" s="1" t="n">
        <v>45657</v>
      </c>
      <c r="D13863" t="inlineStr">
        <is>
          <t>VÄSTERNORRLANDS LÄN</t>
        </is>
      </c>
      <c r="E13863" t="inlineStr">
        <is>
          <t>HÄRNÖSAND</t>
        </is>
      </c>
      <c r="F13863" t="inlineStr">
        <is>
          <t>SCA</t>
        </is>
      </c>
      <c r="G13863" t="n">
        <v>15.3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27661-2024</t>
        </is>
      </c>
      <c r="B13864" s="1" t="n">
        <v>45475</v>
      </c>
      <c r="C13864" s="1" t="n">
        <v>45657</v>
      </c>
      <c r="D13864" t="inlineStr">
        <is>
          <t>VÄSTERNORRLANDS LÄN</t>
        </is>
      </c>
      <c r="E13864" t="inlineStr">
        <is>
          <t>ÅNGE</t>
        </is>
      </c>
      <c r="F13864" t="inlineStr">
        <is>
          <t>SCA</t>
        </is>
      </c>
      <c r="G13864" t="n">
        <v>19.1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27673-2024</t>
        </is>
      </c>
      <c r="B13865" s="1" t="n">
        <v>45475</v>
      </c>
      <c r="C13865" s="1" t="n">
        <v>45657</v>
      </c>
      <c r="D13865" t="inlineStr">
        <is>
          <t>VÄSTERNORRLANDS LÄN</t>
        </is>
      </c>
      <c r="E13865" t="inlineStr">
        <is>
          <t>SUNDSVALL</t>
        </is>
      </c>
      <c r="F13865" t="inlineStr">
        <is>
          <t>SCA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27922-2024</t>
        </is>
      </c>
      <c r="B13866" s="1" t="n">
        <v>45476</v>
      </c>
      <c r="C13866" s="1" t="n">
        <v>45657</v>
      </c>
      <c r="D13866" t="inlineStr">
        <is>
          <t>VÄSTERNORRLANDS LÄN</t>
        </is>
      </c>
      <c r="E13866" t="inlineStr">
        <is>
          <t>SOLLEFTEÅ</t>
        </is>
      </c>
      <c r="F13866" t="inlineStr">
        <is>
          <t>SCA</t>
        </is>
      </c>
      <c r="G13866" t="n">
        <v>5.9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27684-2024</t>
        </is>
      </c>
      <c r="B13867" s="1" t="n">
        <v>45475</v>
      </c>
      <c r="C13867" s="1" t="n">
        <v>45657</v>
      </c>
      <c r="D13867" t="inlineStr">
        <is>
          <t>VÄSTERNORRLANDS LÄN</t>
        </is>
      </c>
      <c r="E13867" t="inlineStr">
        <is>
          <t>ÖRNSKÖLDSVIK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27703-2024</t>
        </is>
      </c>
      <c r="B13868" s="1" t="n">
        <v>45475</v>
      </c>
      <c r="C13868" s="1" t="n">
        <v>45657</v>
      </c>
      <c r="D13868" t="inlineStr">
        <is>
          <t>VÄSTERNORRLANDS LÄN</t>
        </is>
      </c>
      <c r="E13868" t="inlineStr">
        <is>
          <t>ÖRNSKÖLDSVIK</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27935-2024</t>
        </is>
      </c>
      <c r="B13869" s="1" t="n">
        <v>45475</v>
      </c>
      <c r="C13869" s="1" t="n">
        <v>45657</v>
      </c>
      <c r="D13869" t="inlineStr">
        <is>
          <t>VÄSTERNORRLANDS LÄN</t>
        </is>
      </c>
      <c r="E13869" t="inlineStr">
        <is>
          <t>ÅNGE</t>
        </is>
      </c>
      <c r="F13869" t="inlineStr">
        <is>
          <t>SCA</t>
        </is>
      </c>
      <c r="G13869" t="n">
        <v>2.8</v>
      </c>
      <c r="H13869" t="n">
        <v>0</v>
      </c>
      <c r="I13869" t="n">
        <v>0</v>
      </c>
      <c r="J13869" t="n">
        <v>0</v>
      </c>
      <c r="K13869" t="n">
        <v>0</v>
      </c>
      <c r="L13869" t="n">
        <v>0</v>
      </c>
      <c r="M13869" t="n">
        <v>0</v>
      </c>
      <c r="N13869" t="n">
        <v>0</v>
      </c>
      <c r="O13869" t="n">
        <v>0</v>
      </c>
      <c r="P13869" t="n">
        <v>0</v>
      </c>
      <c r="Q13869" t="n">
        <v>0</v>
      </c>
      <c r="R13869" s="2" t="inlineStr"/>
      <c r="U13869">
        <f>HYPERLINK("https://klasma.github.io/Logging_2260/knärot/A 27935-2024 karta knärot.png", "A 27935-2024")</f>
        <v/>
      </c>
      <c r="V13869">
        <f>HYPERLINK("https://klasma.github.io/Logging_2260/klagomål/A 27935-2024 FSC-klagomål.docx", "A 27935-2024")</f>
        <v/>
      </c>
      <c r="W13869">
        <f>HYPERLINK("https://klasma.github.io/Logging_2260/klagomålsmail/A 27935-2024 FSC-klagomål mail.docx", "A 27935-2024")</f>
        <v/>
      </c>
      <c r="X13869">
        <f>HYPERLINK("https://klasma.github.io/Logging_2260/tillsyn/A 27935-2024 tillsynsbegäran.docx", "A 27935-2024")</f>
        <v/>
      </c>
      <c r="Y13869">
        <f>HYPERLINK("https://klasma.github.io/Logging_2260/tillsynsmail/A 27935-2024 tillsynsbegäran mail.docx", "A 27935-2024")</f>
        <v/>
      </c>
    </row>
    <row r="13870" ht="15" customHeight="1">
      <c r="A13870" t="inlineStr">
        <is>
          <t>A 27927-2024</t>
        </is>
      </c>
      <c r="B13870" s="1" t="n">
        <v>45475</v>
      </c>
      <c r="C13870" s="1" t="n">
        <v>45657</v>
      </c>
      <c r="D13870" t="inlineStr">
        <is>
          <t>VÄSTERNORRLANDS LÄN</t>
        </is>
      </c>
      <c r="E13870" t="inlineStr">
        <is>
          <t>SOLLEFTEÅ</t>
        </is>
      </c>
      <c r="F13870" t="inlineStr">
        <is>
          <t>SCA</t>
        </is>
      </c>
      <c r="G13870" t="n">
        <v>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27915-2024</t>
        </is>
      </c>
      <c r="B13871" s="1" t="n">
        <v>45475</v>
      </c>
      <c r="C13871" s="1" t="n">
        <v>45657</v>
      </c>
      <c r="D13871" t="inlineStr">
        <is>
          <t>VÄSTERNORRLANDS LÄN</t>
        </is>
      </c>
      <c r="E13871" t="inlineStr">
        <is>
          <t>ÅNGE</t>
        </is>
      </c>
      <c r="F13871" t="inlineStr">
        <is>
          <t>SCA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27911-2024</t>
        </is>
      </c>
      <c r="B13872" s="1" t="n">
        <v>45475</v>
      </c>
      <c r="C13872" s="1" t="n">
        <v>45657</v>
      </c>
      <c r="D13872" t="inlineStr">
        <is>
          <t>VÄSTERNORRLANDS LÄN</t>
        </is>
      </c>
      <c r="E13872" t="inlineStr">
        <is>
          <t>SOLLEFTEÅ</t>
        </is>
      </c>
      <c r="F13872" t="inlineStr">
        <is>
          <t>SCA</t>
        </is>
      </c>
      <c r="G13872" t="n">
        <v>6.1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27908-2024</t>
        </is>
      </c>
      <c r="B13873" s="1" t="n">
        <v>45476</v>
      </c>
      <c r="C13873" s="1" t="n">
        <v>45657</v>
      </c>
      <c r="D13873" t="inlineStr">
        <is>
          <t>VÄSTERNORRLANDS LÄN</t>
        </is>
      </c>
      <c r="E13873" t="inlineStr">
        <is>
          <t>SOLLEFTEÅ</t>
        </is>
      </c>
      <c r="F13873" t="inlineStr">
        <is>
          <t>SCA</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27916-2024</t>
        </is>
      </c>
      <c r="B13874" s="1" t="n">
        <v>45476</v>
      </c>
      <c r="C13874" s="1" t="n">
        <v>45657</v>
      </c>
      <c r="D13874" t="inlineStr">
        <is>
          <t>VÄSTERNORRLANDS LÄN</t>
        </is>
      </c>
      <c r="E13874" t="inlineStr">
        <is>
          <t>SOLLEFTEÅ</t>
        </is>
      </c>
      <c r="F13874" t="inlineStr">
        <is>
          <t>SCA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27895-2024</t>
        </is>
      </c>
      <c r="B13875" s="1" t="n">
        <v>45476</v>
      </c>
      <c r="C13875" s="1" t="n">
        <v>45657</v>
      </c>
      <c r="D13875" t="inlineStr">
        <is>
          <t>VÄSTERNORRLANDS LÄN</t>
        </is>
      </c>
      <c r="E13875" t="inlineStr">
        <is>
          <t>SUNDSVALL</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27854-2024</t>
        </is>
      </c>
      <c r="B13876" s="1" t="n">
        <v>45475</v>
      </c>
      <c r="C13876" s="1" t="n">
        <v>45657</v>
      </c>
      <c r="D13876" t="inlineStr">
        <is>
          <t>VÄSTERNORRLANDS LÄN</t>
        </is>
      </c>
      <c r="E13876" t="inlineStr">
        <is>
          <t>ÖRNSKÖLDSVIK</t>
        </is>
      </c>
      <c r="F13876" t="inlineStr">
        <is>
          <t>Holmen skog AB</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27766-2024</t>
        </is>
      </c>
      <c r="B13877" s="1" t="n">
        <v>45475</v>
      </c>
      <c r="C13877" s="1" t="n">
        <v>45657</v>
      </c>
      <c r="D13877" t="inlineStr">
        <is>
          <t>VÄSTERNORRLANDS LÄN</t>
        </is>
      </c>
      <c r="E13877" t="inlineStr">
        <is>
          <t>ÖRNSKÖLDSVIK</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27458-2024</t>
        </is>
      </c>
      <c r="B13878" s="1" t="n">
        <v>45475</v>
      </c>
      <c r="C13878" s="1" t="n">
        <v>45657</v>
      </c>
      <c r="D13878" t="inlineStr">
        <is>
          <t>VÄSTERNORRLANDS LÄN</t>
        </is>
      </c>
      <c r="E13878" t="inlineStr">
        <is>
          <t>ÖRNSKÖLDSVIK</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27740-2024</t>
        </is>
      </c>
      <c r="B13879" s="1" t="n">
        <v>45475</v>
      </c>
      <c r="C13879" s="1" t="n">
        <v>45657</v>
      </c>
      <c r="D13879" t="inlineStr">
        <is>
          <t>VÄSTERNORRLANDS LÄN</t>
        </is>
      </c>
      <c r="E13879" t="inlineStr">
        <is>
          <t>SUNDSVALL</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27784-2024</t>
        </is>
      </c>
      <c r="B13880" s="1" t="n">
        <v>45475</v>
      </c>
      <c r="C13880" s="1" t="n">
        <v>45657</v>
      </c>
      <c r="D13880" t="inlineStr">
        <is>
          <t>VÄSTERNORRLANDS LÄN</t>
        </is>
      </c>
      <c r="E13880" t="inlineStr">
        <is>
          <t>SUNDSVALL</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27800-2024</t>
        </is>
      </c>
      <c r="B13881" s="1" t="n">
        <v>45475</v>
      </c>
      <c r="C13881" s="1" t="n">
        <v>45657</v>
      </c>
      <c r="D13881" t="inlineStr">
        <is>
          <t>VÄSTERNORRLANDS LÄN</t>
        </is>
      </c>
      <c r="E13881" t="inlineStr">
        <is>
          <t>ÖRNSKÖLDSVIK</t>
        </is>
      </c>
      <c r="F13881" t="inlineStr">
        <is>
          <t>Holmen skog AB</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27836-2024</t>
        </is>
      </c>
      <c r="B13882" s="1" t="n">
        <v>45475</v>
      </c>
      <c r="C13882" s="1" t="n">
        <v>45657</v>
      </c>
      <c r="D13882" t="inlineStr">
        <is>
          <t>VÄSTERNORRLANDS LÄN</t>
        </is>
      </c>
      <c r="E13882" t="inlineStr">
        <is>
          <t>KRAMFORS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27840-2024</t>
        </is>
      </c>
      <c r="B13883" s="1" t="n">
        <v>45475</v>
      </c>
      <c r="C13883" s="1" t="n">
        <v>45657</v>
      </c>
      <c r="D13883" t="inlineStr">
        <is>
          <t>VÄSTERNORRLANDS LÄN</t>
        </is>
      </c>
      <c r="E13883" t="inlineStr">
        <is>
          <t>KRAMFORS</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27848-2024</t>
        </is>
      </c>
      <c r="B13884" s="1" t="n">
        <v>45475</v>
      </c>
      <c r="C13884" s="1" t="n">
        <v>45657</v>
      </c>
      <c r="D13884" t="inlineStr">
        <is>
          <t>VÄSTERNORRLANDS LÄN</t>
        </is>
      </c>
      <c r="E13884" t="inlineStr">
        <is>
          <t>SOLLEFTEÅ</t>
        </is>
      </c>
      <c r="F13884" t="inlineStr">
        <is>
          <t>Holmen skog AB</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27860-2024</t>
        </is>
      </c>
      <c r="B13885" s="1" t="n">
        <v>45475</v>
      </c>
      <c r="C13885" s="1" t="n">
        <v>45657</v>
      </c>
      <c r="D13885" t="inlineStr">
        <is>
          <t>VÄSTERNORRLANDS LÄN</t>
        </is>
      </c>
      <c r="E13885" t="inlineStr">
        <is>
          <t>ÖRNSKÖLDSVIK</t>
        </is>
      </c>
      <c r="F13885" t="inlineStr">
        <is>
          <t>Holmen skog AB</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27897-2024</t>
        </is>
      </c>
      <c r="B13886" s="1" t="n">
        <v>45475</v>
      </c>
      <c r="C13886" s="1" t="n">
        <v>45657</v>
      </c>
      <c r="D13886" t="inlineStr">
        <is>
          <t>VÄSTERNORRLANDS LÄN</t>
        </is>
      </c>
      <c r="E13886" t="inlineStr">
        <is>
          <t>SUNDSVALL</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27901-2024</t>
        </is>
      </c>
      <c r="B13887" s="1" t="n">
        <v>45476</v>
      </c>
      <c r="C13887" s="1" t="n">
        <v>45657</v>
      </c>
      <c r="D13887" t="inlineStr">
        <is>
          <t>VÄSTERNORRLANDS LÄN</t>
        </is>
      </c>
      <c r="E13887" t="inlineStr">
        <is>
          <t>SOLLEFTEÅ</t>
        </is>
      </c>
      <c r="G13887" t="n">
        <v>12.7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27925-2024</t>
        </is>
      </c>
      <c r="B13888" s="1" t="n">
        <v>45475</v>
      </c>
      <c r="C13888" s="1" t="n">
        <v>45657</v>
      </c>
      <c r="D13888" t="inlineStr">
        <is>
          <t>VÄSTERNORRLANDS LÄN</t>
        </is>
      </c>
      <c r="E13888" t="inlineStr">
        <is>
          <t>SOLLEFTEÅ</t>
        </is>
      </c>
      <c r="G13888" t="n">
        <v>19.8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27853-2024</t>
        </is>
      </c>
      <c r="B13889" s="1" t="n">
        <v>45475</v>
      </c>
      <c r="C13889" s="1" t="n">
        <v>45657</v>
      </c>
      <c r="D13889" t="inlineStr">
        <is>
          <t>VÄSTERNORRLANDS LÄN</t>
        </is>
      </c>
      <c r="E13889" t="inlineStr">
        <is>
          <t>ÅNGE</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27849-2024</t>
        </is>
      </c>
      <c r="B13890" s="1" t="n">
        <v>45475</v>
      </c>
      <c r="C13890" s="1" t="n">
        <v>45657</v>
      </c>
      <c r="D13890" t="inlineStr">
        <is>
          <t>VÄSTERNORRLANDS LÄN</t>
        </is>
      </c>
      <c r="E13890" t="inlineStr">
        <is>
          <t>ÖRNSKÖLDSVIK</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27845-2024</t>
        </is>
      </c>
      <c r="B13891" s="1" t="n">
        <v>45475</v>
      </c>
      <c r="C13891" s="1" t="n">
        <v>45657</v>
      </c>
      <c r="D13891" t="inlineStr">
        <is>
          <t>VÄSTERNORRLANDS LÄN</t>
        </is>
      </c>
      <c r="E13891" t="inlineStr">
        <is>
          <t>KRAMFORS</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27789-2024</t>
        </is>
      </c>
      <c r="B13892" s="1" t="n">
        <v>45475</v>
      </c>
      <c r="C13892" s="1" t="n">
        <v>45657</v>
      </c>
      <c r="D13892" t="inlineStr">
        <is>
          <t>VÄSTERNORRLANDS LÄN</t>
        </is>
      </c>
      <c r="E13892" t="inlineStr">
        <is>
          <t>SOLLEFTEÅ</t>
        </is>
      </c>
      <c r="F13892" t="inlineStr">
        <is>
          <t>SCA</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27785-2024</t>
        </is>
      </c>
      <c r="B13893" s="1" t="n">
        <v>45475</v>
      </c>
      <c r="C13893" s="1" t="n">
        <v>45657</v>
      </c>
      <c r="D13893" t="inlineStr">
        <is>
          <t>VÄSTERNORRLANDS LÄN</t>
        </is>
      </c>
      <c r="E13893" t="inlineStr">
        <is>
          <t>ÖRNSKÖLDSVIK</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27765-2024</t>
        </is>
      </c>
      <c r="B13894" s="1" t="n">
        <v>45475</v>
      </c>
      <c r="C13894" s="1" t="n">
        <v>45657</v>
      </c>
      <c r="D13894" t="inlineStr">
        <is>
          <t>VÄSTERNORRLANDS LÄN</t>
        </is>
      </c>
      <c r="E13894" t="inlineStr">
        <is>
          <t>ÖRNSKÖLDSVIK</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27741-2024</t>
        </is>
      </c>
      <c r="B13895" s="1" t="n">
        <v>45475</v>
      </c>
      <c r="C13895" s="1" t="n">
        <v>45657</v>
      </c>
      <c r="D13895" t="inlineStr">
        <is>
          <t>VÄSTERNORRLANDS LÄN</t>
        </is>
      </c>
      <c r="E13895" t="inlineStr">
        <is>
          <t>ÖRNSKÖLDSVIK</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27709-2024</t>
        </is>
      </c>
      <c r="B13896" s="1" t="n">
        <v>45475</v>
      </c>
      <c r="C13896" s="1" t="n">
        <v>45657</v>
      </c>
      <c r="D13896" t="inlineStr">
        <is>
          <t>VÄSTERNORRLANDS LÄN</t>
        </is>
      </c>
      <c r="E13896" t="inlineStr">
        <is>
          <t>KRAMFORS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27924-2024</t>
        </is>
      </c>
      <c r="B13897" s="1" t="n">
        <v>45475</v>
      </c>
      <c r="C13897" s="1" t="n">
        <v>45657</v>
      </c>
      <c r="D13897" t="inlineStr">
        <is>
          <t>VÄSTERNORRLANDS LÄN</t>
        </is>
      </c>
      <c r="E13897" t="inlineStr">
        <is>
          <t>SOLLEFTEÅ</t>
        </is>
      </c>
      <c r="F13897" t="inlineStr">
        <is>
          <t>SCA</t>
        </is>
      </c>
      <c r="G13897" t="n">
        <v>23.5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27928-2024</t>
        </is>
      </c>
      <c r="B13898" s="1" t="n">
        <v>45475</v>
      </c>
      <c r="C13898" s="1" t="n">
        <v>45657</v>
      </c>
      <c r="D13898" t="inlineStr">
        <is>
          <t>VÄSTERNORRLANDS LÄN</t>
        </is>
      </c>
      <c r="E13898" t="inlineStr">
        <is>
          <t>SUNDSVALL</t>
        </is>
      </c>
      <c r="F13898" t="inlineStr">
        <is>
          <t>SCA</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27936-2024</t>
        </is>
      </c>
      <c r="B13899" s="1" t="n">
        <v>45476</v>
      </c>
      <c r="C13899" s="1" t="n">
        <v>45657</v>
      </c>
      <c r="D13899" t="inlineStr">
        <is>
          <t>VÄSTERNORRLANDS LÄN</t>
        </is>
      </c>
      <c r="E13899" t="inlineStr">
        <is>
          <t>SOLLEFTEÅ</t>
        </is>
      </c>
      <c r="F13899" t="inlineStr">
        <is>
          <t>SCA</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27735-2024</t>
        </is>
      </c>
      <c r="B13900" s="1" t="n">
        <v>45475</v>
      </c>
      <c r="C13900" s="1" t="n">
        <v>45657</v>
      </c>
      <c r="D13900" t="inlineStr">
        <is>
          <t>VÄSTERNORRLANDS LÄN</t>
        </is>
      </c>
      <c r="E13900" t="inlineStr">
        <is>
          <t>SUNDSVALL</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27755-2024</t>
        </is>
      </c>
      <c r="B13901" s="1" t="n">
        <v>45475</v>
      </c>
      <c r="C13901" s="1" t="n">
        <v>45657</v>
      </c>
      <c r="D13901" t="inlineStr">
        <is>
          <t>VÄSTERNORRLANDS LÄN</t>
        </is>
      </c>
      <c r="E13901" t="inlineStr">
        <is>
          <t>ÖRNSKÖLDSVIK</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27803-2024</t>
        </is>
      </c>
      <c r="B13902" s="1" t="n">
        <v>45475</v>
      </c>
      <c r="C13902" s="1" t="n">
        <v>45657</v>
      </c>
      <c r="D13902" t="inlineStr">
        <is>
          <t>VÄSTERNORRLANDS LÄN</t>
        </is>
      </c>
      <c r="E13902" t="inlineStr">
        <is>
          <t>ÖRNSKÖLDSVIK</t>
        </is>
      </c>
      <c r="F13902" t="inlineStr">
        <is>
          <t>Holmen skog AB</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27807-2024</t>
        </is>
      </c>
      <c r="B13903" s="1" t="n">
        <v>45475</v>
      </c>
      <c r="C13903" s="1" t="n">
        <v>45657</v>
      </c>
      <c r="D13903" t="inlineStr">
        <is>
          <t>VÄSTERNORRLANDS LÄN</t>
        </is>
      </c>
      <c r="E13903" t="inlineStr">
        <is>
          <t>ÖRNSKÖLDSVIK</t>
        </is>
      </c>
      <c r="F13903" t="inlineStr">
        <is>
          <t>Holmen skog AB</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28062-2024</t>
        </is>
      </c>
      <c r="B13904" s="1" t="n">
        <v>45476</v>
      </c>
      <c r="C13904" s="1" t="n">
        <v>45657</v>
      </c>
      <c r="D13904" t="inlineStr">
        <is>
          <t>VÄSTERNORRLANDS LÄN</t>
        </is>
      </c>
      <c r="E13904" t="inlineStr">
        <is>
          <t>ÖRNSKÖLDSVIK</t>
        </is>
      </c>
      <c r="F13904" t="inlineStr">
        <is>
          <t>Holmen skog AB</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28114-2024</t>
        </is>
      </c>
      <c r="B13905" s="1" t="n">
        <v>45476</v>
      </c>
      <c r="C13905" s="1" t="n">
        <v>45657</v>
      </c>
      <c r="D13905" t="inlineStr">
        <is>
          <t>VÄSTERNORRLANDS LÄN</t>
        </is>
      </c>
      <c r="E13905" t="inlineStr">
        <is>
          <t>KRAMFORS</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28155-2024</t>
        </is>
      </c>
      <c r="B13906" s="1" t="n">
        <v>45476</v>
      </c>
      <c r="C13906" s="1" t="n">
        <v>45657</v>
      </c>
      <c r="D13906" t="inlineStr">
        <is>
          <t>VÄSTERNORRLANDS LÄN</t>
        </is>
      </c>
      <c r="E13906" t="inlineStr">
        <is>
          <t>SUNDSVALL</t>
        </is>
      </c>
      <c r="G13906" t="n">
        <v>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28159-2024</t>
        </is>
      </c>
      <c r="B13907" s="1" t="n">
        <v>45477</v>
      </c>
      <c r="C13907" s="1" t="n">
        <v>45657</v>
      </c>
      <c r="D13907" t="inlineStr">
        <is>
          <t>VÄSTERNORRLANDS LÄN</t>
        </is>
      </c>
      <c r="E13907" t="inlineStr">
        <is>
          <t>SOLLEFTEÅ</t>
        </is>
      </c>
      <c r="F13907" t="inlineStr">
        <is>
          <t>SCA</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28167-2024</t>
        </is>
      </c>
      <c r="B13908" s="1" t="n">
        <v>45477</v>
      </c>
      <c r="C13908" s="1" t="n">
        <v>45657</v>
      </c>
      <c r="D13908" t="inlineStr">
        <is>
          <t>VÄSTERNORRLANDS LÄN</t>
        </is>
      </c>
      <c r="E13908" t="inlineStr">
        <is>
          <t>ÖRNSKÖLDSVIK</t>
        </is>
      </c>
      <c r="F13908" t="inlineStr">
        <is>
          <t>SCA</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28171-2024</t>
        </is>
      </c>
      <c r="B13909" s="1" t="n">
        <v>45477</v>
      </c>
      <c r="C13909" s="1" t="n">
        <v>45657</v>
      </c>
      <c r="D13909" t="inlineStr">
        <is>
          <t>VÄSTERNORRLANDS LÄN</t>
        </is>
      </c>
      <c r="E13909" t="inlineStr">
        <is>
          <t>ÅNGE</t>
        </is>
      </c>
      <c r="F13909" t="inlineStr">
        <is>
          <t>SCA</t>
        </is>
      </c>
      <c r="G13909" t="n">
        <v>20.8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28172-2024</t>
        </is>
      </c>
      <c r="B13910" s="1" t="n">
        <v>45476</v>
      </c>
      <c r="C13910" s="1" t="n">
        <v>45657</v>
      </c>
      <c r="D13910" t="inlineStr">
        <is>
          <t>VÄSTERNORRLANDS LÄN</t>
        </is>
      </c>
      <c r="E13910" t="inlineStr">
        <is>
          <t>SUNDSVALL</t>
        </is>
      </c>
      <c r="F13910" t="inlineStr">
        <is>
          <t>Kyrkan</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28168-2024</t>
        </is>
      </c>
      <c r="B13911" s="1" t="n">
        <v>45477</v>
      </c>
      <c r="C13911" s="1" t="n">
        <v>45657</v>
      </c>
      <c r="D13911" t="inlineStr">
        <is>
          <t>VÄSTERNORRLANDS LÄN</t>
        </is>
      </c>
      <c r="E13911" t="inlineStr">
        <is>
          <t>ÖRNSKÖLDSVIK</t>
        </is>
      </c>
      <c r="F13911" t="inlineStr">
        <is>
          <t>SCA</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28164-2024</t>
        </is>
      </c>
      <c r="B13912" s="1" t="n">
        <v>45476</v>
      </c>
      <c r="C13912" s="1" t="n">
        <v>45657</v>
      </c>
      <c r="D13912" t="inlineStr">
        <is>
          <t>VÄSTERNORRLANDS LÄN</t>
        </is>
      </c>
      <c r="E13912" t="inlineStr">
        <is>
          <t>SOLLEFTEÅ</t>
        </is>
      </c>
      <c r="F13912" t="inlineStr">
        <is>
          <t>SCA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28160-2024</t>
        </is>
      </c>
      <c r="B13913" s="1" t="n">
        <v>45476</v>
      </c>
      <c r="C13913" s="1" t="n">
        <v>45657</v>
      </c>
      <c r="D13913" t="inlineStr">
        <is>
          <t>VÄSTERNORRLANDS LÄN</t>
        </is>
      </c>
      <c r="E13913" t="inlineStr">
        <is>
          <t>TIMRÅ</t>
        </is>
      </c>
      <c r="F13913" t="inlineStr">
        <is>
          <t>SCA</t>
        </is>
      </c>
      <c r="G13913" t="n">
        <v>16.1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28136-2024</t>
        </is>
      </c>
      <c r="B13914" s="1" t="n">
        <v>45476</v>
      </c>
      <c r="C13914" s="1" t="n">
        <v>45657</v>
      </c>
      <c r="D13914" t="inlineStr">
        <is>
          <t>VÄSTERNORRLANDS LÄN</t>
        </is>
      </c>
      <c r="E13914" t="inlineStr">
        <is>
          <t>ÖRNSKÖLDSVIK</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28169-2024</t>
        </is>
      </c>
      <c r="B13915" s="1" t="n">
        <v>45477</v>
      </c>
      <c r="C13915" s="1" t="n">
        <v>45657</v>
      </c>
      <c r="D13915" t="inlineStr">
        <is>
          <t>VÄSTERNORRLANDS LÄN</t>
        </is>
      </c>
      <c r="E13915" t="inlineStr">
        <is>
          <t>ÖRNSKÖLDSVIK</t>
        </is>
      </c>
      <c r="F13915" t="inlineStr">
        <is>
          <t>SCA</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28170-2024</t>
        </is>
      </c>
      <c r="B13916" s="1" t="n">
        <v>45477</v>
      </c>
      <c r="C13916" s="1" t="n">
        <v>45657</v>
      </c>
      <c r="D13916" t="inlineStr">
        <is>
          <t>VÄSTERNORRLANDS LÄN</t>
        </is>
      </c>
      <c r="E13916" t="inlineStr">
        <is>
          <t>SOLLEFTEÅ</t>
        </is>
      </c>
      <c r="F13916" t="inlineStr">
        <is>
          <t>SCA</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28162-2024</t>
        </is>
      </c>
      <c r="B13917" s="1" t="n">
        <v>45476</v>
      </c>
      <c r="C13917" s="1" t="n">
        <v>45657</v>
      </c>
      <c r="D13917" t="inlineStr">
        <is>
          <t>VÄSTERNORRLANDS LÄN</t>
        </is>
      </c>
      <c r="E13917" t="inlineStr">
        <is>
          <t>SOLLEFTEÅ</t>
        </is>
      </c>
      <c r="F13917" t="inlineStr">
        <is>
          <t>SCA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28125-2024</t>
        </is>
      </c>
      <c r="B13918" s="1" t="n">
        <v>45476</v>
      </c>
      <c r="C13918" s="1" t="n">
        <v>45657</v>
      </c>
      <c r="D13918" t="inlineStr">
        <is>
          <t>VÄSTERNORRLANDS LÄN</t>
        </is>
      </c>
      <c r="E13918" t="inlineStr">
        <is>
          <t>KRAMFORS</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28121-2024</t>
        </is>
      </c>
      <c r="B13919" s="1" t="n">
        <v>45476</v>
      </c>
      <c r="C13919" s="1" t="n">
        <v>45657</v>
      </c>
      <c r="D13919" t="inlineStr">
        <is>
          <t>VÄSTERNORRLANDS LÄN</t>
        </is>
      </c>
      <c r="E13919" t="inlineStr">
        <is>
          <t>KRAMFORS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27938-2024</t>
        </is>
      </c>
      <c r="B13920" s="1" t="n">
        <v>45476</v>
      </c>
      <c r="C13920" s="1" t="n">
        <v>45657</v>
      </c>
      <c r="D13920" t="inlineStr">
        <is>
          <t>VÄSTERNORRLANDS LÄN</t>
        </is>
      </c>
      <c r="E13920" t="inlineStr">
        <is>
          <t>ÖRNSKÖLDSVIK</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27976-2024</t>
        </is>
      </c>
      <c r="B13921" s="1" t="n">
        <v>45476</v>
      </c>
      <c r="C13921" s="1" t="n">
        <v>45657</v>
      </c>
      <c r="D13921" t="inlineStr">
        <is>
          <t>VÄSTERNORRLANDS LÄN</t>
        </is>
      </c>
      <c r="E13921" t="inlineStr">
        <is>
          <t>HÄRNÖSAND</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27972-2024</t>
        </is>
      </c>
      <c r="B13922" s="1" t="n">
        <v>45476</v>
      </c>
      <c r="C13922" s="1" t="n">
        <v>45657</v>
      </c>
      <c r="D13922" t="inlineStr">
        <is>
          <t>VÄSTERNORRLANDS LÄN</t>
        </is>
      </c>
      <c r="E13922" t="inlineStr">
        <is>
          <t>ÖRNSKÖLDSVIK</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27952-2024</t>
        </is>
      </c>
      <c r="B13923" s="1" t="n">
        <v>45476</v>
      </c>
      <c r="C13923" s="1" t="n">
        <v>45657</v>
      </c>
      <c r="D13923" t="inlineStr">
        <is>
          <t>VÄSTERNORRLANDS LÄN</t>
        </is>
      </c>
      <c r="E13923" t="inlineStr">
        <is>
          <t>ÅNGE</t>
        </is>
      </c>
      <c r="G13923" t="n">
        <v>12.2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27948-2024</t>
        </is>
      </c>
      <c r="B13924" s="1" t="n">
        <v>45476</v>
      </c>
      <c r="C13924" s="1" t="n">
        <v>45657</v>
      </c>
      <c r="D13924" t="inlineStr">
        <is>
          <t>VÄSTERNORRLANDS LÄN</t>
        </is>
      </c>
      <c r="E13924" t="inlineStr">
        <is>
          <t>ÖRNSKÖLDSVIK</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27997-2024</t>
        </is>
      </c>
      <c r="B13925" s="1" t="n">
        <v>45476</v>
      </c>
      <c r="C13925" s="1" t="n">
        <v>45657</v>
      </c>
      <c r="D13925" t="inlineStr">
        <is>
          <t>VÄSTERNORRLANDS LÄN</t>
        </is>
      </c>
      <c r="E13925" t="inlineStr">
        <is>
          <t>SUNDSVALL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27977-2024</t>
        </is>
      </c>
      <c r="B13926" s="1" t="n">
        <v>45476</v>
      </c>
      <c r="C13926" s="1" t="n">
        <v>45657</v>
      </c>
      <c r="D13926" t="inlineStr">
        <is>
          <t>VÄSTERNORRLANDS LÄN</t>
        </is>
      </c>
      <c r="E13926" t="inlineStr">
        <is>
          <t>HÄRNÖSAND</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28432-2024</t>
        </is>
      </c>
      <c r="B13927" s="1" t="n">
        <v>45477</v>
      </c>
      <c r="C13927" s="1" t="n">
        <v>45657</v>
      </c>
      <c r="D13927" t="inlineStr">
        <is>
          <t>VÄSTERNORRLANDS LÄN</t>
        </is>
      </c>
      <c r="E13927" t="inlineStr">
        <is>
          <t>ÖRNSKÖLDSVIK</t>
        </is>
      </c>
      <c r="F13927" t="inlineStr">
        <is>
          <t>Holmen skog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28506-2024</t>
        </is>
      </c>
      <c r="B13928" s="1" t="n">
        <v>45478</v>
      </c>
      <c r="C13928" s="1" t="n">
        <v>45657</v>
      </c>
      <c r="D13928" t="inlineStr">
        <is>
          <t>VÄSTERNORRLANDS LÄN</t>
        </is>
      </c>
      <c r="E13928" t="inlineStr">
        <is>
          <t>ÅNGE</t>
        </is>
      </c>
      <c r="F13928" t="inlineStr">
        <is>
          <t>SCA</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28497-2024</t>
        </is>
      </c>
      <c r="B13929" s="1" t="n">
        <v>45478</v>
      </c>
      <c r="C13929" s="1" t="n">
        <v>45657</v>
      </c>
      <c r="D13929" t="inlineStr">
        <is>
          <t>VÄSTERNORRLANDS LÄN</t>
        </is>
      </c>
      <c r="E13929" t="inlineStr">
        <is>
          <t>SUNDSVALL</t>
        </is>
      </c>
      <c r="G13929" t="n">
        <v>13.9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28339-2024</t>
        </is>
      </c>
      <c r="B13930" s="1" t="n">
        <v>45477</v>
      </c>
      <c r="C13930" s="1" t="n">
        <v>45657</v>
      </c>
      <c r="D13930" t="inlineStr">
        <is>
          <t>VÄSTERNORRLANDS LÄN</t>
        </is>
      </c>
      <c r="E13930" t="inlineStr">
        <is>
          <t>ÖRNSKÖLDSVIK</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28327-2024</t>
        </is>
      </c>
      <c r="B13931" s="1" t="n">
        <v>45477</v>
      </c>
      <c r="C13931" s="1" t="n">
        <v>45657</v>
      </c>
      <c r="D13931" t="inlineStr">
        <is>
          <t>VÄSTERNORRLANDS LÄN</t>
        </is>
      </c>
      <c r="E13931" t="inlineStr">
        <is>
          <t>SOLLEFTEÅ</t>
        </is>
      </c>
      <c r="F13931" t="inlineStr">
        <is>
          <t>Holmen skog AB</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28459-2024</t>
        </is>
      </c>
      <c r="B13932" s="1" t="n">
        <v>45477</v>
      </c>
      <c r="C13932" s="1" t="n">
        <v>45657</v>
      </c>
      <c r="D13932" t="inlineStr">
        <is>
          <t>VÄSTERNORRLANDS LÄN</t>
        </is>
      </c>
      <c r="E13932" t="inlineStr">
        <is>
          <t>HÄRNÖSAND</t>
        </is>
      </c>
      <c r="G13932" t="n">
        <v>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28269-2024</t>
        </is>
      </c>
      <c r="B13933" s="1" t="n">
        <v>45477</v>
      </c>
      <c r="C13933" s="1" t="n">
        <v>45657</v>
      </c>
      <c r="D13933" t="inlineStr">
        <is>
          <t>VÄSTERNORRLANDS LÄN</t>
        </is>
      </c>
      <c r="E13933" t="inlineStr">
        <is>
          <t>SOLLEFTEÅ</t>
        </is>
      </c>
      <c r="F13933" t="inlineStr">
        <is>
          <t>Holmen skog AB</t>
        </is>
      </c>
      <c r="G13933" t="n">
        <v>7.6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28423-2024</t>
        </is>
      </c>
      <c r="B13934" s="1" t="n">
        <v>45477</v>
      </c>
      <c r="C13934" s="1" t="n">
        <v>45657</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28382-2024</t>
        </is>
      </c>
      <c r="B13935" s="1" t="n">
        <v>45477</v>
      </c>
      <c r="C13935" s="1" t="n">
        <v>45657</v>
      </c>
      <c r="D13935" t="inlineStr">
        <is>
          <t>VÄSTERNORRLANDS LÄN</t>
        </is>
      </c>
      <c r="E13935" t="inlineStr">
        <is>
          <t>ÖRNSKÖLDSVIK</t>
        </is>
      </c>
      <c r="F13935" t="inlineStr">
        <is>
          <t>Holmen skog AB</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28281-2024</t>
        </is>
      </c>
      <c r="B13936" s="1" t="n">
        <v>45477</v>
      </c>
      <c r="C13936" s="1" t="n">
        <v>45657</v>
      </c>
      <c r="D13936" t="inlineStr">
        <is>
          <t>VÄSTERNORRLANDS LÄN</t>
        </is>
      </c>
      <c r="E13936" t="inlineStr">
        <is>
          <t>ÖRNSKÖLDSVIK</t>
        </is>
      </c>
      <c r="F13936" t="inlineStr">
        <is>
          <t>Holmen skog AB</t>
        </is>
      </c>
      <c r="G13936" t="n">
        <v>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28337-2024</t>
        </is>
      </c>
      <c r="B13937" s="1" t="n">
        <v>45477</v>
      </c>
      <c r="C13937" s="1" t="n">
        <v>45657</v>
      </c>
      <c r="D13937" t="inlineStr">
        <is>
          <t>VÄSTERNORRLANDS LÄN</t>
        </is>
      </c>
      <c r="E13937" t="inlineStr">
        <is>
          <t>ÖRNSKÖLDSVIK</t>
        </is>
      </c>
      <c r="G13937" t="n">
        <v>10.7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28508-2024</t>
        </is>
      </c>
      <c r="B13938" s="1" t="n">
        <v>45477</v>
      </c>
      <c r="C13938" s="1" t="n">
        <v>45657</v>
      </c>
      <c r="D13938" t="inlineStr">
        <is>
          <t>VÄSTERNORRLANDS LÄN</t>
        </is>
      </c>
      <c r="E13938" t="inlineStr">
        <is>
          <t>SUNDSVALL</t>
        </is>
      </c>
      <c r="F13938" t="inlineStr">
        <is>
          <t>SCA</t>
        </is>
      </c>
      <c r="G13938" t="n">
        <v>11.1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28503-2024</t>
        </is>
      </c>
      <c r="B13939" s="1" t="n">
        <v>45477</v>
      </c>
      <c r="C13939" s="1" t="n">
        <v>45657</v>
      </c>
      <c r="D13939" t="inlineStr">
        <is>
          <t>VÄSTERNORRLANDS LÄN</t>
        </is>
      </c>
      <c r="E13939" t="inlineStr">
        <is>
          <t>TIMRÅ</t>
        </is>
      </c>
      <c r="F13939" t="inlineStr">
        <is>
          <t>SCA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28499-2024</t>
        </is>
      </c>
      <c r="B13940" s="1" t="n">
        <v>45478</v>
      </c>
      <c r="C13940" s="1" t="n">
        <v>45657</v>
      </c>
      <c r="D13940" t="inlineStr">
        <is>
          <t>VÄSTERNORRLANDS LÄN</t>
        </is>
      </c>
      <c r="E13940" t="inlineStr">
        <is>
          <t>SOLLEFTEÅ</t>
        </is>
      </c>
      <c r="G13940" t="n">
        <v>8.699999999999999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28354-2024</t>
        </is>
      </c>
      <c r="B13941" s="1" t="n">
        <v>45477</v>
      </c>
      <c r="C13941" s="1" t="n">
        <v>45657</v>
      </c>
      <c r="D13941" t="inlineStr">
        <is>
          <t>VÄSTERNORRLANDS LÄN</t>
        </is>
      </c>
      <c r="E13941" t="inlineStr">
        <is>
          <t>SOLLEFTEÅ</t>
        </is>
      </c>
      <c r="F13941" t="inlineStr">
        <is>
          <t>Holmen skog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28338-2024</t>
        </is>
      </c>
      <c r="B13942" s="1" t="n">
        <v>45477</v>
      </c>
      <c r="C13942" s="1" t="n">
        <v>45657</v>
      </c>
      <c r="D13942" t="inlineStr">
        <is>
          <t>VÄSTERNORRLANDS LÄN</t>
        </is>
      </c>
      <c r="E13942" t="inlineStr">
        <is>
          <t>ÖRNSKÖLDSVIK</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28334-2024</t>
        </is>
      </c>
      <c r="B13943" s="1" t="n">
        <v>45477</v>
      </c>
      <c r="C13943" s="1" t="n">
        <v>45657</v>
      </c>
      <c r="D13943" t="inlineStr">
        <is>
          <t>VÄSTERNORRLANDS LÄN</t>
        </is>
      </c>
      <c r="E13943" t="inlineStr">
        <is>
          <t>ÖRNSKÖLDSVIK</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28302-2024</t>
        </is>
      </c>
      <c r="B13944" s="1" t="n">
        <v>45477</v>
      </c>
      <c r="C13944" s="1" t="n">
        <v>45657</v>
      </c>
      <c r="D13944" t="inlineStr">
        <is>
          <t>VÄSTERNORRLANDS LÄN</t>
        </is>
      </c>
      <c r="E13944" t="inlineStr">
        <is>
          <t>SUNDSVALL</t>
        </is>
      </c>
      <c r="F13944" t="inlineStr">
        <is>
          <t>Holmen skog AB</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28290-2024</t>
        </is>
      </c>
      <c r="B13945" s="1" t="n">
        <v>45477</v>
      </c>
      <c r="C13945" s="1" t="n">
        <v>45657</v>
      </c>
      <c r="D13945" t="inlineStr">
        <is>
          <t>VÄSTERNORRLANDS LÄN</t>
        </is>
      </c>
      <c r="E13945" t="inlineStr">
        <is>
          <t>SOLLEFTEÅ</t>
        </is>
      </c>
      <c r="F13945" t="inlineStr">
        <is>
          <t>Holmen skog AB</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28507-2024</t>
        </is>
      </c>
      <c r="B13946" s="1" t="n">
        <v>45477</v>
      </c>
      <c r="C13946" s="1" t="n">
        <v>45657</v>
      </c>
      <c r="D13946" t="inlineStr">
        <is>
          <t>VÄSTERNORRLANDS LÄN</t>
        </is>
      </c>
      <c r="E13946" t="inlineStr">
        <is>
          <t>SUNDSVALL</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28462-2024</t>
        </is>
      </c>
      <c r="B13947" s="1" t="n">
        <v>45477</v>
      </c>
      <c r="C13947" s="1" t="n">
        <v>45657</v>
      </c>
      <c r="D13947" t="inlineStr">
        <is>
          <t>VÄSTERNORRLANDS LÄN</t>
        </is>
      </c>
      <c r="E13947" t="inlineStr">
        <is>
          <t>ÖRNSKÖLDSVIK</t>
        </is>
      </c>
      <c r="F13947" t="inlineStr">
        <is>
          <t>Holmen skog AB</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28438-2024</t>
        </is>
      </c>
      <c r="B13948" s="1" t="n">
        <v>45477</v>
      </c>
      <c r="C13948" s="1" t="n">
        <v>45657</v>
      </c>
      <c r="D13948" t="inlineStr">
        <is>
          <t>VÄSTERNORRLANDS LÄN</t>
        </is>
      </c>
      <c r="E13948" t="inlineStr">
        <is>
          <t>ÖRNSKÖLDSVIK</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28182-2024</t>
        </is>
      </c>
      <c r="B13949" s="1" t="n">
        <v>45477</v>
      </c>
      <c r="C13949" s="1" t="n">
        <v>45657</v>
      </c>
      <c r="D13949" t="inlineStr">
        <is>
          <t>VÄSTERNORRLANDS LÄN</t>
        </is>
      </c>
      <c r="E13949" t="inlineStr">
        <is>
          <t>ÖRNSKÖLDSVIK</t>
        </is>
      </c>
      <c r="F13949" t="inlineStr">
        <is>
          <t>Holmen skog AB</t>
        </is>
      </c>
      <c r="G13949" t="n">
        <v>9.699999999999999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28186-2024</t>
        </is>
      </c>
      <c r="B13950" s="1" t="n">
        <v>45477</v>
      </c>
      <c r="C13950" s="1" t="n">
        <v>45657</v>
      </c>
      <c r="D13950" t="inlineStr">
        <is>
          <t>VÄSTERNORRLANDS LÄN</t>
        </is>
      </c>
      <c r="E13950" t="inlineStr">
        <is>
          <t>SUNDSVALL</t>
        </is>
      </c>
      <c r="F13950" t="inlineStr">
        <is>
          <t>Holmen skog AB</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28195-2024</t>
        </is>
      </c>
      <c r="B13951" s="1" t="n">
        <v>45477</v>
      </c>
      <c r="C13951" s="1" t="n">
        <v>45657</v>
      </c>
      <c r="D13951" t="inlineStr">
        <is>
          <t>VÄSTERNORRLANDS LÄN</t>
        </is>
      </c>
      <c r="E13951" t="inlineStr">
        <is>
          <t>ÖRNSKÖLDSVIK</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28229-2024</t>
        </is>
      </c>
      <c r="B13952" s="1" t="n">
        <v>45477</v>
      </c>
      <c r="C13952" s="1" t="n">
        <v>45657</v>
      </c>
      <c r="D13952" t="inlineStr">
        <is>
          <t>VÄSTERNORRLANDS LÄN</t>
        </is>
      </c>
      <c r="E13952" t="inlineStr">
        <is>
          <t>SUNDSVALL</t>
        </is>
      </c>
      <c r="F13952" t="inlineStr">
        <is>
          <t>Holmen skog AB</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28504-2024</t>
        </is>
      </c>
      <c r="B13953" s="1" t="n">
        <v>45477</v>
      </c>
      <c r="C13953" s="1" t="n">
        <v>45657</v>
      </c>
      <c r="D13953" t="inlineStr">
        <is>
          <t>VÄSTERNORRLANDS LÄN</t>
        </is>
      </c>
      <c r="E13953" t="inlineStr">
        <is>
          <t>ÅNGE</t>
        </is>
      </c>
      <c r="F13953" t="inlineStr">
        <is>
          <t>SCA</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28336-2024</t>
        </is>
      </c>
      <c r="B13954" s="1" t="n">
        <v>45477</v>
      </c>
      <c r="C13954" s="1" t="n">
        <v>45657</v>
      </c>
      <c r="D13954" t="inlineStr">
        <is>
          <t>VÄSTERNORRLANDS LÄN</t>
        </is>
      </c>
      <c r="E13954" t="inlineStr">
        <is>
          <t>ÖRNSKÖLDSVIK</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28312-2024</t>
        </is>
      </c>
      <c r="B13955" s="1" t="n">
        <v>45477</v>
      </c>
      <c r="C13955" s="1" t="n">
        <v>45657</v>
      </c>
      <c r="D13955" t="inlineStr">
        <is>
          <t>VÄSTERNORRLANDS LÄN</t>
        </is>
      </c>
      <c r="E13955" t="inlineStr">
        <is>
          <t>ÖRNSKÖLDSVIK</t>
        </is>
      </c>
      <c r="F13955" t="inlineStr">
        <is>
          <t>Holmen skog AB</t>
        </is>
      </c>
      <c r="G13955" t="n">
        <v>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28256-2024</t>
        </is>
      </c>
      <c r="B13956" s="1" t="n">
        <v>45477</v>
      </c>
      <c r="C13956" s="1" t="n">
        <v>45657</v>
      </c>
      <c r="D13956" t="inlineStr">
        <is>
          <t>VÄSTERNORRLANDS LÄN</t>
        </is>
      </c>
      <c r="E13956" t="inlineStr">
        <is>
          <t>TIMRÅ</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28244-2024</t>
        </is>
      </c>
      <c r="B13957" s="1" t="n">
        <v>45477</v>
      </c>
      <c r="C13957" s="1" t="n">
        <v>45657</v>
      </c>
      <c r="D13957" t="inlineStr">
        <is>
          <t>VÄSTERNORRLANDS LÄN</t>
        </is>
      </c>
      <c r="E13957" t="inlineStr">
        <is>
          <t>SUNDSVALL</t>
        </is>
      </c>
      <c r="F13957" t="inlineStr">
        <is>
          <t>Holmen skog AB</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28240-2024</t>
        </is>
      </c>
      <c r="B13958" s="1" t="n">
        <v>45477</v>
      </c>
      <c r="C13958" s="1" t="n">
        <v>45657</v>
      </c>
      <c r="D13958" t="inlineStr">
        <is>
          <t>VÄSTERNORRLANDS LÄN</t>
        </is>
      </c>
      <c r="E13958" t="inlineStr">
        <is>
          <t>ÖRNSKÖLDSVIK</t>
        </is>
      </c>
      <c r="F13958" t="inlineStr">
        <is>
          <t>Holmen skog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28202-2024</t>
        </is>
      </c>
      <c r="B13959" s="1" t="n">
        <v>45477</v>
      </c>
      <c r="C13959" s="1" t="n">
        <v>45657</v>
      </c>
      <c r="D13959" t="inlineStr">
        <is>
          <t>VÄSTERNORRLANDS LÄN</t>
        </is>
      </c>
      <c r="E13959" t="inlineStr">
        <is>
          <t>ÖRNSKÖLDSVIK</t>
        </is>
      </c>
      <c r="F13959" t="inlineStr">
        <is>
          <t>Holmen skog AB</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28547-2024</t>
        </is>
      </c>
      <c r="B13960" s="1" t="n">
        <v>45478</v>
      </c>
      <c r="C13960" s="1" t="n">
        <v>45657</v>
      </c>
      <c r="D13960" t="inlineStr">
        <is>
          <t>VÄSTERNORRLANDS LÄN</t>
        </is>
      </c>
      <c r="E13960" t="inlineStr">
        <is>
          <t>ÖRNSKÖLDSVIK</t>
        </is>
      </c>
      <c r="F13960" t="inlineStr">
        <is>
          <t>Holmen skog AB</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28567-2024</t>
        </is>
      </c>
      <c r="B13961" s="1" t="n">
        <v>45478</v>
      </c>
      <c r="C13961" s="1" t="n">
        <v>45657</v>
      </c>
      <c r="D13961" t="inlineStr">
        <is>
          <t>VÄSTERNORRLANDS LÄN</t>
        </is>
      </c>
      <c r="E13961" t="inlineStr">
        <is>
          <t>ÖRNSKÖLDSVIK</t>
        </is>
      </c>
      <c r="F13961" t="inlineStr">
        <is>
          <t>Holmen skog AB</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28579-2024</t>
        </is>
      </c>
      <c r="B13962" s="1" t="n">
        <v>45478</v>
      </c>
      <c r="C13962" s="1" t="n">
        <v>45657</v>
      </c>
      <c r="D13962" t="inlineStr">
        <is>
          <t>VÄSTERNORRLANDS LÄN</t>
        </is>
      </c>
      <c r="E13962" t="inlineStr">
        <is>
          <t>SOLLEFTEÅ</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28611-2024</t>
        </is>
      </c>
      <c r="B13963" s="1" t="n">
        <v>45478</v>
      </c>
      <c r="C13963" s="1" t="n">
        <v>45657</v>
      </c>
      <c r="D13963" t="inlineStr">
        <is>
          <t>VÄSTERNORRLANDS LÄN</t>
        </is>
      </c>
      <c r="E13963" t="inlineStr">
        <is>
          <t>SUNDSVALL</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28623-2024</t>
        </is>
      </c>
      <c r="B13964" s="1" t="n">
        <v>45478</v>
      </c>
      <c r="C13964" s="1" t="n">
        <v>45657</v>
      </c>
      <c r="D13964" t="inlineStr">
        <is>
          <t>VÄSTERNORRLANDS LÄN</t>
        </is>
      </c>
      <c r="E13964" t="inlineStr">
        <is>
          <t>ÖRNSKÖLDSVIK</t>
        </is>
      </c>
      <c r="F13964" t="inlineStr">
        <is>
          <t>Holmen skog AB</t>
        </is>
      </c>
      <c r="G13964" t="n">
        <v>10.2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28546-2024</t>
        </is>
      </c>
      <c r="B13965" s="1" t="n">
        <v>45478</v>
      </c>
      <c r="C13965" s="1" t="n">
        <v>45657</v>
      </c>
      <c r="D13965" t="inlineStr">
        <is>
          <t>VÄSTERNORRLANDS LÄN</t>
        </is>
      </c>
      <c r="E13965" t="inlineStr">
        <is>
          <t>ÖRNSKÖLDSVIK</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28558-2024</t>
        </is>
      </c>
      <c r="B13966" s="1" t="n">
        <v>45478</v>
      </c>
      <c r="C13966" s="1" t="n">
        <v>45657</v>
      </c>
      <c r="D13966" t="inlineStr">
        <is>
          <t>VÄSTERNORRLANDS LÄN</t>
        </is>
      </c>
      <c r="E13966" t="inlineStr">
        <is>
          <t>ÖRNSKÖLDSVIK</t>
        </is>
      </c>
      <c r="F13966" t="inlineStr">
        <is>
          <t>Holmen skog AB</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28618-2024</t>
        </is>
      </c>
      <c r="B13967" s="1" t="n">
        <v>45478</v>
      </c>
      <c r="C13967" s="1" t="n">
        <v>45657</v>
      </c>
      <c r="D13967" t="inlineStr">
        <is>
          <t>VÄSTERNORRLANDS LÄN</t>
        </is>
      </c>
      <c r="E13967" t="inlineStr">
        <is>
          <t>ÖRNSKÖLDSVIK</t>
        </is>
      </c>
      <c r="F13967" t="inlineStr">
        <is>
          <t>Holmen skog AB</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28659-2024</t>
        </is>
      </c>
      <c r="B13968" s="1" t="n">
        <v>45478</v>
      </c>
      <c r="C13968" s="1" t="n">
        <v>45657</v>
      </c>
      <c r="D13968" t="inlineStr">
        <is>
          <t>VÄSTERNORRLANDS LÄN</t>
        </is>
      </c>
      <c r="E13968" t="inlineStr">
        <is>
          <t>ÖRNSKÖLDSVIK</t>
        </is>
      </c>
      <c r="F13968" t="inlineStr">
        <is>
          <t>Holmen skog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28671-2024</t>
        </is>
      </c>
      <c r="B13969" s="1" t="n">
        <v>45478</v>
      </c>
      <c r="C13969" s="1" t="n">
        <v>45657</v>
      </c>
      <c r="D13969" t="inlineStr">
        <is>
          <t>VÄSTERNORRLANDS LÄN</t>
        </is>
      </c>
      <c r="E13969" t="inlineStr">
        <is>
          <t>ÖRNSKÖLDSVIK</t>
        </is>
      </c>
      <c r="F13969" t="inlineStr">
        <is>
          <t>Holmen skog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28699-2024</t>
        </is>
      </c>
      <c r="B13970" s="1" t="n">
        <v>45478</v>
      </c>
      <c r="C13970" s="1" t="n">
        <v>45657</v>
      </c>
      <c r="D13970" t="inlineStr">
        <is>
          <t>VÄSTERNORRLANDS LÄN</t>
        </is>
      </c>
      <c r="E13970" t="inlineStr">
        <is>
          <t>ÖRNSKÖLDSVIK</t>
        </is>
      </c>
      <c r="F13970" t="inlineStr">
        <is>
          <t>Holmen skog AB</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28776-2024</t>
        </is>
      </c>
      <c r="B13971" s="1" t="n">
        <v>45478</v>
      </c>
      <c r="C13971" s="1" t="n">
        <v>45657</v>
      </c>
      <c r="D13971" t="inlineStr">
        <is>
          <t>VÄSTERNORRLANDS LÄN</t>
        </is>
      </c>
      <c r="E13971" t="inlineStr">
        <is>
          <t>SUNDSVALL</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28784-2024</t>
        </is>
      </c>
      <c r="B13972" s="1" t="n">
        <v>45478</v>
      </c>
      <c r="C13972" s="1" t="n">
        <v>45657</v>
      </c>
      <c r="D13972" t="inlineStr">
        <is>
          <t>VÄSTERNORRLANDS LÄN</t>
        </is>
      </c>
      <c r="E13972" t="inlineStr">
        <is>
          <t>SUNDSVALL</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28788-2024</t>
        </is>
      </c>
      <c r="B13973" s="1" t="n">
        <v>45478</v>
      </c>
      <c r="C13973" s="1" t="n">
        <v>45657</v>
      </c>
      <c r="D13973" t="inlineStr">
        <is>
          <t>VÄSTERNORRLANDS LÄN</t>
        </is>
      </c>
      <c r="E13973" t="inlineStr">
        <is>
          <t>SUNDSVALL</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28857-2024</t>
        </is>
      </c>
      <c r="B13974" s="1" t="n">
        <v>45479</v>
      </c>
      <c r="C13974" s="1" t="n">
        <v>45657</v>
      </c>
      <c r="D13974" t="inlineStr">
        <is>
          <t>VÄSTERNORRLANDS LÄN</t>
        </is>
      </c>
      <c r="E13974" t="inlineStr">
        <is>
          <t>SUNDSVALL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28557-2024</t>
        </is>
      </c>
      <c r="B13975" s="1" t="n">
        <v>45478</v>
      </c>
      <c r="C13975" s="1" t="n">
        <v>45657</v>
      </c>
      <c r="D13975" t="inlineStr">
        <is>
          <t>VÄSTERNORRLANDS LÄN</t>
        </is>
      </c>
      <c r="E13975" t="inlineStr">
        <is>
          <t>ÖRNSKÖLDSVIK</t>
        </is>
      </c>
      <c r="F13975" t="inlineStr">
        <is>
          <t>Holmen skog AB</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28873-2024</t>
        </is>
      </c>
      <c r="B13976" s="1" t="n">
        <v>45479</v>
      </c>
      <c r="C13976" s="1" t="n">
        <v>45657</v>
      </c>
      <c r="D13976" t="inlineStr">
        <is>
          <t>VÄSTERNORRLANDS LÄN</t>
        </is>
      </c>
      <c r="E13976" t="inlineStr">
        <is>
          <t>ÅNGE</t>
        </is>
      </c>
      <c r="F13976" t="inlineStr">
        <is>
          <t>SCA</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28696-2024</t>
        </is>
      </c>
      <c r="B13977" s="1" t="n">
        <v>45478</v>
      </c>
      <c r="C13977" s="1" t="n">
        <v>45657</v>
      </c>
      <c r="D13977" t="inlineStr">
        <is>
          <t>VÄSTERNORRLANDS LÄN</t>
        </is>
      </c>
      <c r="E13977" t="inlineStr">
        <is>
          <t>ÖRNSKÖLDSVIK</t>
        </is>
      </c>
      <c r="F13977" t="inlineStr">
        <is>
          <t>Holmen skog AB</t>
        </is>
      </c>
      <c r="G13977" t="n">
        <v>8.6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28548-2024</t>
        </is>
      </c>
      <c r="B13978" s="1" t="n">
        <v>45478</v>
      </c>
      <c r="C13978" s="1" t="n">
        <v>45657</v>
      </c>
      <c r="D13978" t="inlineStr">
        <is>
          <t>VÄSTERNORRLANDS LÄN</t>
        </is>
      </c>
      <c r="E13978" t="inlineStr">
        <is>
          <t>ÖRNSKÖLDSVIK</t>
        </is>
      </c>
      <c r="F13978" t="inlineStr">
        <is>
          <t>Holmen skog AB</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28745-2024</t>
        </is>
      </c>
      <c r="B13979" s="1" t="n">
        <v>45478</v>
      </c>
      <c r="C13979" s="1" t="n">
        <v>45657</v>
      </c>
      <c r="D13979" t="inlineStr">
        <is>
          <t>VÄSTERNORRLANDS LÄN</t>
        </is>
      </c>
      <c r="E13979" t="inlineStr">
        <is>
          <t>ÖRNSKÖLDSVIK</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28773-2024</t>
        </is>
      </c>
      <c r="B13980" s="1" t="n">
        <v>45478</v>
      </c>
      <c r="C13980" s="1" t="n">
        <v>45657</v>
      </c>
      <c r="D13980" t="inlineStr">
        <is>
          <t>VÄSTERNORRLANDS LÄN</t>
        </is>
      </c>
      <c r="E13980" t="inlineStr">
        <is>
          <t>SUNDSVALL</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28576-2024</t>
        </is>
      </c>
      <c r="B13981" s="1" t="n">
        <v>45478</v>
      </c>
      <c r="C13981" s="1" t="n">
        <v>45657</v>
      </c>
      <c r="D13981" t="inlineStr">
        <is>
          <t>VÄSTERNORRLANDS LÄN</t>
        </is>
      </c>
      <c r="E13981" t="inlineStr">
        <is>
          <t>SOLLEFTEÅ</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28580-2024</t>
        </is>
      </c>
      <c r="B13982" s="1" t="n">
        <v>45478</v>
      </c>
      <c r="C13982" s="1" t="n">
        <v>45657</v>
      </c>
      <c r="D13982" t="inlineStr">
        <is>
          <t>VÄSTERNORRLANDS LÄN</t>
        </is>
      </c>
      <c r="E13982" t="inlineStr">
        <is>
          <t>SOLLEFTEÅ</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28596-2024</t>
        </is>
      </c>
      <c r="B13983" s="1" t="n">
        <v>45478</v>
      </c>
      <c r="C13983" s="1" t="n">
        <v>45657</v>
      </c>
      <c r="D13983" t="inlineStr">
        <is>
          <t>VÄSTERNORRLANDS LÄN</t>
        </is>
      </c>
      <c r="E13983" t="inlineStr">
        <is>
          <t>ÖRNSKÖLDSVIK</t>
        </is>
      </c>
      <c r="G13983" t="n">
        <v>9.199999999999999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28604-2024</t>
        </is>
      </c>
      <c r="B13984" s="1" t="n">
        <v>45478</v>
      </c>
      <c r="C13984" s="1" t="n">
        <v>45657</v>
      </c>
      <c r="D13984" t="inlineStr">
        <is>
          <t>VÄSTERNORRLANDS LÄN</t>
        </is>
      </c>
      <c r="E13984" t="inlineStr">
        <is>
          <t>ÅNGE</t>
        </is>
      </c>
      <c r="G13984" t="n">
        <v>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28785-2024</t>
        </is>
      </c>
      <c r="B13985" s="1" t="n">
        <v>45478</v>
      </c>
      <c r="C13985" s="1" t="n">
        <v>45657</v>
      </c>
      <c r="D13985" t="inlineStr">
        <is>
          <t>VÄSTERNORRLANDS LÄN</t>
        </is>
      </c>
      <c r="E13985" t="inlineStr">
        <is>
          <t>SUNDSVALL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28789-2024</t>
        </is>
      </c>
      <c r="B13986" s="1" t="n">
        <v>45478</v>
      </c>
      <c r="C13986" s="1" t="n">
        <v>45657</v>
      </c>
      <c r="D13986" t="inlineStr">
        <is>
          <t>VÄSTERNORRLANDS LÄN</t>
        </is>
      </c>
      <c r="E13986" t="inlineStr">
        <is>
          <t>ÖRNSKÖLDSVIK</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28866-2024</t>
        </is>
      </c>
      <c r="B13987" s="1" t="n">
        <v>45478</v>
      </c>
      <c r="C13987" s="1" t="n">
        <v>45657</v>
      </c>
      <c r="D13987" t="inlineStr">
        <is>
          <t>VÄSTERNORRLANDS LÄN</t>
        </is>
      </c>
      <c r="E13987" t="inlineStr">
        <is>
          <t>SOLLEFTEÅ</t>
        </is>
      </c>
      <c r="F13987" t="inlineStr">
        <is>
          <t>SCA</t>
        </is>
      </c>
      <c r="G13987" t="n">
        <v>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28677-2024</t>
        </is>
      </c>
      <c r="B13988" s="1" t="n">
        <v>45478</v>
      </c>
      <c r="C13988" s="1" t="n">
        <v>45657</v>
      </c>
      <c r="D13988" t="inlineStr">
        <is>
          <t>VÄSTERNORRLANDS LÄN</t>
        </is>
      </c>
      <c r="E13988" t="inlineStr">
        <is>
          <t>ÖRNSKÖLDSVIK</t>
        </is>
      </c>
      <c r="F13988" t="inlineStr">
        <is>
          <t>Holmen skog AB</t>
        </is>
      </c>
      <c r="G13988" t="n">
        <v>9.5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28790-2024</t>
        </is>
      </c>
      <c r="B13989" s="1" t="n">
        <v>45478</v>
      </c>
      <c r="C13989" s="1" t="n">
        <v>45657</v>
      </c>
      <c r="D13989" t="inlineStr">
        <is>
          <t>VÄSTERNORRLANDS LÄN</t>
        </is>
      </c>
      <c r="E13989" t="inlineStr">
        <is>
          <t>SOLLEFTEÅ</t>
        </is>
      </c>
      <c r="F13989" t="inlineStr">
        <is>
          <t>Holmen skog AB</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28794-2024</t>
        </is>
      </c>
      <c r="B13990" s="1" t="n">
        <v>45478</v>
      </c>
      <c r="C13990" s="1" t="n">
        <v>45657</v>
      </c>
      <c r="D13990" t="inlineStr">
        <is>
          <t>VÄSTERNORRLANDS LÄN</t>
        </is>
      </c>
      <c r="E13990" t="inlineStr">
        <is>
          <t>SUNDSVALL</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28798-2024</t>
        </is>
      </c>
      <c r="B13991" s="1" t="n">
        <v>45478</v>
      </c>
      <c r="C13991" s="1" t="n">
        <v>45657</v>
      </c>
      <c r="D13991" t="inlineStr">
        <is>
          <t>VÄSTERNORRLANDS LÄN</t>
        </is>
      </c>
      <c r="E13991" t="inlineStr">
        <is>
          <t>SUNDSVALL</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28879-2024</t>
        </is>
      </c>
      <c r="B13992" s="1" t="n">
        <v>45479</v>
      </c>
      <c r="C13992" s="1" t="n">
        <v>45657</v>
      </c>
      <c r="D13992" t="inlineStr">
        <is>
          <t>VÄSTERNORRLANDS LÄN</t>
        </is>
      </c>
      <c r="E13992" t="inlineStr">
        <is>
          <t>HÄRNÖSAND</t>
        </is>
      </c>
      <c r="F13992" t="inlineStr">
        <is>
          <t>SCA</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28613-2024</t>
        </is>
      </c>
      <c r="B13993" s="1" t="n">
        <v>45478</v>
      </c>
      <c r="C13993" s="1" t="n">
        <v>45657</v>
      </c>
      <c r="D13993" t="inlineStr">
        <is>
          <t>VÄSTERNORRLANDS LÄN</t>
        </is>
      </c>
      <c r="E13993" t="inlineStr">
        <is>
          <t>ÖRNSKÖLDSVIK</t>
        </is>
      </c>
      <c r="F13993" t="inlineStr">
        <is>
          <t>Holmen skog AB</t>
        </is>
      </c>
      <c r="G13993" t="n">
        <v>3.1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28711-2024</t>
        </is>
      </c>
      <c r="B13994" s="1" t="n">
        <v>45478</v>
      </c>
      <c r="C13994" s="1" t="n">
        <v>45657</v>
      </c>
      <c r="D13994" t="inlineStr">
        <is>
          <t>VÄSTERNORRLANDS LÄN</t>
        </is>
      </c>
      <c r="E13994" t="inlineStr">
        <is>
          <t>ÖRNSKÖLDSVIK</t>
        </is>
      </c>
      <c r="F13994" t="inlineStr">
        <is>
          <t>Holmen skog AB</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28743-2024</t>
        </is>
      </c>
      <c r="B13995" s="1" t="n">
        <v>45478</v>
      </c>
      <c r="C13995" s="1" t="n">
        <v>45657</v>
      </c>
      <c r="D13995" t="inlineStr">
        <is>
          <t>VÄSTERNORRLANDS LÄN</t>
        </is>
      </c>
      <c r="E13995" t="inlineStr">
        <is>
          <t>ÖRNSKÖLDSVIK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28755-2024</t>
        </is>
      </c>
      <c r="B13996" s="1" t="n">
        <v>45478</v>
      </c>
      <c r="C13996" s="1" t="n">
        <v>45657</v>
      </c>
      <c r="D13996" t="inlineStr">
        <is>
          <t>VÄSTERNORRLANDS LÄN</t>
        </is>
      </c>
      <c r="E13996" t="inlineStr">
        <is>
          <t>ÖRNSKÖLDSVIK</t>
        </is>
      </c>
      <c r="F13996" t="inlineStr">
        <is>
          <t>Holmen skog AB</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28763-2024</t>
        </is>
      </c>
      <c r="B13997" s="1" t="n">
        <v>45478</v>
      </c>
      <c r="C13997" s="1" t="n">
        <v>45657</v>
      </c>
      <c r="D13997" t="inlineStr">
        <is>
          <t>VÄSTERNORRLANDS LÄN</t>
        </is>
      </c>
      <c r="E13997" t="inlineStr">
        <is>
          <t>ÖRNSKÖLDSVIK</t>
        </is>
      </c>
      <c r="F13997" t="inlineStr">
        <is>
          <t>Holmen skog AB</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28771-2024</t>
        </is>
      </c>
      <c r="B13998" s="1" t="n">
        <v>45478</v>
      </c>
      <c r="C13998" s="1" t="n">
        <v>45657</v>
      </c>
      <c r="D13998" t="inlineStr">
        <is>
          <t>VÄSTERNORRLANDS LÄN</t>
        </is>
      </c>
      <c r="E13998" t="inlineStr">
        <is>
          <t>SUNDSVALL</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28787-2024</t>
        </is>
      </c>
      <c r="B13999" s="1" t="n">
        <v>45478</v>
      </c>
      <c r="C13999" s="1" t="n">
        <v>45657</v>
      </c>
      <c r="D13999" t="inlineStr">
        <is>
          <t>VÄSTERNORRLANDS LÄN</t>
        </is>
      </c>
      <c r="E13999" t="inlineStr">
        <is>
          <t>ÖRNSKÖLDSVIK</t>
        </is>
      </c>
      <c r="F13999" t="inlineStr">
        <is>
          <t>Holmen skog AB</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28876-2024</t>
        </is>
      </c>
      <c r="B14000" s="1" t="n">
        <v>45478</v>
      </c>
      <c r="C14000" s="1" t="n">
        <v>45657</v>
      </c>
      <c r="D14000" t="inlineStr">
        <is>
          <t>VÄSTERNORRLANDS LÄN</t>
        </is>
      </c>
      <c r="E14000" t="inlineStr">
        <is>
          <t>SUNDSVALL</t>
        </is>
      </c>
      <c r="F14000" t="inlineStr">
        <is>
          <t>SCA</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28917-2024</t>
        </is>
      </c>
      <c r="B14001" s="1" t="n">
        <v>45480</v>
      </c>
      <c r="C14001" s="1" t="n">
        <v>45657</v>
      </c>
      <c r="D14001" t="inlineStr">
        <is>
          <t>VÄSTERNORRLANDS LÄN</t>
        </is>
      </c>
      <c r="E14001" t="inlineStr">
        <is>
          <t>SUNDSVALL</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29073-2024</t>
        </is>
      </c>
      <c r="B14002" s="1" t="n">
        <v>45481</v>
      </c>
      <c r="C14002" s="1" t="n">
        <v>45657</v>
      </c>
      <c r="D14002" t="inlineStr">
        <is>
          <t>VÄSTERNORRLANDS LÄN</t>
        </is>
      </c>
      <c r="E14002" t="inlineStr">
        <is>
          <t>ÖRNSKÖLDSVIK</t>
        </is>
      </c>
      <c r="F14002" t="inlineStr">
        <is>
          <t>Holmen skog AB</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29059-2024</t>
        </is>
      </c>
      <c r="B14003" s="1" t="n">
        <v>45481</v>
      </c>
      <c r="C14003" s="1" t="n">
        <v>45657</v>
      </c>
      <c r="D14003" t="inlineStr">
        <is>
          <t>VÄSTERNORRLANDS LÄN</t>
        </is>
      </c>
      <c r="E14003" t="inlineStr">
        <is>
          <t>SOLLEFTEÅ</t>
        </is>
      </c>
      <c r="F14003" t="inlineStr">
        <is>
          <t>Kyrkan</t>
        </is>
      </c>
      <c r="G14003" t="n">
        <v>6.1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29055-2024</t>
        </is>
      </c>
      <c r="B14004" s="1" t="n">
        <v>45481</v>
      </c>
      <c r="C14004" s="1" t="n">
        <v>45657</v>
      </c>
      <c r="D14004" t="inlineStr">
        <is>
          <t>VÄSTERNORRLANDS LÄN</t>
        </is>
      </c>
      <c r="E14004" t="inlineStr">
        <is>
          <t>SOLLEFTEÅ</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29065-2024</t>
        </is>
      </c>
      <c r="B14005" s="1" t="n">
        <v>45481</v>
      </c>
      <c r="C14005" s="1" t="n">
        <v>45657</v>
      </c>
      <c r="D14005" t="inlineStr">
        <is>
          <t>VÄSTERNORRLANDS LÄN</t>
        </is>
      </c>
      <c r="E14005" t="inlineStr">
        <is>
          <t>KRAMFORS</t>
        </is>
      </c>
      <c r="G14005" t="n">
        <v>11.3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29062-2024</t>
        </is>
      </c>
      <c r="B14006" s="1" t="n">
        <v>45481</v>
      </c>
      <c r="C14006" s="1" t="n">
        <v>45657</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29058-2024</t>
        </is>
      </c>
      <c r="B14007" s="1" t="n">
        <v>45481</v>
      </c>
      <c r="C14007" s="1" t="n">
        <v>45657</v>
      </c>
      <c r="D14007" t="inlineStr">
        <is>
          <t>VÄSTERNORRLANDS LÄN</t>
        </is>
      </c>
      <c r="E14007" t="inlineStr">
        <is>
          <t>SUNDSVALL</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29054-2024</t>
        </is>
      </c>
      <c r="B14008" s="1" t="n">
        <v>45481</v>
      </c>
      <c r="C14008" s="1" t="n">
        <v>45657</v>
      </c>
      <c r="D14008" t="inlineStr">
        <is>
          <t>VÄSTERNORRLANDS LÄN</t>
        </is>
      </c>
      <c r="E14008" t="inlineStr">
        <is>
          <t>SOLLEFTEÅ</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29099-2024</t>
        </is>
      </c>
      <c r="B14009" s="1" t="n">
        <v>45482</v>
      </c>
      <c r="C14009" s="1" t="n">
        <v>45657</v>
      </c>
      <c r="D14009" t="inlineStr">
        <is>
          <t>VÄSTERNORRLANDS LÄN</t>
        </is>
      </c>
      <c r="E14009" t="inlineStr">
        <is>
          <t>SUNDSVALL</t>
        </is>
      </c>
      <c r="F14009" t="inlineStr">
        <is>
          <t>SCA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29092-2024</t>
        </is>
      </c>
      <c r="B14010" s="1" t="n">
        <v>45482</v>
      </c>
      <c r="C14010" s="1" t="n">
        <v>45657</v>
      </c>
      <c r="D14010" t="inlineStr">
        <is>
          <t>VÄSTERNORRLANDS LÄN</t>
        </is>
      </c>
      <c r="E14010" t="inlineStr">
        <is>
          <t>ÖRNSKÖLDSVIK</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29088-2024</t>
        </is>
      </c>
      <c r="B14011" s="1" t="n">
        <v>45481</v>
      </c>
      <c r="C14011" s="1" t="n">
        <v>45657</v>
      </c>
      <c r="D14011" t="inlineStr">
        <is>
          <t>VÄSTERNORRLANDS LÄN</t>
        </is>
      </c>
      <c r="E14011" t="inlineStr">
        <is>
          <t>ÅNGE</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29170-2024</t>
        </is>
      </c>
      <c r="B14012" s="1" t="n">
        <v>45482</v>
      </c>
      <c r="C14012" s="1" t="n">
        <v>45657</v>
      </c>
      <c r="D14012" t="inlineStr">
        <is>
          <t>VÄSTERNORRLANDS LÄN</t>
        </is>
      </c>
      <c r="E14012" t="inlineStr">
        <is>
          <t>ÖRNSKÖLDSVIK</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29269-2024</t>
        </is>
      </c>
      <c r="B14013" s="1" t="n">
        <v>45483</v>
      </c>
      <c r="C14013" s="1" t="n">
        <v>45657</v>
      </c>
      <c r="D14013" t="inlineStr">
        <is>
          <t>VÄSTERNORRLANDS LÄN</t>
        </is>
      </c>
      <c r="E14013" t="inlineStr">
        <is>
          <t>SUNDSVALL</t>
        </is>
      </c>
      <c r="F14013" t="inlineStr">
        <is>
          <t>SCA</t>
        </is>
      </c>
      <c r="G14013" t="n">
        <v>13.2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29179-2024</t>
        </is>
      </c>
      <c r="B14014" s="1" t="n">
        <v>45482</v>
      </c>
      <c r="C14014" s="1" t="n">
        <v>45657</v>
      </c>
      <c r="D14014" t="inlineStr">
        <is>
          <t>VÄSTERNORRLANDS LÄN</t>
        </is>
      </c>
      <c r="E14014" t="inlineStr">
        <is>
          <t>ÖRNSKÖLDSVIK</t>
        </is>
      </c>
      <c r="F14014" t="inlineStr">
        <is>
          <t>Holmen skog AB</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29211-2024</t>
        </is>
      </c>
      <c r="B14015" s="1" t="n">
        <v>45482</v>
      </c>
      <c r="C14015" s="1" t="n">
        <v>45657</v>
      </c>
      <c r="D14015" t="inlineStr">
        <is>
          <t>VÄSTERNORRLANDS LÄN</t>
        </is>
      </c>
      <c r="E14015" t="inlineStr">
        <is>
          <t>SOLLEFTEÅ</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29270-2024</t>
        </is>
      </c>
      <c r="B14016" s="1" t="n">
        <v>45483</v>
      </c>
      <c r="C14016" s="1" t="n">
        <v>45657</v>
      </c>
      <c r="D14016" t="inlineStr">
        <is>
          <t>VÄSTERNORRLANDS LÄN</t>
        </is>
      </c>
      <c r="E14016" t="inlineStr">
        <is>
          <t>ÅNGE</t>
        </is>
      </c>
      <c r="F14016" t="inlineStr">
        <is>
          <t>SCA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29258-2024</t>
        </is>
      </c>
      <c r="B14017" s="1" t="n">
        <v>45483</v>
      </c>
      <c r="C14017" s="1" t="n">
        <v>45657</v>
      </c>
      <c r="D14017" t="inlineStr">
        <is>
          <t>VÄSTERNORRLANDS LÄN</t>
        </is>
      </c>
      <c r="E14017" t="inlineStr">
        <is>
          <t>SOLLEFTEÅ</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29246-2024</t>
        </is>
      </c>
      <c r="B14018" s="1" t="n">
        <v>45482</v>
      </c>
      <c r="C14018" s="1" t="n">
        <v>45657</v>
      </c>
      <c r="D14018" t="inlineStr">
        <is>
          <t>VÄSTERNORRLANDS LÄN</t>
        </is>
      </c>
      <c r="E14018" t="inlineStr">
        <is>
          <t>SUNDSVALL</t>
        </is>
      </c>
      <c r="F14018" t="inlineStr">
        <is>
          <t>SCA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29193-2024</t>
        </is>
      </c>
      <c r="B14019" s="1" t="n">
        <v>45482</v>
      </c>
      <c r="C14019" s="1" t="n">
        <v>45657</v>
      </c>
      <c r="D14019" t="inlineStr">
        <is>
          <t>VÄSTERNORRLANDS LÄN</t>
        </is>
      </c>
      <c r="E14019" t="inlineStr">
        <is>
          <t>ÅNGE</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29163-2024</t>
        </is>
      </c>
      <c r="B14020" s="1" t="n">
        <v>45482</v>
      </c>
      <c r="C14020" s="1" t="n">
        <v>45657</v>
      </c>
      <c r="D14020" t="inlineStr">
        <is>
          <t>VÄSTERNORRLANDS LÄN</t>
        </is>
      </c>
      <c r="E14020" t="inlineStr">
        <is>
          <t>ÖRNSKÖLDSVIK</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29280-2024</t>
        </is>
      </c>
      <c r="B14021" s="1" t="n">
        <v>45483</v>
      </c>
      <c r="C14021" s="1" t="n">
        <v>45657</v>
      </c>
      <c r="D14021" t="inlineStr">
        <is>
          <t>VÄSTERNORRLANDS LÄN</t>
        </is>
      </c>
      <c r="E14021" t="inlineStr">
        <is>
          <t>HÄRNÖSAND</t>
        </is>
      </c>
      <c r="F14021" t="inlineStr">
        <is>
          <t>SCA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29268-2024</t>
        </is>
      </c>
      <c r="B14022" s="1" t="n">
        <v>45482</v>
      </c>
      <c r="C14022" s="1" t="n">
        <v>45657</v>
      </c>
      <c r="D14022" t="inlineStr">
        <is>
          <t>VÄSTERNORRLANDS LÄN</t>
        </is>
      </c>
      <c r="E14022" t="inlineStr">
        <is>
          <t>ÅNGE</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29252-2024</t>
        </is>
      </c>
      <c r="B14023" s="1" t="n">
        <v>45483</v>
      </c>
      <c r="C14023" s="1" t="n">
        <v>45657</v>
      </c>
      <c r="D14023" t="inlineStr">
        <is>
          <t>VÄSTERNORRLANDS LÄN</t>
        </is>
      </c>
      <c r="E14023" t="inlineStr">
        <is>
          <t>SUNDSVALL</t>
        </is>
      </c>
      <c r="F14023" t="inlineStr">
        <is>
          <t>SCA</t>
        </is>
      </c>
      <c r="G14023" t="n">
        <v>23.3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29248-2024</t>
        </is>
      </c>
      <c r="B14024" s="1" t="n">
        <v>45482</v>
      </c>
      <c r="C14024" s="1" t="n">
        <v>45657</v>
      </c>
      <c r="D14024" t="inlineStr">
        <is>
          <t>VÄSTERNORRLANDS LÄN</t>
        </is>
      </c>
      <c r="E14024" t="inlineStr">
        <is>
          <t>SOLLEFTEÅ</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29240-2024</t>
        </is>
      </c>
      <c r="B14025" s="1" t="n">
        <v>45483</v>
      </c>
      <c r="C14025" s="1" t="n">
        <v>45657</v>
      </c>
      <c r="D14025" t="inlineStr">
        <is>
          <t>VÄSTERNORRLANDS LÄN</t>
        </is>
      </c>
      <c r="E14025" t="inlineStr">
        <is>
          <t>KRAMFORS</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29196-2024</t>
        </is>
      </c>
      <c r="B14026" s="1" t="n">
        <v>45482</v>
      </c>
      <c r="C14026" s="1" t="n">
        <v>45657</v>
      </c>
      <c r="D14026" t="inlineStr">
        <is>
          <t>VÄSTERNORRLANDS LÄN</t>
        </is>
      </c>
      <c r="E14026" t="inlineStr">
        <is>
          <t>ÅNGE</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29251-2024</t>
        </is>
      </c>
      <c r="B14027" s="1" t="n">
        <v>45483</v>
      </c>
      <c r="C14027" s="1" t="n">
        <v>45657</v>
      </c>
      <c r="D14027" t="inlineStr">
        <is>
          <t>VÄSTERNORRLANDS LÄN</t>
        </is>
      </c>
      <c r="E14027" t="inlineStr">
        <is>
          <t>ÅNGE</t>
        </is>
      </c>
      <c r="F14027" t="inlineStr">
        <is>
          <t>SCA</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29255-2024</t>
        </is>
      </c>
      <c r="B14028" s="1" t="n">
        <v>45482</v>
      </c>
      <c r="C14028" s="1" t="n">
        <v>45657</v>
      </c>
      <c r="D14028" t="inlineStr">
        <is>
          <t>VÄSTERNORRLANDS LÄN</t>
        </is>
      </c>
      <c r="E14028" t="inlineStr">
        <is>
          <t>HÄRNÖSAND</t>
        </is>
      </c>
      <c r="F14028" t="inlineStr">
        <is>
          <t>SCA</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29259-2024</t>
        </is>
      </c>
      <c r="B14029" s="1" t="n">
        <v>45483</v>
      </c>
      <c r="C14029" s="1" t="n">
        <v>45657</v>
      </c>
      <c r="D14029" t="inlineStr">
        <is>
          <t>VÄSTERNORRLANDS LÄN</t>
        </is>
      </c>
      <c r="E14029" t="inlineStr">
        <is>
          <t>ÅNGE</t>
        </is>
      </c>
      <c r="F14029" t="inlineStr">
        <is>
          <t>SCA</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29267-2024</t>
        </is>
      </c>
      <c r="B14030" s="1" t="n">
        <v>45482</v>
      </c>
      <c r="C14030" s="1" t="n">
        <v>45657</v>
      </c>
      <c r="D14030" t="inlineStr">
        <is>
          <t>VÄSTERNORRLANDS LÄN</t>
        </is>
      </c>
      <c r="E14030" t="inlineStr">
        <is>
          <t>TIMRÅ</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29271-2024</t>
        </is>
      </c>
      <c r="B14031" s="1" t="n">
        <v>45482</v>
      </c>
      <c r="C14031" s="1" t="n">
        <v>45657</v>
      </c>
      <c r="D14031" t="inlineStr">
        <is>
          <t>VÄSTERNORRLANDS LÄN</t>
        </is>
      </c>
      <c r="E14031" t="inlineStr">
        <is>
          <t>ÅNGE</t>
        </is>
      </c>
      <c r="F14031" t="inlineStr">
        <is>
          <t>SCA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29279-2024</t>
        </is>
      </c>
      <c r="B14032" s="1" t="n">
        <v>45483</v>
      </c>
      <c r="C14032" s="1" t="n">
        <v>45657</v>
      </c>
      <c r="D14032" t="inlineStr">
        <is>
          <t>VÄSTERNORRLANDS LÄN</t>
        </is>
      </c>
      <c r="E14032" t="inlineStr">
        <is>
          <t>HÄRNÖSAND</t>
        </is>
      </c>
      <c r="F14032" t="inlineStr">
        <is>
          <t>SCA</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29241-2024</t>
        </is>
      </c>
      <c r="B14033" s="1" t="n">
        <v>45482</v>
      </c>
      <c r="C14033" s="1" t="n">
        <v>45657</v>
      </c>
      <c r="D14033" t="inlineStr">
        <is>
          <t>VÄSTERNORRLANDS LÄN</t>
        </is>
      </c>
      <c r="E14033" t="inlineStr">
        <is>
          <t>ÖRNSKÖLDSVIK</t>
        </is>
      </c>
      <c r="F14033" t="inlineStr">
        <is>
          <t>SCA</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29374-2024</t>
        </is>
      </c>
      <c r="B14034" s="1" t="n">
        <v>45483</v>
      </c>
      <c r="C14034" s="1" t="n">
        <v>45657</v>
      </c>
      <c r="D14034" t="inlineStr">
        <is>
          <t>VÄSTERNORRLANDS LÄN</t>
        </is>
      </c>
      <c r="E14034" t="inlineStr">
        <is>
          <t>ÖRNSKÖLDSVIK</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29383-2024</t>
        </is>
      </c>
      <c r="B14035" s="1" t="n">
        <v>45483</v>
      </c>
      <c r="C14035" s="1" t="n">
        <v>45657</v>
      </c>
      <c r="D14035" t="inlineStr">
        <is>
          <t>VÄSTERNORRLANDS LÄN</t>
        </is>
      </c>
      <c r="E14035" t="inlineStr">
        <is>
          <t>ÖRNSKÖLDSVIK</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29395-2024</t>
        </is>
      </c>
      <c r="B14036" s="1" t="n">
        <v>45483</v>
      </c>
      <c r="C14036" s="1" t="n">
        <v>45657</v>
      </c>
      <c r="D14036" t="inlineStr">
        <is>
          <t>VÄSTERNORRLANDS LÄN</t>
        </is>
      </c>
      <c r="E14036" t="inlineStr">
        <is>
          <t>ÅNGE</t>
        </is>
      </c>
      <c r="F14036" t="inlineStr">
        <is>
          <t>Kyrkan</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29298-2024</t>
        </is>
      </c>
      <c r="B14037" s="1" t="n">
        <v>45483</v>
      </c>
      <c r="C14037" s="1" t="n">
        <v>45657</v>
      </c>
      <c r="D14037" t="inlineStr">
        <is>
          <t>VÄSTERNORRLANDS LÄN</t>
        </is>
      </c>
      <c r="E14037" t="inlineStr">
        <is>
          <t>SUNDSVALL</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29457-2024</t>
        </is>
      </c>
      <c r="B14038" s="1" t="n">
        <v>45484</v>
      </c>
      <c r="C14038" s="1" t="n">
        <v>45657</v>
      </c>
      <c r="D14038" t="inlineStr">
        <is>
          <t>VÄSTERNORRLANDS LÄN</t>
        </is>
      </c>
      <c r="E14038" t="inlineStr">
        <is>
          <t>SOLLEFTEÅ</t>
        </is>
      </c>
      <c r="F14038" t="inlineStr">
        <is>
          <t>SCA</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29465-2024</t>
        </is>
      </c>
      <c r="B14039" s="1" t="n">
        <v>45484</v>
      </c>
      <c r="C14039" s="1" t="n">
        <v>45657</v>
      </c>
      <c r="D14039" t="inlineStr">
        <is>
          <t>VÄSTERNORRLANDS LÄN</t>
        </is>
      </c>
      <c r="E14039" t="inlineStr">
        <is>
          <t>SUNDSVALL</t>
        </is>
      </c>
      <c r="F14039" t="inlineStr">
        <is>
          <t>Naturvårdsverket</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29421-2024</t>
        </is>
      </c>
      <c r="B14040" s="1" t="n">
        <v>45483</v>
      </c>
      <c r="C14040" s="1" t="n">
        <v>45657</v>
      </c>
      <c r="D14040" t="inlineStr">
        <is>
          <t>VÄSTERNORRLANDS LÄN</t>
        </is>
      </c>
      <c r="E14040" t="inlineStr">
        <is>
          <t>ÅNGE</t>
        </is>
      </c>
      <c r="F14040" t="inlineStr">
        <is>
          <t>Kyrkan</t>
        </is>
      </c>
      <c r="G14040" t="n">
        <v>8.6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29429-2024</t>
        </is>
      </c>
      <c r="B14041" s="1" t="n">
        <v>45483</v>
      </c>
      <c r="C14041" s="1" t="n">
        <v>45657</v>
      </c>
      <c r="D14041" t="inlineStr">
        <is>
          <t>VÄSTERNORRLANDS LÄN</t>
        </is>
      </c>
      <c r="E14041" t="inlineStr">
        <is>
          <t>HÄRNÖSAND</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29431-2024</t>
        </is>
      </c>
      <c r="B14042" s="1" t="n">
        <v>45483</v>
      </c>
      <c r="C14042" s="1" t="n">
        <v>45657</v>
      </c>
      <c r="D14042" t="inlineStr">
        <is>
          <t>VÄSTERNORRLANDS LÄN</t>
        </is>
      </c>
      <c r="E14042" t="inlineStr">
        <is>
          <t>HÄRNÖSAND</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29285-2024</t>
        </is>
      </c>
      <c r="B14043" s="1" t="n">
        <v>45483</v>
      </c>
      <c r="C14043" s="1" t="n">
        <v>45657</v>
      </c>
      <c r="D14043" t="inlineStr">
        <is>
          <t>VÄSTERNORRLANDS LÄN</t>
        </is>
      </c>
      <c r="E14043" t="inlineStr">
        <is>
          <t>KRAMFORS</t>
        </is>
      </c>
      <c r="G14043" t="n">
        <v>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29458-2024</t>
        </is>
      </c>
      <c r="B14044" s="1" t="n">
        <v>45484</v>
      </c>
      <c r="C14044" s="1" t="n">
        <v>45657</v>
      </c>
      <c r="D14044" t="inlineStr">
        <is>
          <t>VÄSTERNORRLANDS LÄN</t>
        </is>
      </c>
      <c r="E14044" t="inlineStr">
        <is>
          <t>ÅNGE</t>
        </is>
      </c>
      <c r="F14044" t="inlineStr">
        <is>
          <t>SCA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29462-2024</t>
        </is>
      </c>
      <c r="B14045" s="1" t="n">
        <v>45484</v>
      </c>
      <c r="C14045" s="1" t="n">
        <v>45657</v>
      </c>
      <c r="D14045" t="inlineStr">
        <is>
          <t>VÄSTERNORRLANDS LÄN</t>
        </is>
      </c>
      <c r="E14045" t="inlineStr">
        <is>
          <t>ÅNGE</t>
        </is>
      </c>
      <c r="F14045" t="inlineStr">
        <is>
          <t>SCA</t>
        </is>
      </c>
      <c r="G14045" t="n">
        <v>8.4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29470-2024</t>
        </is>
      </c>
      <c r="B14046" s="1" t="n">
        <v>45484</v>
      </c>
      <c r="C14046" s="1" t="n">
        <v>45657</v>
      </c>
      <c r="D14046" t="inlineStr">
        <is>
          <t>VÄSTERNORRLANDS LÄN</t>
        </is>
      </c>
      <c r="E14046" t="inlineStr">
        <is>
          <t>ÅNGE</t>
        </is>
      </c>
      <c r="F14046" t="inlineStr">
        <is>
          <t>SCA</t>
        </is>
      </c>
      <c r="G14046" t="n">
        <v>24.5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29459-2024</t>
        </is>
      </c>
      <c r="B14047" s="1" t="n">
        <v>45484</v>
      </c>
      <c r="C14047" s="1" t="n">
        <v>45657</v>
      </c>
      <c r="D14047" t="inlineStr">
        <is>
          <t>VÄSTERNORRLANDS LÄN</t>
        </is>
      </c>
      <c r="E14047" t="inlineStr">
        <is>
          <t>SOLLEFTEÅ</t>
        </is>
      </c>
      <c r="F14047" t="inlineStr">
        <is>
          <t>SCA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29694-2024</t>
        </is>
      </c>
      <c r="B14048" s="1" t="n">
        <v>45485</v>
      </c>
      <c r="C14048" s="1" t="n">
        <v>45657</v>
      </c>
      <c r="D14048" t="inlineStr">
        <is>
          <t>VÄSTERNORRLANDS LÄN</t>
        </is>
      </c>
      <c r="E14048" t="inlineStr">
        <is>
          <t>SUNDSVALL</t>
        </is>
      </c>
      <c r="F14048" t="inlineStr">
        <is>
          <t>SCA</t>
        </is>
      </c>
      <c r="G14048" t="n">
        <v>13.1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29613-2024</t>
        </is>
      </c>
      <c r="B14049" s="1" t="n">
        <v>45484</v>
      </c>
      <c r="C14049" s="1" t="n">
        <v>45657</v>
      </c>
      <c r="D14049" t="inlineStr">
        <is>
          <t>VÄSTERNORRLANDS LÄN</t>
        </is>
      </c>
      <c r="E14049" t="inlineStr">
        <is>
          <t>KRAMFORS</t>
        </is>
      </c>
      <c r="G14049" t="n">
        <v>9.6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29673-2024</t>
        </is>
      </c>
      <c r="B14050" s="1" t="n">
        <v>45485</v>
      </c>
      <c r="C14050" s="1" t="n">
        <v>45657</v>
      </c>
      <c r="D14050" t="inlineStr">
        <is>
          <t>VÄSTERNORRLANDS LÄN</t>
        </is>
      </c>
      <c r="E14050" t="inlineStr">
        <is>
          <t>ÅNGE</t>
        </is>
      </c>
      <c r="F14050" t="inlineStr">
        <is>
          <t>SCA</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29663-2024</t>
        </is>
      </c>
      <c r="B14051" s="1" t="n">
        <v>45485</v>
      </c>
      <c r="C14051" s="1" t="n">
        <v>45657</v>
      </c>
      <c r="D14051" t="inlineStr">
        <is>
          <t>VÄSTERNORRLANDS LÄN</t>
        </is>
      </c>
      <c r="E14051" t="inlineStr">
        <is>
          <t>SUNDSVALL</t>
        </is>
      </c>
      <c r="F14051" t="inlineStr">
        <is>
          <t>SCA</t>
        </is>
      </c>
      <c r="G14051" t="n">
        <v>44.6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29667-2024</t>
        </is>
      </c>
      <c r="B14052" s="1" t="n">
        <v>45485</v>
      </c>
      <c r="C14052" s="1" t="n">
        <v>45657</v>
      </c>
      <c r="D14052" t="inlineStr">
        <is>
          <t>VÄSTERNORRLANDS LÄN</t>
        </is>
      </c>
      <c r="E14052" t="inlineStr">
        <is>
          <t>ÅNGE</t>
        </is>
      </c>
      <c r="F14052" t="inlineStr">
        <is>
          <t>SCA</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29699-2024</t>
        </is>
      </c>
      <c r="B14053" s="1" t="n">
        <v>45484</v>
      </c>
      <c r="C14053" s="1" t="n">
        <v>45657</v>
      </c>
      <c r="D14053" t="inlineStr">
        <is>
          <t>VÄSTERNORRLANDS LÄN</t>
        </is>
      </c>
      <c r="E14053" t="inlineStr">
        <is>
          <t>ÅNGE</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29695-2024</t>
        </is>
      </c>
      <c r="B14054" s="1" t="n">
        <v>45485</v>
      </c>
      <c r="C14054" s="1" t="n">
        <v>45657</v>
      </c>
      <c r="D14054" t="inlineStr">
        <is>
          <t>VÄSTERNORRLANDS LÄN</t>
        </is>
      </c>
      <c r="E14054" t="inlineStr">
        <is>
          <t>SUNDSVALL</t>
        </is>
      </c>
      <c r="G14054" t="n">
        <v>6.6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29666-2024</t>
        </is>
      </c>
      <c r="B14055" s="1" t="n">
        <v>45484</v>
      </c>
      <c r="C14055" s="1" t="n">
        <v>45657</v>
      </c>
      <c r="D14055" t="inlineStr">
        <is>
          <t>VÄSTERNORRLANDS LÄN</t>
        </is>
      </c>
      <c r="E14055" t="inlineStr">
        <is>
          <t>ÅNGE</t>
        </is>
      </c>
      <c r="F14055" t="inlineStr">
        <is>
          <t>SCA</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29664-2024</t>
        </is>
      </c>
      <c r="B14056" s="1" t="n">
        <v>45484</v>
      </c>
      <c r="C14056" s="1" t="n">
        <v>45657</v>
      </c>
      <c r="D14056" t="inlineStr">
        <is>
          <t>VÄSTERNORRLANDS LÄN</t>
        </is>
      </c>
      <c r="E14056" t="inlineStr">
        <is>
          <t>ÅNGE</t>
        </is>
      </c>
      <c r="F14056" t="inlineStr">
        <is>
          <t>SCA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29693-2024</t>
        </is>
      </c>
      <c r="B14057" s="1" t="n">
        <v>45485</v>
      </c>
      <c r="C14057" s="1" t="n">
        <v>45657</v>
      </c>
      <c r="D14057" t="inlineStr">
        <is>
          <t>VÄSTERNORRLANDS LÄN</t>
        </is>
      </c>
      <c r="E14057" t="inlineStr">
        <is>
          <t>SOLLEFTEÅ</t>
        </is>
      </c>
      <c r="F14057" t="inlineStr">
        <is>
          <t>SCA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29697-2024</t>
        </is>
      </c>
      <c r="B14058" s="1" t="n">
        <v>45484</v>
      </c>
      <c r="C14058" s="1" t="n">
        <v>45657</v>
      </c>
      <c r="D14058" t="inlineStr">
        <is>
          <t>VÄSTERNORRLANDS LÄN</t>
        </is>
      </c>
      <c r="E14058" t="inlineStr">
        <is>
          <t>ÅNGE</t>
        </is>
      </c>
      <c r="G14058" t="n">
        <v>12.5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29592-2024</t>
        </is>
      </c>
      <c r="B14059" s="1" t="n">
        <v>45484</v>
      </c>
      <c r="C14059" s="1" t="n">
        <v>45657</v>
      </c>
      <c r="D14059" t="inlineStr">
        <is>
          <t>VÄSTERNORRLANDS LÄN</t>
        </is>
      </c>
      <c r="E14059" t="inlineStr">
        <is>
          <t>KRAMFORS</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29556-2024</t>
        </is>
      </c>
      <c r="B14060" s="1" t="n">
        <v>45484</v>
      </c>
      <c r="C14060" s="1" t="n">
        <v>45657</v>
      </c>
      <c r="D14060" t="inlineStr">
        <is>
          <t>VÄSTERNORRLANDS LÄN</t>
        </is>
      </c>
      <c r="E14060" t="inlineStr">
        <is>
          <t>ÖRNSKÖLDSVIK</t>
        </is>
      </c>
      <c r="F14060" t="inlineStr">
        <is>
          <t>Holmen skog AB</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29696-2024</t>
        </is>
      </c>
      <c r="B14061" s="1" t="n">
        <v>45485</v>
      </c>
      <c r="C14061" s="1" t="n">
        <v>45657</v>
      </c>
      <c r="D14061" t="inlineStr">
        <is>
          <t>VÄSTERNORRLANDS LÄN</t>
        </is>
      </c>
      <c r="E14061" t="inlineStr">
        <is>
          <t>ÅNGE</t>
        </is>
      </c>
      <c r="F14061" t="inlineStr">
        <is>
          <t>SCA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29575-2024</t>
        </is>
      </c>
      <c r="B14062" s="1" t="n">
        <v>45484</v>
      </c>
      <c r="C14062" s="1" t="n">
        <v>45657</v>
      </c>
      <c r="D14062" t="inlineStr">
        <is>
          <t>VÄSTERNORRLANDS LÄN</t>
        </is>
      </c>
      <c r="E14062" t="inlineStr">
        <is>
          <t>SOLLEFTEÅ</t>
        </is>
      </c>
      <c r="G14062" t="n">
        <v>12.9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29662-2024</t>
        </is>
      </c>
      <c r="B14063" s="1" t="n">
        <v>45485</v>
      </c>
      <c r="C14063" s="1" t="n">
        <v>45657</v>
      </c>
      <c r="D14063" t="inlineStr">
        <is>
          <t>VÄSTERNORRLANDS LÄN</t>
        </is>
      </c>
      <c r="E14063" t="inlineStr">
        <is>
          <t>SUNDSVALL</t>
        </is>
      </c>
      <c r="F14063" t="inlineStr">
        <is>
          <t>SCA</t>
        </is>
      </c>
      <c r="G14063" t="n">
        <v>27.8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29871-2024</t>
        </is>
      </c>
      <c r="B14064" s="1" t="n">
        <v>45486</v>
      </c>
      <c r="C14064" s="1" t="n">
        <v>45657</v>
      </c>
      <c r="D14064" t="inlineStr">
        <is>
          <t>VÄSTERNORRLANDS LÄN</t>
        </is>
      </c>
      <c r="E14064" t="inlineStr">
        <is>
          <t>SOLLEFTEÅ</t>
        </is>
      </c>
      <c r="F14064" t="inlineStr">
        <is>
          <t>SCA</t>
        </is>
      </c>
      <c r="G14064" t="n">
        <v>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29867-2024</t>
        </is>
      </c>
      <c r="B14065" s="1" t="n">
        <v>45486</v>
      </c>
      <c r="C14065" s="1" t="n">
        <v>45657</v>
      </c>
      <c r="D14065" t="inlineStr">
        <is>
          <t>VÄSTERNORRLANDS LÄN</t>
        </is>
      </c>
      <c r="E14065" t="inlineStr">
        <is>
          <t>SUNDSVALL</t>
        </is>
      </c>
      <c r="F14065" t="inlineStr">
        <is>
          <t>Naturvårdsverket</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29839-2024</t>
        </is>
      </c>
      <c r="B14066" s="1" t="n">
        <v>45485</v>
      </c>
      <c r="C14066" s="1" t="n">
        <v>45657</v>
      </c>
      <c r="D14066" t="inlineStr">
        <is>
          <t>VÄSTERNORRLANDS LÄN</t>
        </is>
      </c>
      <c r="E14066" t="inlineStr">
        <is>
          <t>SOLLEFTEÅ</t>
        </is>
      </c>
      <c r="F14066" t="inlineStr">
        <is>
          <t>Holmen skog AB</t>
        </is>
      </c>
      <c r="G14066" t="n">
        <v>16.1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29702-2024</t>
        </is>
      </c>
      <c r="B14067" s="1" t="n">
        <v>45485</v>
      </c>
      <c r="C14067" s="1" t="n">
        <v>45657</v>
      </c>
      <c r="D14067" t="inlineStr">
        <is>
          <t>VÄSTERNORRLANDS LÄN</t>
        </is>
      </c>
      <c r="E14067" t="inlineStr">
        <is>
          <t>ÅNGE</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29810-2024</t>
        </is>
      </c>
      <c r="B14068" s="1" t="n">
        <v>45485</v>
      </c>
      <c r="C14068" s="1" t="n">
        <v>45657</v>
      </c>
      <c r="D14068" t="inlineStr">
        <is>
          <t>VÄSTERNORRLANDS LÄN</t>
        </is>
      </c>
      <c r="E14068" t="inlineStr">
        <is>
          <t>ÖRNSKÖLDSVIK</t>
        </is>
      </c>
      <c r="F14068" t="inlineStr">
        <is>
          <t>Holmen skog AB</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29755-2024</t>
        </is>
      </c>
      <c r="B14069" s="1" t="n">
        <v>45485</v>
      </c>
      <c r="C14069" s="1" t="n">
        <v>45657</v>
      </c>
      <c r="D14069" t="inlineStr">
        <is>
          <t>VÄSTERNORRLANDS LÄN</t>
        </is>
      </c>
      <c r="E14069" t="inlineStr">
        <is>
          <t>SOLLEFTEÅ</t>
        </is>
      </c>
      <c r="F14069" t="inlineStr">
        <is>
          <t>Holmen skog AB</t>
        </is>
      </c>
      <c r="G14069" t="n">
        <v>9.199999999999999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29848-2024</t>
        </is>
      </c>
      <c r="B14070" s="1" t="n">
        <v>45485</v>
      </c>
      <c r="C14070" s="1" t="n">
        <v>45657</v>
      </c>
      <c r="D14070" t="inlineStr">
        <is>
          <t>VÄSTERNORRLANDS LÄN</t>
        </is>
      </c>
      <c r="E14070" t="inlineStr">
        <is>
          <t>ÅNGE</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29870-2024</t>
        </is>
      </c>
      <c r="B14071" s="1" t="n">
        <v>45486</v>
      </c>
      <c r="C14071" s="1" t="n">
        <v>45657</v>
      </c>
      <c r="D14071" t="inlineStr">
        <is>
          <t>VÄSTERNORRLANDS LÄN</t>
        </is>
      </c>
      <c r="E14071" t="inlineStr">
        <is>
          <t>SOLLEFTEÅ</t>
        </is>
      </c>
      <c r="F14071" t="inlineStr">
        <is>
          <t>SCA</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29869-2024</t>
        </is>
      </c>
      <c r="B14072" s="1" t="n">
        <v>45486</v>
      </c>
      <c r="C14072" s="1" t="n">
        <v>45657</v>
      </c>
      <c r="D14072" t="inlineStr">
        <is>
          <t>VÄSTERNORRLANDS LÄN</t>
        </is>
      </c>
      <c r="E14072" t="inlineStr">
        <is>
          <t>SOLLEFTEÅ</t>
        </is>
      </c>
      <c r="F14072" t="inlineStr">
        <is>
          <t>SCA</t>
        </is>
      </c>
      <c r="G14072" t="n">
        <v>6.4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29914-2024</t>
        </is>
      </c>
      <c r="B14073" s="1" t="n">
        <v>45488</v>
      </c>
      <c r="C14073" s="1" t="n">
        <v>45657</v>
      </c>
      <c r="D14073" t="inlineStr">
        <is>
          <t>VÄSTERNORRLANDS LÄN</t>
        </is>
      </c>
      <c r="E14073" t="inlineStr">
        <is>
          <t>SOLLEFTEÅ</t>
        </is>
      </c>
      <c r="G14073" t="n">
        <v>6.3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29915-2024</t>
        </is>
      </c>
      <c r="B14074" s="1" t="n">
        <v>45488</v>
      </c>
      <c r="C14074" s="1" t="n">
        <v>45657</v>
      </c>
      <c r="D14074" t="inlineStr">
        <is>
          <t>VÄSTERNORRLANDS LÄN</t>
        </is>
      </c>
      <c r="E14074" t="inlineStr">
        <is>
          <t>SOLLEFTEÅ</t>
        </is>
      </c>
      <c r="G14074" t="n">
        <v>10.5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29913-2024</t>
        </is>
      </c>
      <c r="B14075" s="1" t="n">
        <v>45488</v>
      </c>
      <c r="C14075" s="1" t="n">
        <v>45657</v>
      </c>
      <c r="D14075" t="inlineStr">
        <is>
          <t>VÄSTERNORRLANDS LÄN</t>
        </is>
      </c>
      <c r="E14075" t="inlineStr">
        <is>
          <t>SOLLEFTEÅ</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29916-2024</t>
        </is>
      </c>
      <c r="B14076" s="1" t="n">
        <v>45488</v>
      </c>
      <c r="C14076" s="1" t="n">
        <v>45657</v>
      </c>
      <c r="D14076" t="inlineStr">
        <is>
          <t>VÄSTERNORRLANDS LÄN</t>
        </is>
      </c>
      <c r="E14076" t="inlineStr">
        <is>
          <t>SOLLEFTEÅ</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30055-2024</t>
        </is>
      </c>
      <c r="B14077" s="1" t="n">
        <v>45489</v>
      </c>
      <c r="C14077" s="1" t="n">
        <v>45657</v>
      </c>
      <c r="D14077" t="inlineStr">
        <is>
          <t>VÄSTERNORRLANDS LÄN</t>
        </is>
      </c>
      <c r="E14077" t="inlineStr">
        <is>
          <t>ÅNGE</t>
        </is>
      </c>
      <c r="F14077" t="inlineStr">
        <is>
          <t>SCA</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30063-2024</t>
        </is>
      </c>
      <c r="B14078" s="1" t="n">
        <v>45489</v>
      </c>
      <c r="C14078" s="1" t="n">
        <v>45657</v>
      </c>
      <c r="D14078" t="inlineStr">
        <is>
          <t>VÄSTERNORRLANDS LÄN</t>
        </is>
      </c>
      <c r="E14078" t="inlineStr">
        <is>
          <t>SOLLEFTEÅ</t>
        </is>
      </c>
      <c r="F14078" t="inlineStr">
        <is>
          <t>SCA</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30211-2024</t>
        </is>
      </c>
      <c r="B14079" s="1" t="n">
        <v>45488</v>
      </c>
      <c r="C14079" s="1" t="n">
        <v>45657</v>
      </c>
      <c r="D14079" t="inlineStr">
        <is>
          <t>VÄSTERNORRLANDS LÄN</t>
        </is>
      </c>
      <c r="E14079" t="inlineStr">
        <is>
          <t>ÖRNSKÖLDSVIK</t>
        </is>
      </c>
      <c r="G14079" t="n">
        <v>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30054-2024</t>
        </is>
      </c>
      <c r="B14080" s="1" t="n">
        <v>45489</v>
      </c>
      <c r="C14080" s="1" t="n">
        <v>45657</v>
      </c>
      <c r="D14080" t="inlineStr">
        <is>
          <t>VÄSTERNORRLANDS LÄN</t>
        </is>
      </c>
      <c r="E14080" t="inlineStr">
        <is>
          <t>ÅNGE</t>
        </is>
      </c>
      <c r="F14080" t="inlineStr">
        <is>
          <t>SCA</t>
        </is>
      </c>
      <c r="G14080" t="n">
        <v>11.7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30048-2024</t>
        </is>
      </c>
      <c r="B14081" s="1" t="n">
        <v>45489</v>
      </c>
      <c r="C14081" s="1" t="n">
        <v>45657</v>
      </c>
      <c r="D14081" t="inlineStr">
        <is>
          <t>VÄSTERNORRLANDS LÄN</t>
        </is>
      </c>
      <c r="E14081" t="inlineStr">
        <is>
          <t>SUNDSVALL</t>
        </is>
      </c>
      <c r="G14081" t="n">
        <v>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30056-2024</t>
        </is>
      </c>
      <c r="B14082" s="1" t="n">
        <v>45489</v>
      </c>
      <c r="C14082" s="1" t="n">
        <v>45657</v>
      </c>
      <c r="D14082" t="inlineStr">
        <is>
          <t>VÄSTERNORRLANDS LÄN</t>
        </is>
      </c>
      <c r="E14082" t="inlineStr">
        <is>
          <t>ÖRNSKÖLDSVIK</t>
        </is>
      </c>
      <c r="F14082" t="inlineStr">
        <is>
          <t>SCA</t>
        </is>
      </c>
      <c r="G14082" t="n">
        <v>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30066-2024</t>
        </is>
      </c>
      <c r="B14083" s="1" t="n">
        <v>45489</v>
      </c>
      <c r="C14083" s="1" t="n">
        <v>45657</v>
      </c>
      <c r="D14083" t="inlineStr">
        <is>
          <t>VÄSTERNORRLANDS LÄN</t>
        </is>
      </c>
      <c r="E14083" t="inlineStr">
        <is>
          <t>SUNDSVALL</t>
        </is>
      </c>
      <c r="F14083" t="inlineStr">
        <is>
          <t>SCA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30209-2024</t>
        </is>
      </c>
      <c r="B14084" s="1" t="n">
        <v>45488</v>
      </c>
      <c r="C14084" s="1" t="n">
        <v>45657</v>
      </c>
      <c r="D14084" t="inlineStr">
        <is>
          <t>VÄSTERNORRLANDS LÄN</t>
        </is>
      </c>
      <c r="E14084" t="inlineStr">
        <is>
          <t>ÖRNSKÖLDSVIK</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30060-2024</t>
        </is>
      </c>
      <c r="B14085" s="1" t="n">
        <v>45489</v>
      </c>
      <c r="C14085" s="1" t="n">
        <v>45657</v>
      </c>
      <c r="D14085" t="inlineStr">
        <is>
          <t>VÄSTERNORRLANDS LÄN</t>
        </is>
      </c>
      <c r="E14085" t="inlineStr">
        <is>
          <t>SOLLEFTEÅ</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30068-2024</t>
        </is>
      </c>
      <c r="B14086" s="1" t="n">
        <v>45489</v>
      </c>
      <c r="C14086" s="1" t="n">
        <v>45657</v>
      </c>
      <c r="D14086" t="inlineStr">
        <is>
          <t>VÄSTERNORRLANDS LÄN</t>
        </is>
      </c>
      <c r="E14086" t="inlineStr">
        <is>
          <t>SOLLEFTEÅ</t>
        </is>
      </c>
      <c r="F14086" t="inlineStr">
        <is>
          <t>SCA</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30049-2024</t>
        </is>
      </c>
      <c r="B14087" s="1" t="n">
        <v>45489</v>
      </c>
      <c r="C14087" s="1" t="n">
        <v>45657</v>
      </c>
      <c r="D14087" t="inlineStr">
        <is>
          <t>VÄSTERNORRLANDS LÄN</t>
        </is>
      </c>
      <c r="E14087" t="inlineStr">
        <is>
          <t>SUNDSVALL</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30061-2024</t>
        </is>
      </c>
      <c r="B14088" s="1" t="n">
        <v>45489</v>
      </c>
      <c r="C14088" s="1" t="n">
        <v>45657</v>
      </c>
      <c r="D14088" t="inlineStr">
        <is>
          <t>VÄSTERNORRLANDS LÄN</t>
        </is>
      </c>
      <c r="E14088" t="inlineStr">
        <is>
          <t>SOLLEFTEÅ</t>
        </is>
      </c>
      <c r="F14088" t="inlineStr">
        <is>
          <t>SCA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30069-2024</t>
        </is>
      </c>
      <c r="B14089" s="1" t="n">
        <v>45489</v>
      </c>
      <c r="C14089" s="1" t="n">
        <v>45657</v>
      </c>
      <c r="D14089" t="inlineStr">
        <is>
          <t>VÄSTERNORRLANDS LÄN</t>
        </is>
      </c>
      <c r="E14089" t="inlineStr">
        <is>
          <t>SOLLEFTEÅ</t>
        </is>
      </c>
      <c r="F14089" t="inlineStr">
        <is>
          <t>SCA</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30207-2024</t>
        </is>
      </c>
      <c r="B14090" s="1" t="n">
        <v>45488</v>
      </c>
      <c r="C14090" s="1" t="n">
        <v>45657</v>
      </c>
      <c r="D14090" t="inlineStr">
        <is>
          <t>VÄSTERNORRLANDS LÄN</t>
        </is>
      </c>
      <c r="E14090" t="inlineStr">
        <is>
          <t>ÖRNSKÖLDSVIK</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30118-2024</t>
        </is>
      </c>
      <c r="B14091" s="1" t="n">
        <v>45489</v>
      </c>
      <c r="C14091" s="1" t="n">
        <v>45657</v>
      </c>
      <c r="D14091" t="inlineStr">
        <is>
          <t>VÄSTERNORRLANDS LÄN</t>
        </is>
      </c>
      <c r="E14091" t="inlineStr">
        <is>
          <t>ÖRNSKÖLDSVIK</t>
        </is>
      </c>
      <c r="F14091" t="inlineStr">
        <is>
          <t>Holmen skog AB</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30263-2024</t>
        </is>
      </c>
      <c r="B14092" s="1" t="n">
        <v>45489</v>
      </c>
      <c r="C14092" s="1" t="n">
        <v>45657</v>
      </c>
      <c r="D14092" t="inlineStr">
        <is>
          <t>VÄSTERNORRLANDS LÄN</t>
        </is>
      </c>
      <c r="E14092" t="inlineStr">
        <is>
          <t>ÖRNSKÖLDSVIK</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30233-2024</t>
        </is>
      </c>
      <c r="B14093" s="1" t="n">
        <v>45489</v>
      </c>
      <c r="C14093" s="1" t="n">
        <v>45657</v>
      </c>
      <c r="D14093" t="inlineStr">
        <is>
          <t>VÄSTERNORRLANDS LÄN</t>
        </is>
      </c>
      <c r="E14093" t="inlineStr">
        <is>
          <t>ÖRNSKÖLDSVIK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30180-2024</t>
        </is>
      </c>
      <c r="B14094" s="1" t="n">
        <v>45490</v>
      </c>
      <c r="C14094" s="1" t="n">
        <v>45657</v>
      </c>
      <c r="D14094" t="inlineStr">
        <is>
          <t>VÄSTERNORRLANDS LÄN</t>
        </is>
      </c>
      <c r="E14094" t="inlineStr">
        <is>
          <t>SUNDSVALL</t>
        </is>
      </c>
      <c r="F14094" t="inlineStr">
        <is>
          <t>Kyrkan</t>
        </is>
      </c>
      <c r="G14094" t="n">
        <v>52.1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30184-2024</t>
        </is>
      </c>
      <c r="B14095" s="1" t="n">
        <v>45490</v>
      </c>
      <c r="C14095" s="1" t="n">
        <v>45657</v>
      </c>
      <c r="D14095" t="inlineStr">
        <is>
          <t>VÄSTERNORRLANDS LÄN</t>
        </is>
      </c>
      <c r="E14095" t="inlineStr">
        <is>
          <t>HÄRNÖSAND</t>
        </is>
      </c>
      <c r="F14095" t="inlineStr">
        <is>
          <t>SCA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30230-2024</t>
        </is>
      </c>
      <c r="B14096" s="1" t="n">
        <v>45489</v>
      </c>
      <c r="C14096" s="1" t="n">
        <v>45657</v>
      </c>
      <c r="D14096" t="inlineStr">
        <is>
          <t>VÄSTERNORRLANDS LÄN</t>
        </is>
      </c>
      <c r="E14096" t="inlineStr">
        <is>
          <t>ÖRNSKÖLDSVIK</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30260-2024</t>
        </is>
      </c>
      <c r="B14097" s="1" t="n">
        <v>45489</v>
      </c>
      <c r="C14097" s="1" t="n">
        <v>45657</v>
      </c>
      <c r="D14097" t="inlineStr">
        <is>
          <t>VÄSTERNORRLANDS LÄN</t>
        </is>
      </c>
      <c r="E14097" t="inlineStr">
        <is>
          <t>ÖRNSKÖLDSVIK</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30270-2024</t>
        </is>
      </c>
      <c r="B14098" s="1" t="n">
        <v>45489</v>
      </c>
      <c r="C14098" s="1" t="n">
        <v>45657</v>
      </c>
      <c r="D14098" t="inlineStr">
        <is>
          <t>VÄSTERNORRLANDS LÄN</t>
        </is>
      </c>
      <c r="E14098" t="inlineStr">
        <is>
          <t>SUNDSVALL</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30237-2024</t>
        </is>
      </c>
      <c r="B14099" s="1" t="n">
        <v>45489</v>
      </c>
      <c r="C14099" s="1" t="n">
        <v>45657</v>
      </c>
      <c r="D14099" t="inlineStr">
        <is>
          <t>VÄSTERNORRLANDS LÄN</t>
        </is>
      </c>
      <c r="E14099" t="inlineStr">
        <is>
          <t>ÖRNSKÖLDSVIK</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30179-2024</t>
        </is>
      </c>
      <c r="B14100" s="1" t="n">
        <v>45490</v>
      </c>
      <c r="C14100" s="1" t="n">
        <v>45657</v>
      </c>
      <c r="D14100" t="inlineStr">
        <is>
          <t>VÄSTERNORRLANDS LÄN</t>
        </is>
      </c>
      <c r="E14100" t="inlineStr">
        <is>
          <t>SUNDSVALL</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30226-2024</t>
        </is>
      </c>
      <c r="B14101" s="1" t="n">
        <v>45489</v>
      </c>
      <c r="C14101" s="1" t="n">
        <v>45657</v>
      </c>
      <c r="D14101" t="inlineStr">
        <is>
          <t>VÄSTERNORRLANDS LÄN</t>
        </is>
      </c>
      <c r="E14101" t="inlineStr">
        <is>
          <t>ÖRNSKÖLDSVIK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30258-2024</t>
        </is>
      </c>
      <c r="B14102" s="1" t="n">
        <v>45489</v>
      </c>
      <c r="C14102" s="1" t="n">
        <v>45657</v>
      </c>
      <c r="D14102" t="inlineStr">
        <is>
          <t>VÄSTERNORRLANDS LÄN</t>
        </is>
      </c>
      <c r="E14102" t="inlineStr">
        <is>
          <t>ÖRNSKÖLDSVIK</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30215-2024</t>
        </is>
      </c>
      <c r="B14103" s="1" t="n">
        <v>45490</v>
      </c>
      <c r="C14103" s="1" t="n">
        <v>45657</v>
      </c>
      <c r="D14103" t="inlineStr">
        <is>
          <t>VÄSTERNORRLANDS LÄN</t>
        </is>
      </c>
      <c r="E14103" t="inlineStr">
        <is>
          <t>KRAMFORS</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30235-2024</t>
        </is>
      </c>
      <c r="B14104" s="1" t="n">
        <v>45490</v>
      </c>
      <c r="C14104" s="1" t="n">
        <v>45657</v>
      </c>
      <c r="D14104" t="inlineStr">
        <is>
          <t>VÄSTERNORRLANDS LÄN</t>
        </is>
      </c>
      <c r="E14104" t="inlineStr">
        <is>
          <t>ÅNGE</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30256-2024</t>
        </is>
      </c>
      <c r="B14105" s="1" t="n">
        <v>45490</v>
      </c>
      <c r="C14105" s="1" t="n">
        <v>45657</v>
      </c>
      <c r="D14105" t="inlineStr">
        <is>
          <t>VÄSTERNORRLANDS LÄN</t>
        </is>
      </c>
      <c r="E14105" t="inlineStr">
        <is>
          <t>ÅNGE</t>
        </is>
      </c>
      <c r="G14105" t="n">
        <v>22.8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30214-2024</t>
        </is>
      </c>
      <c r="B14106" s="1" t="n">
        <v>45490</v>
      </c>
      <c r="C14106" s="1" t="n">
        <v>45657</v>
      </c>
      <c r="D14106" t="inlineStr">
        <is>
          <t>VÄSTERNORRLANDS LÄN</t>
        </is>
      </c>
      <c r="E14106" t="inlineStr">
        <is>
          <t>SOLLEFTEÅ</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30222-2024</t>
        </is>
      </c>
      <c r="B14107" s="1" t="n">
        <v>45490</v>
      </c>
      <c r="C14107" s="1" t="n">
        <v>45657</v>
      </c>
      <c r="D14107" t="inlineStr">
        <is>
          <t>VÄSTERNORRLANDS LÄN</t>
        </is>
      </c>
      <c r="E14107" t="inlineStr">
        <is>
          <t>ÅNGE</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30217-2024</t>
        </is>
      </c>
      <c r="B14108" s="1" t="n">
        <v>45490</v>
      </c>
      <c r="C14108" s="1" t="n">
        <v>45657</v>
      </c>
      <c r="D14108" t="inlineStr">
        <is>
          <t>VÄSTERNORRLANDS LÄN</t>
        </is>
      </c>
      <c r="E14108" t="inlineStr">
        <is>
          <t>ÅNGE</t>
        </is>
      </c>
      <c r="G14108" t="n">
        <v>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30346-2024</t>
        </is>
      </c>
      <c r="B14109" s="1" t="n">
        <v>45491</v>
      </c>
      <c r="C14109" s="1" t="n">
        <v>45657</v>
      </c>
      <c r="D14109" t="inlineStr">
        <is>
          <t>VÄSTERNORRLANDS LÄN</t>
        </is>
      </c>
      <c r="E14109" t="inlineStr">
        <is>
          <t>ÅNGE</t>
        </is>
      </c>
      <c r="F14109" t="inlineStr">
        <is>
          <t>SCA</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30342-2024</t>
        </is>
      </c>
      <c r="B14110" s="1" t="n">
        <v>45491</v>
      </c>
      <c r="C14110" s="1" t="n">
        <v>45657</v>
      </c>
      <c r="D14110" t="inlineStr">
        <is>
          <t>VÄSTERNORRLANDS LÄN</t>
        </is>
      </c>
      <c r="E14110" t="inlineStr">
        <is>
          <t>HÄRNÖSAND</t>
        </is>
      </c>
      <c r="F14110" t="inlineStr">
        <is>
          <t>SCA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30327-2024</t>
        </is>
      </c>
      <c r="B14111" s="1" t="n">
        <v>45491</v>
      </c>
      <c r="C14111" s="1" t="n">
        <v>45657</v>
      </c>
      <c r="D14111" t="inlineStr">
        <is>
          <t>VÄSTERNORRLANDS LÄN</t>
        </is>
      </c>
      <c r="E14111" t="inlineStr">
        <is>
          <t>SOLLEFTEÅ</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30343-2024</t>
        </is>
      </c>
      <c r="B14112" s="1" t="n">
        <v>45491</v>
      </c>
      <c r="C14112" s="1" t="n">
        <v>45657</v>
      </c>
      <c r="D14112" t="inlineStr">
        <is>
          <t>VÄSTERNORRLANDS LÄN</t>
        </is>
      </c>
      <c r="E14112" t="inlineStr">
        <is>
          <t>HÄRNÖSAND</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30298-2024</t>
        </is>
      </c>
      <c r="B14113" s="1" t="n">
        <v>45490</v>
      </c>
      <c r="C14113" s="1" t="n">
        <v>45657</v>
      </c>
      <c r="D14113" t="inlineStr">
        <is>
          <t>VÄSTERNORRLANDS LÄN</t>
        </is>
      </c>
      <c r="E14113" t="inlineStr">
        <is>
          <t>SUNDSVALL</t>
        </is>
      </c>
      <c r="F14113" t="inlineStr">
        <is>
          <t>Kommuner</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30328-2024</t>
        </is>
      </c>
      <c r="B14114" s="1" t="n">
        <v>45491</v>
      </c>
      <c r="C14114" s="1" t="n">
        <v>45657</v>
      </c>
      <c r="D14114" t="inlineStr">
        <is>
          <t>VÄSTERNORRLANDS LÄN</t>
        </is>
      </c>
      <c r="E14114" t="inlineStr">
        <is>
          <t>SOLLEFTEÅ</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30344-2024</t>
        </is>
      </c>
      <c r="B14115" s="1" t="n">
        <v>45491</v>
      </c>
      <c r="C14115" s="1" t="n">
        <v>45657</v>
      </c>
      <c r="D14115" t="inlineStr">
        <is>
          <t>VÄSTERNORRLANDS LÄN</t>
        </is>
      </c>
      <c r="E14115" t="inlineStr">
        <is>
          <t>HÄRNÖSAND</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30348-2024</t>
        </is>
      </c>
      <c r="B14116" s="1" t="n">
        <v>45491</v>
      </c>
      <c r="C14116" s="1" t="n">
        <v>45657</v>
      </c>
      <c r="D14116" t="inlineStr">
        <is>
          <t>VÄSTERNORRLANDS LÄN</t>
        </is>
      </c>
      <c r="E14116" t="inlineStr">
        <is>
          <t>ÅNGE</t>
        </is>
      </c>
      <c r="F14116" t="inlineStr">
        <is>
          <t>SCA</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30353-2024</t>
        </is>
      </c>
      <c r="B14117" s="1" t="n">
        <v>45491</v>
      </c>
      <c r="C14117" s="1" t="n">
        <v>45657</v>
      </c>
      <c r="D14117" t="inlineStr">
        <is>
          <t>VÄSTERNORRLANDS LÄN</t>
        </is>
      </c>
      <c r="E14117" t="inlineStr">
        <is>
          <t>ÅNGE</t>
        </is>
      </c>
      <c r="F14117" t="inlineStr">
        <is>
          <t>SCA</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30349-2024</t>
        </is>
      </c>
      <c r="B14118" s="1" t="n">
        <v>45491</v>
      </c>
      <c r="C14118" s="1" t="n">
        <v>45657</v>
      </c>
      <c r="D14118" t="inlineStr">
        <is>
          <t>VÄSTERNORRLANDS LÄN</t>
        </is>
      </c>
      <c r="E14118" t="inlineStr">
        <is>
          <t>ÖRNSKÖLDSVIK</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30329-2024</t>
        </is>
      </c>
      <c r="B14119" s="1" t="n">
        <v>45491</v>
      </c>
      <c r="C14119" s="1" t="n">
        <v>45657</v>
      </c>
      <c r="D14119" t="inlineStr">
        <is>
          <t>VÄSTERNORRLANDS LÄN</t>
        </is>
      </c>
      <c r="E14119" t="inlineStr">
        <is>
          <t>SOLLEFTEÅ</t>
        </is>
      </c>
      <c r="F14119" t="inlineStr">
        <is>
          <t>SCA</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30325-2024</t>
        </is>
      </c>
      <c r="B14120" s="1" t="n">
        <v>45491</v>
      </c>
      <c r="C14120" s="1" t="n">
        <v>45657</v>
      </c>
      <c r="D14120" t="inlineStr">
        <is>
          <t>VÄSTERNORRLANDS LÄN</t>
        </is>
      </c>
      <c r="E14120" t="inlineStr">
        <is>
          <t>SOLLEFTEÅ</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30299-2024</t>
        </is>
      </c>
      <c r="B14121" s="1" t="n">
        <v>45490</v>
      </c>
      <c r="C14121" s="1" t="n">
        <v>45657</v>
      </c>
      <c r="D14121" t="inlineStr">
        <is>
          <t>VÄSTERNORRLANDS LÄN</t>
        </is>
      </c>
      <c r="E14121" t="inlineStr">
        <is>
          <t>SUNDSVALL</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30347-2024</t>
        </is>
      </c>
      <c r="B14122" s="1" t="n">
        <v>45491</v>
      </c>
      <c r="C14122" s="1" t="n">
        <v>45657</v>
      </c>
      <c r="D14122" t="inlineStr">
        <is>
          <t>VÄSTERNORRLANDS LÄN</t>
        </is>
      </c>
      <c r="E14122" t="inlineStr">
        <is>
          <t>ÅNGE</t>
        </is>
      </c>
      <c r="F14122" t="inlineStr">
        <is>
          <t>SCA</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30456-2024</t>
        </is>
      </c>
      <c r="B14123" s="1" t="n">
        <v>45492</v>
      </c>
      <c r="C14123" s="1" t="n">
        <v>45657</v>
      </c>
      <c r="D14123" t="inlineStr">
        <is>
          <t>VÄSTERNORRLANDS LÄN</t>
        </is>
      </c>
      <c r="E14123" t="inlineStr">
        <is>
          <t>KRAMFORS</t>
        </is>
      </c>
      <c r="F14123" t="inlineStr">
        <is>
          <t>SCA</t>
        </is>
      </c>
      <c r="G14123" t="n">
        <v>13.4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30458-2024</t>
        </is>
      </c>
      <c r="B14124" s="1" t="n">
        <v>45492</v>
      </c>
      <c r="C14124" s="1" t="n">
        <v>45657</v>
      </c>
      <c r="D14124" t="inlineStr">
        <is>
          <t>VÄSTERNORRLANDS LÄN</t>
        </is>
      </c>
      <c r="E14124" t="inlineStr">
        <is>
          <t>KRAMFORS</t>
        </is>
      </c>
      <c r="F14124" t="inlineStr">
        <is>
          <t>SCA</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30462-2024</t>
        </is>
      </c>
      <c r="B14125" s="1" t="n">
        <v>45492</v>
      </c>
      <c r="C14125" s="1" t="n">
        <v>45657</v>
      </c>
      <c r="D14125" t="inlineStr">
        <is>
          <t>VÄSTERNORRLANDS LÄN</t>
        </is>
      </c>
      <c r="E14125" t="inlineStr">
        <is>
          <t>SUNDSVALL</t>
        </is>
      </c>
      <c r="F14125" t="inlineStr">
        <is>
          <t>SCA</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30466-2024</t>
        </is>
      </c>
      <c r="B14126" s="1" t="n">
        <v>45492</v>
      </c>
      <c r="C14126" s="1" t="n">
        <v>45657</v>
      </c>
      <c r="D14126" t="inlineStr">
        <is>
          <t>VÄSTERNORRLANDS LÄN</t>
        </is>
      </c>
      <c r="E14126" t="inlineStr">
        <is>
          <t>SOLLEFTEÅ</t>
        </is>
      </c>
      <c r="F14126" t="inlineStr">
        <is>
          <t>SCA</t>
        </is>
      </c>
      <c r="G14126" t="n">
        <v>5.2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30469-2024</t>
        </is>
      </c>
      <c r="B14127" s="1" t="n">
        <v>45491</v>
      </c>
      <c r="C14127" s="1" t="n">
        <v>45657</v>
      </c>
      <c r="D14127" t="inlineStr">
        <is>
          <t>VÄSTERNORRLANDS LÄN</t>
        </is>
      </c>
      <c r="E14127" t="inlineStr">
        <is>
          <t>ÅNGE</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30481-2024</t>
        </is>
      </c>
      <c r="B14128" s="1" t="n">
        <v>45492</v>
      </c>
      <c r="C14128" s="1" t="n">
        <v>45657</v>
      </c>
      <c r="D14128" t="inlineStr">
        <is>
          <t>VÄSTERNORRLANDS LÄN</t>
        </is>
      </c>
      <c r="E14128" t="inlineStr">
        <is>
          <t>ÅNGE</t>
        </is>
      </c>
      <c r="F14128" t="inlineStr">
        <is>
          <t>SCA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30476-2024</t>
        </is>
      </c>
      <c r="B14129" s="1" t="n">
        <v>45492</v>
      </c>
      <c r="C14129" s="1" t="n">
        <v>45657</v>
      </c>
      <c r="D14129" t="inlineStr">
        <is>
          <t>VÄSTERNORRLANDS LÄN</t>
        </is>
      </c>
      <c r="E14129" t="inlineStr">
        <is>
          <t>SOLLEFTEÅ</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30474-2024</t>
        </is>
      </c>
      <c r="B14130" s="1" t="n">
        <v>45491</v>
      </c>
      <c r="C14130" s="1" t="n">
        <v>45657</v>
      </c>
      <c r="D14130" t="inlineStr">
        <is>
          <t>VÄSTERNORRLANDS LÄN</t>
        </is>
      </c>
      <c r="E14130" t="inlineStr">
        <is>
          <t>ÅNGE</t>
        </is>
      </c>
      <c r="F14130" t="inlineStr">
        <is>
          <t>SCA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30478-2024</t>
        </is>
      </c>
      <c r="B14131" s="1" t="n">
        <v>45492</v>
      </c>
      <c r="C14131" s="1" t="n">
        <v>45657</v>
      </c>
      <c r="D14131" t="inlineStr">
        <is>
          <t>VÄSTERNORRLANDS LÄN</t>
        </is>
      </c>
      <c r="E14131" t="inlineStr">
        <is>
          <t>ÅNGE</t>
        </is>
      </c>
      <c r="F14131" t="inlineStr">
        <is>
          <t>SCA</t>
        </is>
      </c>
      <c r="G14131" t="n">
        <v>2</v>
      </c>
      <c r="H14131" t="n">
        <v>0</v>
      </c>
      <c r="I14131" t="n">
        <v>0</v>
      </c>
      <c r="J14131" t="n">
        <v>0</v>
      </c>
      <c r="K14131" t="n">
        <v>0</v>
      </c>
      <c r="L14131" t="n">
        <v>0</v>
      </c>
      <c r="M14131" t="n">
        <v>0</v>
      </c>
      <c r="N14131" t="n">
        <v>0</v>
      </c>
      <c r="O14131" t="n">
        <v>0</v>
      </c>
      <c r="P14131" t="n">
        <v>0</v>
      </c>
      <c r="Q14131" t="n">
        <v>0</v>
      </c>
      <c r="R14131" s="2" t="inlineStr"/>
      <c r="U14131">
        <f>HYPERLINK("https://klasma.github.io/Logging_2260/knärot/A 30478-2024 karta knärot.png", "A 30478-2024")</f>
        <v/>
      </c>
      <c r="V14131">
        <f>HYPERLINK("https://klasma.github.io/Logging_2260/klagomål/A 30478-2024 FSC-klagomål.docx", "A 30478-2024")</f>
        <v/>
      </c>
      <c r="W14131">
        <f>HYPERLINK("https://klasma.github.io/Logging_2260/klagomålsmail/A 30478-2024 FSC-klagomål mail.docx", "A 30478-2024")</f>
        <v/>
      </c>
      <c r="X14131">
        <f>HYPERLINK("https://klasma.github.io/Logging_2260/tillsyn/A 30478-2024 tillsynsbegäran.docx", "A 30478-2024")</f>
        <v/>
      </c>
      <c r="Y14131">
        <f>HYPERLINK("https://klasma.github.io/Logging_2260/tillsynsmail/A 30478-2024 tillsynsbegäran mail.docx", "A 30478-2024")</f>
        <v/>
      </c>
    </row>
    <row r="14132" ht="15" customHeight="1">
      <c r="A14132" t="inlineStr">
        <is>
          <t>A 30442-2024</t>
        </is>
      </c>
      <c r="B14132" s="1" t="n">
        <v>45491</v>
      </c>
      <c r="C14132" s="1" t="n">
        <v>45657</v>
      </c>
      <c r="D14132" t="inlineStr">
        <is>
          <t>VÄSTERNORRLANDS LÄN</t>
        </is>
      </c>
      <c r="E14132" t="inlineStr">
        <is>
          <t>ÖRNSKÖLDSVIK</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30464-2024</t>
        </is>
      </c>
      <c r="B14133" s="1" t="n">
        <v>45492</v>
      </c>
      <c r="C14133" s="1" t="n">
        <v>45657</v>
      </c>
      <c r="D14133" t="inlineStr">
        <is>
          <t>VÄSTERNORRLANDS LÄN</t>
        </is>
      </c>
      <c r="E14133" t="inlineStr">
        <is>
          <t>SOLLEFTEÅ</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30460-2024</t>
        </is>
      </c>
      <c r="B14134" s="1" t="n">
        <v>45492</v>
      </c>
      <c r="C14134" s="1" t="n">
        <v>45657</v>
      </c>
      <c r="D14134" t="inlineStr">
        <is>
          <t>VÄSTERNORRLANDS LÄN</t>
        </is>
      </c>
      <c r="E14134" t="inlineStr">
        <is>
          <t>ÖRNSKÖLDSVIK</t>
        </is>
      </c>
      <c r="F14134" t="inlineStr">
        <is>
          <t>SCA</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30457-2024</t>
        </is>
      </c>
      <c r="B14135" s="1" t="n">
        <v>45492</v>
      </c>
      <c r="C14135" s="1" t="n">
        <v>45657</v>
      </c>
      <c r="D14135" t="inlineStr">
        <is>
          <t>VÄSTERNORRLANDS LÄN</t>
        </is>
      </c>
      <c r="E14135" t="inlineStr">
        <is>
          <t>KRAMFORS</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30459-2024</t>
        </is>
      </c>
      <c r="B14136" s="1" t="n">
        <v>45492</v>
      </c>
      <c r="C14136" s="1" t="n">
        <v>45657</v>
      </c>
      <c r="D14136" t="inlineStr">
        <is>
          <t>VÄSTERNORRLANDS LÄN</t>
        </is>
      </c>
      <c r="E14136" t="inlineStr">
        <is>
          <t>ÖRNSKÖLDSVIK</t>
        </is>
      </c>
      <c r="F14136" t="inlineStr">
        <is>
          <t>SCA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30467-2024</t>
        </is>
      </c>
      <c r="B14137" s="1" t="n">
        <v>45492</v>
      </c>
      <c r="C14137" s="1" t="n">
        <v>45657</v>
      </c>
      <c r="D14137" t="inlineStr">
        <is>
          <t>VÄSTERNORRLANDS LÄN</t>
        </is>
      </c>
      <c r="E14137" t="inlineStr">
        <is>
          <t>ÅNGE</t>
        </is>
      </c>
      <c r="F14137" t="inlineStr">
        <is>
          <t>SCA</t>
        </is>
      </c>
      <c r="G14137" t="n">
        <v>2.4</v>
      </c>
      <c r="H14137" t="n">
        <v>0</v>
      </c>
      <c r="I14137" t="n">
        <v>0</v>
      </c>
      <c r="J14137" t="n">
        <v>0</v>
      </c>
      <c r="K14137" t="n">
        <v>0</v>
      </c>
      <c r="L14137" t="n">
        <v>0</v>
      </c>
      <c r="M14137" t="n">
        <v>0</v>
      </c>
      <c r="N14137" t="n">
        <v>0</v>
      </c>
      <c r="O14137" t="n">
        <v>0</v>
      </c>
      <c r="P14137" t="n">
        <v>0</v>
      </c>
      <c r="Q14137" t="n">
        <v>0</v>
      </c>
      <c r="R14137" s="2" t="inlineStr"/>
      <c r="U14137">
        <f>HYPERLINK("https://klasma.github.io/Logging_2260/knärot/A 30467-2024 karta knärot.png", "A 30467-2024")</f>
        <v/>
      </c>
      <c r="V14137">
        <f>HYPERLINK("https://klasma.github.io/Logging_2260/klagomål/A 30467-2024 FSC-klagomål.docx", "A 30467-2024")</f>
        <v/>
      </c>
      <c r="W14137">
        <f>HYPERLINK("https://klasma.github.io/Logging_2260/klagomålsmail/A 30467-2024 FSC-klagomål mail.docx", "A 30467-2024")</f>
        <v/>
      </c>
      <c r="X14137">
        <f>HYPERLINK("https://klasma.github.io/Logging_2260/tillsyn/A 30467-2024 tillsynsbegäran.docx", "A 30467-2024")</f>
        <v/>
      </c>
      <c r="Y14137">
        <f>HYPERLINK("https://klasma.github.io/Logging_2260/tillsynsmail/A 30467-2024 tillsynsbegäran mail.docx", "A 30467-2024")</f>
        <v/>
      </c>
    </row>
    <row r="14138" ht="15" customHeight="1">
      <c r="A14138" t="inlineStr">
        <is>
          <t>A 30475-2024</t>
        </is>
      </c>
      <c r="B14138" s="1" t="n">
        <v>45491</v>
      </c>
      <c r="C14138" s="1" t="n">
        <v>45657</v>
      </c>
      <c r="D14138" t="inlineStr">
        <is>
          <t>VÄSTERNORRLANDS LÄN</t>
        </is>
      </c>
      <c r="E14138" t="inlineStr">
        <is>
          <t>ÅNGE</t>
        </is>
      </c>
      <c r="F14138" t="inlineStr">
        <is>
          <t>SCA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30479-2024</t>
        </is>
      </c>
      <c r="B14139" s="1" t="n">
        <v>45492</v>
      </c>
      <c r="C14139" s="1" t="n">
        <v>45657</v>
      </c>
      <c r="D14139" t="inlineStr">
        <is>
          <t>VÄSTERNORRLANDS LÄN</t>
        </is>
      </c>
      <c r="E14139" t="inlineStr">
        <is>
          <t>SUNDSVALL</t>
        </is>
      </c>
      <c r="F14139" t="inlineStr">
        <is>
          <t>SCA</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30570-2024</t>
        </is>
      </c>
      <c r="B14140" s="1" t="n">
        <v>45493</v>
      </c>
      <c r="C14140" s="1" t="n">
        <v>45657</v>
      </c>
      <c r="D14140" t="inlineStr">
        <is>
          <t>VÄSTERNORRLANDS LÄN</t>
        </is>
      </c>
      <c r="E14140" t="inlineStr">
        <is>
          <t>SOLLEFTEÅ</t>
        </is>
      </c>
      <c r="F14140" t="inlineStr">
        <is>
          <t>SCA</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30546-2024</t>
        </is>
      </c>
      <c r="B14141" s="1" t="n">
        <v>45492</v>
      </c>
      <c r="C14141" s="1" t="n">
        <v>45657</v>
      </c>
      <c r="D14141" t="inlineStr">
        <is>
          <t>VÄSTERNORRLANDS LÄN</t>
        </is>
      </c>
      <c r="E14141" t="inlineStr">
        <is>
          <t>ÖRNSKÖLDSVIK</t>
        </is>
      </c>
      <c r="F14141" t="inlineStr">
        <is>
          <t>Holmen skog AB</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30542-2024</t>
        </is>
      </c>
      <c r="B14142" s="1" t="n">
        <v>45492</v>
      </c>
      <c r="C14142" s="1" t="n">
        <v>45657</v>
      </c>
      <c r="D14142" t="inlineStr">
        <is>
          <t>VÄSTERNORRLANDS LÄN</t>
        </is>
      </c>
      <c r="E14142" t="inlineStr">
        <is>
          <t>ÖRNSKÖLDSVIK</t>
        </is>
      </c>
      <c r="F14142" t="inlineStr">
        <is>
          <t>Holmen skog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30568-2024</t>
        </is>
      </c>
      <c r="B14143" s="1" t="n">
        <v>45493</v>
      </c>
      <c r="C14143" s="1" t="n">
        <v>45657</v>
      </c>
      <c r="D14143" t="inlineStr">
        <is>
          <t>VÄSTERNORRLANDS LÄN</t>
        </is>
      </c>
      <c r="E14143" t="inlineStr">
        <is>
          <t>ÅNGE</t>
        </is>
      </c>
      <c r="F14143" t="inlineStr">
        <is>
          <t>SCA</t>
        </is>
      </c>
      <c r="G14143" t="n">
        <v>7.9</v>
      </c>
      <c r="H14143" t="n">
        <v>0</v>
      </c>
      <c r="I14143" t="n">
        <v>0</v>
      </c>
      <c r="J14143" t="n">
        <v>0</v>
      </c>
      <c r="K14143" t="n">
        <v>0</v>
      </c>
      <c r="L14143" t="n">
        <v>0</v>
      </c>
      <c r="M14143" t="n">
        <v>0</v>
      </c>
      <c r="N14143" t="n">
        <v>0</v>
      </c>
      <c r="O14143" t="n">
        <v>0</v>
      </c>
      <c r="P14143" t="n">
        <v>0</v>
      </c>
      <c r="Q14143" t="n">
        <v>0</v>
      </c>
      <c r="R14143" s="2" t="inlineStr"/>
      <c r="U14143">
        <f>HYPERLINK("https://klasma.github.io/Logging_2260/knärot/A 30568-2024 karta knärot.png", "A 30568-2024")</f>
        <v/>
      </c>
      <c r="V14143">
        <f>HYPERLINK("https://klasma.github.io/Logging_2260/klagomål/A 30568-2024 FSC-klagomål.docx", "A 30568-2024")</f>
        <v/>
      </c>
      <c r="W14143">
        <f>HYPERLINK("https://klasma.github.io/Logging_2260/klagomålsmail/A 30568-2024 FSC-klagomål mail.docx", "A 30568-2024")</f>
        <v/>
      </c>
      <c r="X14143">
        <f>HYPERLINK("https://klasma.github.io/Logging_2260/tillsyn/A 30568-2024 tillsynsbegäran.docx", "A 30568-2024")</f>
        <v/>
      </c>
      <c r="Y14143">
        <f>HYPERLINK("https://klasma.github.io/Logging_2260/tillsynsmail/A 30568-2024 tillsynsbegäran mail.docx", "A 30568-2024")</f>
        <v/>
      </c>
    </row>
    <row r="14144" ht="15" customHeight="1">
      <c r="A14144" t="inlineStr">
        <is>
          <t>A 30560-2024</t>
        </is>
      </c>
      <c r="B14144" s="1" t="n">
        <v>45493</v>
      </c>
      <c r="C14144" s="1" t="n">
        <v>45657</v>
      </c>
      <c r="D14144" t="inlineStr">
        <is>
          <t>VÄSTERNORRLANDS LÄN</t>
        </is>
      </c>
      <c r="E14144" t="inlineStr">
        <is>
          <t>SUNDSVALL</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30590-2024</t>
        </is>
      </c>
      <c r="B14145" s="1" t="n">
        <v>45493</v>
      </c>
      <c r="C14145" s="1" t="n">
        <v>45657</v>
      </c>
      <c r="D14145" t="inlineStr">
        <is>
          <t>VÄSTERNORRLANDS LÄN</t>
        </is>
      </c>
      <c r="E14145" t="inlineStr">
        <is>
          <t>ÖRNSKÖLDSVIK</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30589-2024</t>
        </is>
      </c>
      <c r="B14146" s="1" t="n">
        <v>45493</v>
      </c>
      <c r="C14146" s="1" t="n">
        <v>45657</v>
      </c>
      <c r="D14146" t="inlineStr">
        <is>
          <t>VÄSTERNORRLANDS LÄN</t>
        </is>
      </c>
      <c r="E14146" t="inlineStr">
        <is>
          <t>ÖRNSKÖLDSVIK</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30614-2024</t>
        </is>
      </c>
      <c r="B14147" s="1" t="n">
        <v>45495</v>
      </c>
      <c r="C14147" s="1" t="n">
        <v>45657</v>
      </c>
      <c r="D14147" t="inlineStr">
        <is>
          <t>VÄSTERNORRLANDS LÄN</t>
        </is>
      </c>
      <c r="E14147" t="inlineStr">
        <is>
          <t>ÖRNSKÖLDSVIK</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30608-2024</t>
        </is>
      </c>
      <c r="B14148" s="1" t="n">
        <v>45495</v>
      </c>
      <c r="C14148" s="1" t="n">
        <v>45657</v>
      </c>
      <c r="D14148" t="inlineStr">
        <is>
          <t>VÄSTERNORRLANDS LÄN</t>
        </is>
      </c>
      <c r="E14148" t="inlineStr">
        <is>
          <t>ÖRNSKÖLDSVIK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30612-2024</t>
        </is>
      </c>
      <c r="B14149" s="1" t="n">
        <v>45495</v>
      </c>
      <c r="C14149" s="1" t="n">
        <v>45657</v>
      </c>
      <c r="D14149" t="inlineStr">
        <is>
          <t>VÄSTERNORRLANDS LÄN</t>
        </is>
      </c>
      <c r="E14149" t="inlineStr">
        <is>
          <t>TIMRÅ</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30615-2024</t>
        </is>
      </c>
      <c r="B14150" s="1" t="n">
        <v>45495</v>
      </c>
      <c r="C14150" s="1" t="n">
        <v>45657</v>
      </c>
      <c r="D14150" t="inlineStr">
        <is>
          <t>VÄSTERNORRLANDS LÄN</t>
        </is>
      </c>
      <c r="E14150" t="inlineStr">
        <is>
          <t>KRAMFORS</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30683-2024</t>
        </is>
      </c>
      <c r="B14151" s="1" t="n">
        <v>45495</v>
      </c>
      <c r="C14151" s="1" t="n">
        <v>45657</v>
      </c>
      <c r="D14151" t="inlineStr">
        <is>
          <t>VÄSTERNORRLANDS LÄN</t>
        </is>
      </c>
      <c r="E14151" t="inlineStr">
        <is>
          <t>ÅNGE</t>
        </is>
      </c>
      <c r="F14151" t="inlineStr">
        <is>
          <t>SCA</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30687-2024</t>
        </is>
      </c>
      <c r="B14152" s="1" t="n">
        <v>45496</v>
      </c>
      <c r="C14152" s="1" t="n">
        <v>45657</v>
      </c>
      <c r="D14152" t="inlineStr">
        <is>
          <t>VÄSTERNORRLANDS LÄN</t>
        </is>
      </c>
      <c r="E14152" t="inlineStr">
        <is>
          <t>ÅNGE</t>
        </is>
      </c>
      <c r="F14152" t="inlineStr">
        <is>
          <t>SCA</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30621-2024</t>
        </is>
      </c>
      <c r="B14153" s="1" t="n">
        <v>45495</v>
      </c>
      <c r="C14153" s="1" t="n">
        <v>45657</v>
      </c>
      <c r="D14153" t="inlineStr">
        <is>
          <t>VÄSTERNORRLANDS LÄN</t>
        </is>
      </c>
      <c r="E14153" t="inlineStr">
        <is>
          <t>KRAMFORS</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30682-2024</t>
        </is>
      </c>
      <c r="B14154" s="1" t="n">
        <v>45496</v>
      </c>
      <c r="C14154" s="1" t="n">
        <v>45657</v>
      </c>
      <c r="D14154" t="inlineStr">
        <is>
          <t>VÄSTERNORRLANDS LÄN</t>
        </is>
      </c>
      <c r="E14154" t="inlineStr">
        <is>
          <t>ÅNGE</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30686-2024</t>
        </is>
      </c>
      <c r="B14155" s="1" t="n">
        <v>45495</v>
      </c>
      <c r="C14155" s="1" t="n">
        <v>45657</v>
      </c>
      <c r="D14155" t="inlineStr">
        <is>
          <t>VÄSTERNORRLANDS LÄN</t>
        </is>
      </c>
      <c r="E14155" t="inlineStr">
        <is>
          <t>SUNDSVALL</t>
        </is>
      </c>
      <c r="F14155" t="inlineStr">
        <is>
          <t>SCA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30680-2024</t>
        </is>
      </c>
      <c r="B14156" s="1" t="n">
        <v>45495</v>
      </c>
      <c r="C14156" s="1" t="n">
        <v>45657</v>
      </c>
      <c r="D14156" t="inlineStr">
        <is>
          <t>VÄSTERNORRLANDS LÄN</t>
        </is>
      </c>
      <c r="E14156" t="inlineStr">
        <is>
          <t>TIMRÅ</t>
        </is>
      </c>
      <c r="F14156" t="inlineStr">
        <is>
          <t>SCA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30684-2024</t>
        </is>
      </c>
      <c r="B14157" s="1" t="n">
        <v>45496</v>
      </c>
      <c r="C14157" s="1" t="n">
        <v>45657</v>
      </c>
      <c r="D14157" t="inlineStr">
        <is>
          <t>VÄSTERNORRLANDS LÄN</t>
        </is>
      </c>
      <c r="E14157" t="inlineStr">
        <is>
          <t>SUNDSVALL</t>
        </is>
      </c>
      <c r="F14157" t="inlineStr">
        <is>
          <t>SCA</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30763-2024</t>
        </is>
      </c>
      <c r="B14158" s="1" t="n">
        <v>45497</v>
      </c>
      <c r="C14158" s="1" t="n">
        <v>45657</v>
      </c>
      <c r="D14158" t="inlineStr">
        <is>
          <t>VÄSTERNORRLANDS LÄN</t>
        </is>
      </c>
      <c r="E14158" t="inlineStr">
        <is>
          <t>HÄRNÖSAND</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30767-2024</t>
        </is>
      </c>
      <c r="B14159" s="1" t="n">
        <v>45497</v>
      </c>
      <c r="C14159" s="1" t="n">
        <v>45657</v>
      </c>
      <c r="D14159" t="inlineStr">
        <is>
          <t>VÄSTERNORRLANDS LÄN</t>
        </is>
      </c>
      <c r="E14159" t="inlineStr">
        <is>
          <t>HÄRNÖSAND</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30754-2024</t>
        </is>
      </c>
      <c r="B14160" s="1" t="n">
        <v>45496</v>
      </c>
      <c r="C14160" s="1" t="n">
        <v>45657</v>
      </c>
      <c r="D14160" t="inlineStr">
        <is>
          <t>VÄSTERNORRLANDS LÄN</t>
        </is>
      </c>
      <c r="E14160" t="inlineStr">
        <is>
          <t>ÅNGE</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30750-2024</t>
        </is>
      </c>
      <c r="B14161" s="1" t="n">
        <v>45496</v>
      </c>
      <c r="C14161" s="1" t="n">
        <v>45657</v>
      </c>
      <c r="D14161" t="inlineStr">
        <is>
          <t>VÄSTERNORRLANDS LÄN</t>
        </is>
      </c>
      <c r="E14161" t="inlineStr">
        <is>
          <t>SUNDSVALL</t>
        </is>
      </c>
      <c r="G14161" t="n">
        <v>8.1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30710-2024</t>
        </is>
      </c>
      <c r="B14162" s="1" t="n">
        <v>45496</v>
      </c>
      <c r="C14162" s="1" t="n">
        <v>45657</v>
      </c>
      <c r="D14162" t="inlineStr">
        <is>
          <t>VÄSTERNORRLANDS LÄN</t>
        </is>
      </c>
      <c r="E14162" t="inlineStr">
        <is>
          <t>HÄRNÖSAND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30774-2024</t>
        </is>
      </c>
      <c r="B14163" s="1" t="n">
        <v>45497</v>
      </c>
      <c r="C14163" s="1" t="n">
        <v>45657</v>
      </c>
      <c r="D14163" t="inlineStr">
        <is>
          <t>VÄSTERNORRLANDS LÄN</t>
        </is>
      </c>
      <c r="E14163" t="inlineStr">
        <is>
          <t>ÅNGE</t>
        </is>
      </c>
      <c r="F14163" t="inlineStr">
        <is>
          <t>SCA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30769-2024</t>
        </is>
      </c>
      <c r="B14164" s="1" t="n">
        <v>45497</v>
      </c>
      <c r="C14164" s="1" t="n">
        <v>45657</v>
      </c>
      <c r="D14164" t="inlineStr">
        <is>
          <t>VÄSTERNORRLANDS LÄN</t>
        </is>
      </c>
      <c r="E14164" t="inlineStr">
        <is>
          <t>KRAMFORS</t>
        </is>
      </c>
      <c r="F14164" t="inlineStr">
        <is>
          <t>Kyrkan</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30765-2024</t>
        </is>
      </c>
      <c r="B14165" s="1" t="n">
        <v>45497</v>
      </c>
      <c r="C14165" s="1" t="n">
        <v>45657</v>
      </c>
      <c r="D14165" t="inlineStr">
        <is>
          <t>VÄSTERNORRLANDS LÄN</t>
        </is>
      </c>
      <c r="E14165" t="inlineStr">
        <is>
          <t>HÄRNÖSAND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30748-2024</t>
        </is>
      </c>
      <c r="B14166" s="1" t="n">
        <v>45496</v>
      </c>
      <c r="C14166" s="1" t="n">
        <v>45657</v>
      </c>
      <c r="D14166" t="inlineStr">
        <is>
          <t>VÄSTERNORRLANDS LÄN</t>
        </is>
      </c>
      <c r="E14166" t="inlineStr">
        <is>
          <t>SUNDSVALL</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30768-2024</t>
        </is>
      </c>
      <c r="B14167" s="1" t="n">
        <v>45496</v>
      </c>
      <c r="C14167" s="1" t="n">
        <v>45657</v>
      </c>
      <c r="D14167" t="inlineStr">
        <is>
          <t>VÄSTERNORRLANDS LÄN</t>
        </is>
      </c>
      <c r="E14167" t="inlineStr">
        <is>
          <t>KRAMFORS</t>
        </is>
      </c>
      <c r="F14167" t="inlineStr">
        <is>
          <t>Kyrkan</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30764-2024</t>
        </is>
      </c>
      <c r="B14168" s="1" t="n">
        <v>45496</v>
      </c>
      <c r="C14168" s="1" t="n">
        <v>45657</v>
      </c>
      <c r="D14168" t="inlineStr">
        <is>
          <t>VÄSTERNORRLANDS LÄN</t>
        </is>
      </c>
      <c r="E14168" t="inlineStr">
        <is>
          <t>HÄRNÖSAND</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30751-2024</t>
        </is>
      </c>
      <c r="B14169" s="1" t="n">
        <v>45496</v>
      </c>
      <c r="C14169" s="1" t="n">
        <v>45657</v>
      </c>
      <c r="D14169" t="inlineStr">
        <is>
          <t>VÄSTERNORRLANDS LÄN</t>
        </is>
      </c>
      <c r="E14169" t="inlineStr">
        <is>
          <t>ÅNGE</t>
        </is>
      </c>
      <c r="G14169" t="n">
        <v>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30747-2024</t>
        </is>
      </c>
      <c r="B14170" s="1" t="n">
        <v>45496</v>
      </c>
      <c r="C14170" s="1" t="n">
        <v>45657</v>
      </c>
      <c r="D14170" t="inlineStr">
        <is>
          <t>VÄSTERNORRLANDS LÄN</t>
        </is>
      </c>
      <c r="E14170" t="inlineStr">
        <is>
          <t>ÅNGE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30770-2024</t>
        </is>
      </c>
      <c r="B14171" s="1" t="n">
        <v>45497</v>
      </c>
      <c r="C14171" s="1" t="n">
        <v>45657</v>
      </c>
      <c r="D14171" t="inlineStr">
        <is>
          <t>VÄSTERNORRLANDS LÄN</t>
        </is>
      </c>
      <c r="E14171" t="inlineStr">
        <is>
          <t>KRAMFORS</t>
        </is>
      </c>
      <c r="F14171" t="inlineStr">
        <is>
          <t>Kyrkan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30762-2024</t>
        </is>
      </c>
      <c r="B14172" s="1" t="n">
        <v>45497</v>
      </c>
      <c r="C14172" s="1" t="n">
        <v>45657</v>
      </c>
      <c r="D14172" t="inlineStr">
        <is>
          <t>VÄSTERNORRLANDS LÄN</t>
        </is>
      </c>
      <c r="E14172" t="inlineStr">
        <is>
          <t>HÄRNÖSAND</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30766-2024</t>
        </is>
      </c>
      <c r="B14173" s="1" t="n">
        <v>45497</v>
      </c>
      <c r="C14173" s="1" t="n">
        <v>45657</v>
      </c>
      <c r="D14173" t="inlineStr">
        <is>
          <t>VÄSTERNORRLANDS LÄN</t>
        </is>
      </c>
      <c r="E14173" t="inlineStr">
        <is>
          <t>HÄRNÖSAND</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30753-2024</t>
        </is>
      </c>
      <c r="B14174" s="1" t="n">
        <v>45496</v>
      </c>
      <c r="C14174" s="1" t="n">
        <v>45657</v>
      </c>
      <c r="D14174" t="inlineStr">
        <is>
          <t>VÄSTERNORRLANDS LÄN</t>
        </is>
      </c>
      <c r="E14174" t="inlineStr">
        <is>
          <t>ÅNGE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30868-2024</t>
        </is>
      </c>
      <c r="B14175" s="1" t="n">
        <v>45497</v>
      </c>
      <c r="C14175" s="1" t="n">
        <v>45657</v>
      </c>
      <c r="D14175" t="inlineStr">
        <is>
          <t>VÄSTERNORRLANDS LÄN</t>
        </is>
      </c>
      <c r="E14175" t="inlineStr">
        <is>
          <t>ÖRNSKÖLDSVIK</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30812-2024</t>
        </is>
      </c>
      <c r="B14176" s="1" t="n">
        <v>45497</v>
      </c>
      <c r="C14176" s="1" t="n">
        <v>45657</v>
      </c>
      <c r="D14176" t="inlineStr">
        <is>
          <t>VÄSTERNORRLANDS LÄN</t>
        </is>
      </c>
      <c r="E14176" t="inlineStr">
        <is>
          <t>SOLLEFTEÅ</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30799-2024</t>
        </is>
      </c>
      <c r="B14177" s="1" t="n">
        <v>45497</v>
      </c>
      <c r="C14177" s="1" t="n">
        <v>45657</v>
      </c>
      <c r="D14177" t="inlineStr">
        <is>
          <t>VÄSTERNORRLANDS LÄN</t>
        </is>
      </c>
      <c r="E14177" t="inlineStr">
        <is>
          <t>SUNDSVALL</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30894-2024</t>
        </is>
      </c>
      <c r="B14178" s="1" t="n">
        <v>45498</v>
      </c>
      <c r="C14178" s="1" t="n">
        <v>45657</v>
      </c>
      <c r="D14178" t="inlineStr">
        <is>
          <t>VÄSTERNORRLANDS LÄN</t>
        </is>
      </c>
      <c r="E14178" t="inlineStr">
        <is>
          <t>ÖRNSKÖLDSVIK</t>
        </is>
      </c>
      <c r="F14178" t="inlineStr">
        <is>
          <t>Holmen skog AB</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30907-2024</t>
        </is>
      </c>
      <c r="B14179" s="1" t="n">
        <v>45498</v>
      </c>
      <c r="C14179" s="1" t="n">
        <v>45657</v>
      </c>
      <c r="D14179" t="inlineStr">
        <is>
          <t>VÄSTERNORRLANDS LÄN</t>
        </is>
      </c>
      <c r="E14179" t="inlineStr">
        <is>
          <t>TIMRÅ</t>
        </is>
      </c>
      <c r="G14179" t="n">
        <v>6.6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30944-2024</t>
        </is>
      </c>
      <c r="B14180" s="1" t="n">
        <v>45499</v>
      </c>
      <c r="C14180" s="1" t="n">
        <v>45657</v>
      </c>
      <c r="D14180" t="inlineStr">
        <is>
          <t>VÄSTERNORRLANDS LÄN</t>
        </is>
      </c>
      <c r="E14180" t="inlineStr">
        <is>
          <t>SUNDSVALL</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31408-2024</t>
        </is>
      </c>
      <c r="B14181" s="1" t="n">
        <v>45502</v>
      </c>
      <c r="C14181" s="1" t="n">
        <v>45657</v>
      </c>
      <c r="D14181" t="inlineStr">
        <is>
          <t>VÄSTERNORRLANDS LÄN</t>
        </is>
      </c>
      <c r="E14181" t="inlineStr">
        <is>
          <t>HÄRNÖSAND</t>
        </is>
      </c>
      <c r="G14181" t="n">
        <v>0.3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31138-2024</t>
        </is>
      </c>
      <c r="B14182" s="1" t="n">
        <v>45502</v>
      </c>
      <c r="C14182" s="1" t="n">
        <v>45657</v>
      </c>
      <c r="D14182" t="inlineStr">
        <is>
          <t>VÄSTERNORRLANDS LÄN</t>
        </is>
      </c>
      <c r="E14182" t="inlineStr">
        <is>
          <t>KRAMFORS</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31140-2024</t>
        </is>
      </c>
      <c r="B14183" s="1" t="n">
        <v>45502</v>
      </c>
      <c r="C14183" s="1" t="n">
        <v>45657</v>
      </c>
      <c r="D14183" t="inlineStr">
        <is>
          <t>VÄSTERNORRLANDS LÄN</t>
        </is>
      </c>
      <c r="E14183" t="inlineStr">
        <is>
          <t>KRAMFORS</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31157-2024</t>
        </is>
      </c>
      <c r="B14184" s="1" t="n">
        <v>45502</v>
      </c>
      <c r="C14184" s="1" t="n">
        <v>45657</v>
      </c>
      <c r="D14184" t="inlineStr">
        <is>
          <t>VÄSTERNORRLANDS LÄN</t>
        </is>
      </c>
      <c r="E14184" t="inlineStr">
        <is>
          <t>HÄRNÖSAND</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31081-2024</t>
        </is>
      </c>
      <c r="B14185" s="1" t="n">
        <v>45502</v>
      </c>
      <c r="C14185" s="1" t="n">
        <v>45657</v>
      </c>
      <c r="D14185" t="inlineStr">
        <is>
          <t>VÄSTERNORRLANDS LÄN</t>
        </is>
      </c>
      <c r="E14185" t="inlineStr">
        <is>
          <t>ÖRNSKÖLDSVIK</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31177-2024</t>
        </is>
      </c>
      <c r="B14186" s="1" t="n">
        <v>45503</v>
      </c>
      <c r="C14186" s="1" t="n">
        <v>45657</v>
      </c>
      <c r="D14186" t="inlineStr">
        <is>
          <t>VÄSTERNORRLANDS LÄN</t>
        </is>
      </c>
      <c r="E14186" t="inlineStr">
        <is>
          <t>ÅNGE</t>
        </is>
      </c>
      <c r="G14186" t="n">
        <v>10.2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31182-2024</t>
        </is>
      </c>
      <c r="B14187" s="1" t="n">
        <v>45503</v>
      </c>
      <c r="C14187" s="1" t="n">
        <v>45657</v>
      </c>
      <c r="D14187" t="inlineStr">
        <is>
          <t>VÄSTERNORRLANDS LÄN</t>
        </is>
      </c>
      <c r="E14187" t="inlineStr">
        <is>
          <t>ÅNGE</t>
        </is>
      </c>
      <c r="G14187" t="n">
        <v>8.6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31184-2024</t>
        </is>
      </c>
      <c r="B14188" s="1" t="n">
        <v>45503</v>
      </c>
      <c r="C14188" s="1" t="n">
        <v>45657</v>
      </c>
      <c r="D14188" t="inlineStr">
        <is>
          <t>VÄSTERNORRLANDS LÄN</t>
        </is>
      </c>
      <c r="E14188" t="inlineStr">
        <is>
          <t>ÅNGE</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31271-2024</t>
        </is>
      </c>
      <c r="B14189" s="1" t="n">
        <v>45503</v>
      </c>
      <c r="C14189" s="1" t="n">
        <v>45657</v>
      </c>
      <c r="D14189" t="inlineStr">
        <is>
          <t>VÄSTERNORRLANDS LÄN</t>
        </is>
      </c>
      <c r="E14189" t="inlineStr">
        <is>
          <t>SUNDSVALL</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31282-2024</t>
        </is>
      </c>
      <c r="B14190" s="1" t="n">
        <v>45504</v>
      </c>
      <c r="C14190" s="1" t="n">
        <v>45657</v>
      </c>
      <c r="D14190" t="inlineStr">
        <is>
          <t>VÄSTERNORRLANDS LÄN</t>
        </is>
      </c>
      <c r="E14190" t="inlineStr">
        <is>
          <t>ÖRNSKÖLDSVIK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31347-2024</t>
        </is>
      </c>
      <c r="B14191" s="1" t="n">
        <v>45505</v>
      </c>
      <c r="C14191" s="1" t="n">
        <v>45657</v>
      </c>
      <c r="D14191" t="inlineStr">
        <is>
          <t>VÄSTERNORRLANDS LÄN</t>
        </is>
      </c>
      <c r="E14191" t="inlineStr">
        <is>
          <t>ÖRNSKÖLDSVIK</t>
        </is>
      </c>
      <c r="F14191" t="inlineStr">
        <is>
          <t>Holmen skog AB</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31350-2024</t>
        </is>
      </c>
      <c r="B14192" s="1" t="n">
        <v>45505</v>
      </c>
      <c r="C14192" s="1" t="n">
        <v>45657</v>
      </c>
      <c r="D14192" t="inlineStr">
        <is>
          <t>VÄSTERNORRLANDS LÄN</t>
        </is>
      </c>
      <c r="E14192" t="inlineStr">
        <is>
          <t>ÖRNSKÖLDSVIK</t>
        </is>
      </c>
      <c r="F14192" t="inlineStr">
        <is>
          <t>Holmen skog AB</t>
        </is>
      </c>
      <c r="G14192" t="n">
        <v>5.6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31348-2024</t>
        </is>
      </c>
      <c r="B14193" s="1" t="n">
        <v>45505</v>
      </c>
      <c r="C14193" s="1" t="n">
        <v>45657</v>
      </c>
      <c r="D14193" t="inlineStr">
        <is>
          <t>VÄSTERNORRLANDS LÄN</t>
        </is>
      </c>
      <c r="E14193" t="inlineStr">
        <is>
          <t>ÖRNSKÖLDSVIK</t>
        </is>
      </c>
      <c r="F14193" t="inlineStr">
        <is>
          <t>Holmen skog AB</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31340-2024</t>
        </is>
      </c>
      <c r="B14194" s="1" t="n">
        <v>45504</v>
      </c>
      <c r="C14194" s="1" t="n">
        <v>45657</v>
      </c>
      <c r="D14194" t="inlineStr">
        <is>
          <t>VÄSTERNORRLANDS LÄN</t>
        </is>
      </c>
      <c r="E14194" t="inlineStr">
        <is>
          <t>ÖRNSKÖLDSVIK</t>
        </is>
      </c>
      <c r="F14194" t="inlineStr">
        <is>
          <t>Holmen skog AB</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31345-2024</t>
        </is>
      </c>
      <c r="B14195" s="1" t="n">
        <v>45505</v>
      </c>
      <c r="C14195" s="1" t="n">
        <v>45657</v>
      </c>
      <c r="D14195" t="inlineStr">
        <is>
          <t>VÄSTERNORRLANDS LÄN</t>
        </is>
      </c>
      <c r="E14195" t="inlineStr">
        <is>
          <t>ÖRNSKÖLDSVIK</t>
        </is>
      </c>
      <c r="F14195" t="inlineStr">
        <is>
          <t>Holmen skog AB</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31349-2024</t>
        </is>
      </c>
      <c r="B14196" s="1" t="n">
        <v>45505</v>
      </c>
      <c r="C14196" s="1" t="n">
        <v>45657</v>
      </c>
      <c r="D14196" t="inlineStr">
        <is>
          <t>VÄSTERNORRLANDS LÄN</t>
        </is>
      </c>
      <c r="E14196" t="inlineStr">
        <is>
          <t>ÖRNSKÖLDSVIK</t>
        </is>
      </c>
      <c r="F14196" t="inlineStr">
        <is>
          <t>Holmen skog AB</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31334-2024</t>
        </is>
      </c>
      <c r="B14197" s="1" t="n">
        <v>45504</v>
      </c>
      <c r="C14197" s="1" t="n">
        <v>45657</v>
      </c>
      <c r="D14197" t="inlineStr">
        <is>
          <t>VÄSTERNORRLANDS LÄN</t>
        </is>
      </c>
      <c r="E14197" t="inlineStr">
        <is>
          <t>ÖRNSKÖLDSVIK</t>
        </is>
      </c>
      <c r="F14197" t="inlineStr">
        <is>
          <t>Holmen skog AB</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31338-2024</t>
        </is>
      </c>
      <c r="B14198" s="1" t="n">
        <v>45504</v>
      </c>
      <c r="C14198" s="1" t="n">
        <v>45657</v>
      </c>
      <c r="D14198" t="inlineStr">
        <is>
          <t>VÄSTERNORRLANDS LÄN</t>
        </is>
      </c>
      <c r="E14198" t="inlineStr">
        <is>
          <t>ÖRNSKÖLDSVIK</t>
        </is>
      </c>
      <c r="F14198" t="inlineStr">
        <is>
          <t>Holmen skog AB</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31346-2024</t>
        </is>
      </c>
      <c r="B14199" s="1" t="n">
        <v>45505</v>
      </c>
      <c r="C14199" s="1" t="n">
        <v>45657</v>
      </c>
      <c r="D14199" t="inlineStr">
        <is>
          <t>VÄSTERNORRLANDS LÄN</t>
        </is>
      </c>
      <c r="E14199" t="inlineStr">
        <is>
          <t>ÖRNSKÖLDSVIK</t>
        </is>
      </c>
      <c r="F14199" t="inlineStr">
        <is>
          <t>Holmen skog AB</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31317-2024</t>
        </is>
      </c>
      <c r="B14200" s="1" t="n">
        <v>45504</v>
      </c>
      <c r="C14200" s="1" t="n">
        <v>45657</v>
      </c>
      <c r="D14200" t="inlineStr">
        <is>
          <t>VÄSTERNORRLANDS LÄN</t>
        </is>
      </c>
      <c r="E14200" t="inlineStr">
        <is>
          <t>SUNDSVALL</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31276-2024</t>
        </is>
      </c>
      <c r="B14201" s="1" t="n">
        <v>45504</v>
      </c>
      <c r="C14201" s="1" t="n">
        <v>45657</v>
      </c>
      <c r="D14201" t="inlineStr">
        <is>
          <t>VÄSTERNORRLANDS LÄN</t>
        </is>
      </c>
      <c r="E14201" t="inlineStr">
        <is>
          <t>ÖRNSKÖLDSVIK</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31568-2024</t>
        </is>
      </c>
      <c r="B14202" s="1" t="n">
        <v>45506</v>
      </c>
      <c r="C14202" s="1" t="n">
        <v>45657</v>
      </c>
      <c r="D14202" t="inlineStr">
        <is>
          <t>VÄSTERNORRLANDS LÄN</t>
        </is>
      </c>
      <c r="E14202" t="inlineStr">
        <is>
          <t>ÅNGE</t>
        </is>
      </c>
      <c r="F14202" t="inlineStr">
        <is>
          <t>SCA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31521-2024</t>
        </is>
      </c>
      <c r="B14203" s="1" t="n">
        <v>45505</v>
      </c>
      <c r="C14203" s="1" t="n">
        <v>45657</v>
      </c>
      <c r="D14203" t="inlineStr">
        <is>
          <t>VÄSTERNORRLANDS LÄN</t>
        </is>
      </c>
      <c r="E14203" t="inlineStr">
        <is>
          <t>SOLLEFTEÅ</t>
        </is>
      </c>
      <c r="F14203" t="inlineStr">
        <is>
          <t>SCA</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31482-2024</t>
        </is>
      </c>
      <c r="B14204" s="1" t="n">
        <v>45505</v>
      </c>
      <c r="C14204" s="1" t="n">
        <v>45657</v>
      </c>
      <c r="D14204" t="inlineStr">
        <is>
          <t>VÄSTERNORRLANDS LÄN</t>
        </is>
      </c>
      <c r="E14204" t="inlineStr">
        <is>
          <t>SOLLEFTEÅ</t>
        </is>
      </c>
      <c r="F14204" t="inlineStr">
        <is>
          <t>SCA</t>
        </is>
      </c>
      <c r="G14204" t="n">
        <v>8.9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31555-2024</t>
        </is>
      </c>
      <c r="B14205" s="1" t="n">
        <v>45506</v>
      </c>
      <c r="C14205" s="1" t="n">
        <v>45657</v>
      </c>
      <c r="D14205" t="inlineStr">
        <is>
          <t>VÄSTERNORRLANDS LÄN</t>
        </is>
      </c>
      <c r="E14205" t="inlineStr">
        <is>
          <t>SOLLEFTEÅ</t>
        </is>
      </c>
      <c r="F14205" t="inlineStr">
        <is>
          <t>SCA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31547-2024</t>
        </is>
      </c>
      <c r="B14206" s="1" t="n">
        <v>45506</v>
      </c>
      <c r="C14206" s="1" t="n">
        <v>45657</v>
      </c>
      <c r="D14206" t="inlineStr">
        <is>
          <t>VÄSTERNORRLANDS LÄN</t>
        </is>
      </c>
      <c r="E14206" t="inlineStr">
        <is>
          <t>SOLLEFTEÅ</t>
        </is>
      </c>
      <c r="F14206" t="inlineStr">
        <is>
          <t>SCA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31539-2024</t>
        </is>
      </c>
      <c r="B14207" s="1" t="n">
        <v>45506</v>
      </c>
      <c r="C14207" s="1" t="n">
        <v>45657</v>
      </c>
      <c r="D14207" t="inlineStr">
        <is>
          <t>VÄSTERNORRLANDS LÄN</t>
        </is>
      </c>
      <c r="E14207" t="inlineStr">
        <is>
          <t>SUNDSVALL</t>
        </is>
      </c>
      <c r="F14207" t="inlineStr">
        <is>
          <t>SCA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31556-2024</t>
        </is>
      </c>
      <c r="B14208" s="1" t="n">
        <v>45505</v>
      </c>
      <c r="C14208" s="1" t="n">
        <v>45657</v>
      </c>
      <c r="D14208" t="inlineStr">
        <is>
          <t>VÄSTERNORRLANDS LÄN</t>
        </is>
      </c>
      <c r="E14208" t="inlineStr">
        <is>
          <t>SOLLEFTEÅ</t>
        </is>
      </c>
      <c r="F14208" t="inlineStr">
        <is>
          <t>SCA</t>
        </is>
      </c>
      <c r="G14208" t="n">
        <v>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31499-2024</t>
        </is>
      </c>
      <c r="B14209" s="1" t="n">
        <v>45505</v>
      </c>
      <c r="C14209" s="1" t="n">
        <v>45657</v>
      </c>
      <c r="D14209" t="inlineStr">
        <is>
          <t>VÄSTERNORRLANDS LÄN</t>
        </is>
      </c>
      <c r="E14209" t="inlineStr">
        <is>
          <t>SUNDSVALL</t>
        </is>
      </c>
      <c r="F14209" t="inlineStr">
        <is>
          <t>SCA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31436-2024</t>
        </is>
      </c>
      <c r="B14210" s="1" t="n">
        <v>45505</v>
      </c>
      <c r="C14210" s="1" t="n">
        <v>45657</v>
      </c>
      <c r="D14210" t="inlineStr">
        <is>
          <t>VÄSTERNORRLANDS LÄN</t>
        </is>
      </c>
      <c r="E14210" t="inlineStr">
        <is>
          <t>SUNDSVALL</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31440-2024</t>
        </is>
      </c>
      <c r="B14211" s="1" t="n">
        <v>45505</v>
      </c>
      <c r="C14211" s="1" t="n">
        <v>45657</v>
      </c>
      <c r="D14211" t="inlineStr">
        <is>
          <t>VÄSTERNORRLANDS LÄN</t>
        </is>
      </c>
      <c r="E14211" t="inlineStr">
        <is>
          <t>SUNDSVALL</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31472-2024</t>
        </is>
      </c>
      <c r="B14212" s="1" t="n">
        <v>45506</v>
      </c>
      <c r="C14212" s="1" t="n">
        <v>45657</v>
      </c>
      <c r="D14212" t="inlineStr">
        <is>
          <t>VÄSTERNORRLANDS LÄN</t>
        </is>
      </c>
      <c r="E14212" t="inlineStr">
        <is>
          <t>SUNDSVALL</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31480-2024</t>
        </is>
      </c>
      <c r="B14213" s="1" t="n">
        <v>45506</v>
      </c>
      <c r="C14213" s="1" t="n">
        <v>45657</v>
      </c>
      <c r="D14213" t="inlineStr">
        <is>
          <t>VÄSTERNORRLANDS LÄN</t>
        </is>
      </c>
      <c r="E14213" t="inlineStr">
        <is>
          <t>SOLLEFTEÅ</t>
        </is>
      </c>
      <c r="F14213" t="inlineStr">
        <is>
          <t>SCA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31484-2024</t>
        </is>
      </c>
      <c r="B14214" s="1" t="n">
        <v>45505</v>
      </c>
      <c r="C14214" s="1" t="n">
        <v>45657</v>
      </c>
      <c r="D14214" t="inlineStr">
        <is>
          <t>VÄSTERNORRLANDS LÄN</t>
        </is>
      </c>
      <c r="E14214" t="inlineStr">
        <is>
          <t>SUNDSVALL</t>
        </is>
      </c>
      <c r="F14214" t="inlineStr">
        <is>
          <t>SCA</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31492-2024</t>
        </is>
      </c>
      <c r="B14215" s="1" t="n">
        <v>45505</v>
      </c>
      <c r="C14215" s="1" t="n">
        <v>45657</v>
      </c>
      <c r="D14215" t="inlineStr">
        <is>
          <t>VÄSTERNORRLANDS LÄN</t>
        </is>
      </c>
      <c r="E14215" t="inlineStr">
        <is>
          <t>ÅNGE</t>
        </is>
      </c>
      <c r="F14215" t="inlineStr">
        <is>
          <t>SCA</t>
        </is>
      </c>
      <c r="G14215" t="n">
        <v>5.5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31496-2024</t>
        </is>
      </c>
      <c r="B14216" s="1" t="n">
        <v>45506</v>
      </c>
      <c r="C14216" s="1" t="n">
        <v>45657</v>
      </c>
      <c r="D14216" t="inlineStr">
        <is>
          <t>VÄSTERNORRLANDS LÄN</t>
        </is>
      </c>
      <c r="E14216" t="inlineStr">
        <is>
          <t>SOLLEFTEÅ</t>
        </is>
      </c>
      <c r="F14216" t="inlineStr">
        <is>
          <t>SCA</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31483-2024</t>
        </is>
      </c>
      <c r="B14217" s="1" t="n">
        <v>45505</v>
      </c>
      <c r="C14217" s="1" t="n">
        <v>45657</v>
      </c>
      <c r="D14217" t="inlineStr">
        <is>
          <t>VÄSTERNORRLANDS LÄN</t>
        </is>
      </c>
      <c r="E14217" t="inlineStr">
        <is>
          <t>SUNDSVALL</t>
        </is>
      </c>
      <c r="F14217" t="inlineStr">
        <is>
          <t>SCA</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31507-2024</t>
        </is>
      </c>
      <c r="B14218" s="1" t="n">
        <v>45505</v>
      </c>
      <c r="C14218" s="1" t="n">
        <v>45657</v>
      </c>
      <c r="D14218" t="inlineStr">
        <is>
          <t>VÄSTERNORRLANDS LÄN</t>
        </is>
      </c>
      <c r="E14218" t="inlineStr">
        <is>
          <t>SUNDSVALL</t>
        </is>
      </c>
      <c r="F14218" t="inlineStr">
        <is>
          <t>SCA</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31562-2024</t>
        </is>
      </c>
      <c r="B14219" s="1" t="n">
        <v>45505</v>
      </c>
      <c r="C14219" s="1" t="n">
        <v>45657</v>
      </c>
      <c r="D14219" t="inlineStr">
        <is>
          <t>VÄSTERNORRLANDS LÄN</t>
        </is>
      </c>
      <c r="E14219" t="inlineStr">
        <is>
          <t>SOLLEFTEÅ</t>
        </is>
      </c>
      <c r="F14219" t="inlineStr">
        <is>
          <t>SCA</t>
        </is>
      </c>
      <c r="G14219" t="n">
        <v>9.6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31549-2024</t>
        </is>
      </c>
      <c r="B14220" s="1" t="n">
        <v>45506</v>
      </c>
      <c r="C14220" s="1" t="n">
        <v>45657</v>
      </c>
      <c r="D14220" t="inlineStr">
        <is>
          <t>VÄSTERNORRLANDS LÄN</t>
        </is>
      </c>
      <c r="E14220" t="inlineStr">
        <is>
          <t>SOLLEFTEÅ</t>
        </is>
      </c>
      <c r="F14220" t="inlineStr">
        <is>
          <t>SCA</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31545-2024</t>
        </is>
      </c>
      <c r="B14221" s="1" t="n">
        <v>45505</v>
      </c>
      <c r="C14221" s="1" t="n">
        <v>45657</v>
      </c>
      <c r="D14221" t="inlineStr">
        <is>
          <t>VÄSTERNORRLANDS LÄN</t>
        </is>
      </c>
      <c r="E14221" t="inlineStr">
        <is>
          <t>ÅNGE</t>
        </is>
      </c>
      <c r="F14221" t="inlineStr">
        <is>
          <t>SCA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31537-2024</t>
        </is>
      </c>
      <c r="B14222" s="1" t="n">
        <v>45506</v>
      </c>
      <c r="C14222" s="1" t="n">
        <v>45657</v>
      </c>
      <c r="D14222" t="inlineStr">
        <is>
          <t>VÄSTERNORRLANDS LÄN</t>
        </is>
      </c>
      <c r="E14222" t="inlineStr">
        <is>
          <t>SOLLEFTEÅ</t>
        </is>
      </c>
      <c r="F14222" t="inlineStr">
        <is>
          <t>SCA</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31511-2024</t>
        </is>
      </c>
      <c r="B14223" s="1" t="n">
        <v>45506</v>
      </c>
      <c r="C14223" s="1" t="n">
        <v>45657</v>
      </c>
      <c r="D14223" t="inlineStr">
        <is>
          <t>VÄSTERNORRLANDS LÄN</t>
        </is>
      </c>
      <c r="E14223" t="inlineStr">
        <is>
          <t>SOLLEFTEÅ</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31498-2024</t>
        </is>
      </c>
      <c r="B14224" s="1" t="n">
        <v>45505</v>
      </c>
      <c r="C14224" s="1" t="n">
        <v>45657</v>
      </c>
      <c r="D14224" t="inlineStr">
        <is>
          <t>VÄSTERNORRLANDS LÄN</t>
        </is>
      </c>
      <c r="E14224" t="inlineStr">
        <is>
          <t>SUNDSVALL</t>
        </is>
      </c>
      <c r="F14224" t="inlineStr">
        <is>
          <t>SCA</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31438-2024</t>
        </is>
      </c>
      <c r="B14225" s="1" t="n">
        <v>45505</v>
      </c>
      <c r="C14225" s="1" t="n">
        <v>45657</v>
      </c>
      <c r="D14225" t="inlineStr">
        <is>
          <t>VÄSTERNORRLANDS LÄN</t>
        </is>
      </c>
      <c r="E14225" t="inlineStr">
        <is>
          <t>SUNDSVALL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31543-2024</t>
        </is>
      </c>
      <c r="B14226" s="1" t="n">
        <v>45505</v>
      </c>
      <c r="C14226" s="1" t="n">
        <v>45657</v>
      </c>
      <c r="D14226" t="inlineStr">
        <is>
          <t>VÄSTERNORRLANDS LÄN</t>
        </is>
      </c>
      <c r="E14226" t="inlineStr">
        <is>
          <t>ÖRNSKÖLDSVIK</t>
        </is>
      </c>
      <c r="F14226" t="inlineStr">
        <is>
          <t>SCA</t>
        </is>
      </c>
      <c r="G14226" t="n">
        <v>33.8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31457-2024</t>
        </is>
      </c>
      <c r="B14227" s="1" t="n">
        <v>45505</v>
      </c>
      <c r="C14227" s="1" t="n">
        <v>45657</v>
      </c>
      <c r="D14227" t="inlineStr">
        <is>
          <t>VÄSTERNORRLANDS LÄN</t>
        </is>
      </c>
      <c r="E14227" t="inlineStr">
        <is>
          <t>ÅNGE</t>
        </is>
      </c>
      <c r="F14227" t="inlineStr">
        <is>
          <t>SCA</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31481-2024</t>
        </is>
      </c>
      <c r="B14228" s="1" t="n">
        <v>45505</v>
      </c>
      <c r="C14228" s="1" t="n">
        <v>45657</v>
      </c>
      <c r="D14228" t="inlineStr">
        <is>
          <t>VÄSTERNORRLANDS LÄN</t>
        </is>
      </c>
      <c r="E14228" t="inlineStr">
        <is>
          <t>SOLLEFTEÅ</t>
        </is>
      </c>
      <c r="F14228" t="inlineStr">
        <is>
          <t>SCA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31563-2024</t>
        </is>
      </c>
      <c r="B14229" s="1" t="n">
        <v>45505</v>
      </c>
      <c r="C14229" s="1" t="n">
        <v>45657</v>
      </c>
      <c r="D14229" t="inlineStr">
        <is>
          <t>VÄSTERNORRLANDS LÄN</t>
        </is>
      </c>
      <c r="E14229" t="inlineStr">
        <is>
          <t>ÅNGE</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31559-2024</t>
        </is>
      </c>
      <c r="B14230" s="1" t="n">
        <v>45506</v>
      </c>
      <c r="C14230" s="1" t="n">
        <v>45657</v>
      </c>
      <c r="D14230" t="inlineStr">
        <is>
          <t>VÄSTERNORRLANDS LÄN</t>
        </is>
      </c>
      <c r="E14230" t="inlineStr">
        <is>
          <t>SOLLEFTEÅ</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31554-2024</t>
        </is>
      </c>
      <c r="B14231" s="1" t="n">
        <v>45506</v>
      </c>
      <c r="C14231" s="1" t="n">
        <v>45657</v>
      </c>
      <c r="D14231" t="inlineStr">
        <is>
          <t>VÄSTERNORRLANDS LÄN</t>
        </is>
      </c>
      <c r="E14231" t="inlineStr">
        <is>
          <t>SOLLEFTEÅ</t>
        </is>
      </c>
      <c r="F14231" t="inlineStr">
        <is>
          <t>SCA</t>
        </is>
      </c>
      <c r="G14231" t="n">
        <v>7.4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31550-2024</t>
        </is>
      </c>
      <c r="B14232" s="1" t="n">
        <v>45505</v>
      </c>
      <c r="C14232" s="1" t="n">
        <v>45657</v>
      </c>
      <c r="D14232" t="inlineStr">
        <is>
          <t>VÄSTERNORRLANDS LÄN</t>
        </is>
      </c>
      <c r="E14232" t="inlineStr">
        <is>
          <t>SOLLEFTEÅ</t>
        </is>
      </c>
      <c r="F14232" t="inlineStr">
        <is>
          <t>SCA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31437-2024</t>
        </is>
      </c>
      <c r="B14233" s="1" t="n">
        <v>45506</v>
      </c>
      <c r="C14233" s="1" t="n">
        <v>45657</v>
      </c>
      <c r="D14233" t="inlineStr">
        <is>
          <t>VÄSTERNORRLANDS LÄN</t>
        </is>
      </c>
      <c r="E14233" t="inlineStr">
        <is>
          <t>SUNDSVALL</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31477-2024</t>
        </is>
      </c>
      <c r="B14234" s="1" t="n">
        <v>45505</v>
      </c>
      <c r="C14234" s="1" t="n">
        <v>45657</v>
      </c>
      <c r="D14234" t="inlineStr">
        <is>
          <t>VÄSTERNORRLANDS LÄN</t>
        </is>
      </c>
      <c r="E14234" t="inlineStr">
        <is>
          <t>SOLLEFTEÅ</t>
        </is>
      </c>
      <c r="F14234" t="inlineStr">
        <is>
          <t>SCA</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31546-2024</t>
        </is>
      </c>
      <c r="B14235" s="1" t="n">
        <v>45505</v>
      </c>
      <c r="C14235" s="1" t="n">
        <v>45657</v>
      </c>
      <c r="D14235" t="inlineStr">
        <is>
          <t>VÄSTERNORRLANDS LÄN</t>
        </is>
      </c>
      <c r="E14235" t="inlineStr">
        <is>
          <t>HÄRNÖSAND</t>
        </is>
      </c>
      <c r="F14235" t="inlineStr">
        <is>
          <t>SCA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31542-2024</t>
        </is>
      </c>
      <c r="B14236" s="1" t="n">
        <v>45506</v>
      </c>
      <c r="C14236" s="1" t="n">
        <v>45657</v>
      </c>
      <c r="D14236" t="inlineStr">
        <is>
          <t>VÄSTERNORRLANDS LÄN</t>
        </is>
      </c>
      <c r="E14236" t="inlineStr">
        <is>
          <t>KRAMFORS</t>
        </is>
      </c>
      <c r="F14236" t="inlineStr">
        <is>
          <t>SCA</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31528-2024</t>
        </is>
      </c>
      <c r="B14237" s="1" t="n">
        <v>45505</v>
      </c>
      <c r="C14237" s="1" t="n">
        <v>45657</v>
      </c>
      <c r="D14237" t="inlineStr">
        <is>
          <t>VÄSTERNORRLANDS LÄN</t>
        </is>
      </c>
      <c r="E14237" t="inlineStr">
        <is>
          <t>SOLLEFTEÅ</t>
        </is>
      </c>
      <c r="F14237" t="inlineStr">
        <is>
          <t>SCA</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31520-2024</t>
        </is>
      </c>
      <c r="B14238" s="1" t="n">
        <v>45505</v>
      </c>
      <c r="C14238" s="1" t="n">
        <v>45657</v>
      </c>
      <c r="D14238" t="inlineStr">
        <is>
          <t>VÄSTERNORRLANDS LÄN</t>
        </is>
      </c>
      <c r="E14238" t="inlineStr">
        <is>
          <t>SOLLEFTEÅ</t>
        </is>
      </c>
      <c r="F14238" t="inlineStr">
        <is>
          <t>SCA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31516-2024</t>
        </is>
      </c>
      <c r="B14239" s="1" t="n">
        <v>45505</v>
      </c>
      <c r="C14239" s="1" t="n">
        <v>45657</v>
      </c>
      <c r="D14239" t="inlineStr">
        <is>
          <t>VÄSTERNORRLANDS LÄN</t>
        </is>
      </c>
      <c r="E14239" t="inlineStr">
        <is>
          <t>SOLLEFTEÅ</t>
        </is>
      </c>
      <c r="F14239" t="inlineStr">
        <is>
          <t>SCA</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31447-2024</t>
        </is>
      </c>
      <c r="B14240" s="1" t="n">
        <v>45506</v>
      </c>
      <c r="C14240" s="1" t="n">
        <v>45657</v>
      </c>
      <c r="D14240" t="inlineStr">
        <is>
          <t>VÄSTERNORRLANDS LÄN</t>
        </is>
      </c>
      <c r="E14240" t="inlineStr">
        <is>
          <t>ÅNGE</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31439-2024</t>
        </is>
      </c>
      <c r="B14241" s="1" t="n">
        <v>45506</v>
      </c>
      <c r="C14241" s="1" t="n">
        <v>45657</v>
      </c>
      <c r="D14241" t="inlineStr">
        <is>
          <t>VÄSTERNORRLANDS LÄN</t>
        </is>
      </c>
      <c r="E14241" t="inlineStr">
        <is>
          <t>SUNDSVALL</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31419-2024</t>
        </is>
      </c>
      <c r="B14242" s="1" t="n">
        <v>45505</v>
      </c>
      <c r="C14242" s="1" t="n">
        <v>45657</v>
      </c>
      <c r="D14242" t="inlineStr">
        <is>
          <t>VÄSTERNORRLANDS LÄN</t>
        </is>
      </c>
      <c r="E14242" t="inlineStr">
        <is>
          <t>ÖRNSKÖLDSVIK</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31410-2024</t>
        </is>
      </c>
      <c r="B14243" s="1" t="n">
        <v>45505</v>
      </c>
      <c r="C14243" s="1" t="n">
        <v>45657</v>
      </c>
      <c r="D14243" t="inlineStr">
        <is>
          <t>VÄSTERNORRLANDS LÄN</t>
        </is>
      </c>
      <c r="E14243" t="inlineStr">
        <is>
          <t>ÖRNSKÖLDSVIK</t>
        </is>
      </c>
      <c r="F14243" t="inlineStr">
        <is>
          <t>Holmen skog AB</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31569-2024</t>
        </is>
      </c>
      <c r="B14244" s="1" t="n">
        <v>45505</v>
      </c>
      <c r="C14244" s="1" t="n">
        <v>45657</v>
      </c>
      <c r="D14244" t="inlineStr">
        <is>
          <t>VÄSTERNORRLANDS LÄN</t>
        </is>
      </c>
      <c r="E14244" t="inlineStr">
        <is>
          <t>SOLLEFTEÅ</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31548-2024</t>
        </is>
      </c>
      <c r="B14245" s="1" t="n">
        <v>45506</v>
      </c>
      <c r="C14245" s="1" t="n">
        <v>45657</v>
      </c>
      <c r="D14245" t="inlineStr">
        <is>
          <t>VÄSTERNORRLANDS LÄN</t>
        </is>
      </c>
      <c r="E14245" t="inlineStr">
        <is>
          <t>SOLLEFTEÅ</t>
        </is>
      </c>
      <c r="F14245" t="inlineStr">
        <is>
          <t>SCA</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31540-2024</t>
        </is>
      </c>
      <c r="B14246" s="1" t="n">
        <v>45505</v>
      </c>
      <c r="C14246" s="1" t="n">
        <v>45657</v>
      </c>
      <c r="D14246" t="inlineStr">
        <is>
          <t>VÄSTERNORRLANDS LÄN</t>
        </is>
      </c>
      <c r="E14246" t="inlineStr">
        <is>
          <t>ÖRNSKÖLDSVIK</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31522-2024</t>
        </is>
      </c>
      <c r="B14247" s="1" t="n">
        <v>45505</v>
      </c>
      <c r="C14247" s="1" t="n">
        <v>45657</v>
      </c>
      <c r="D14247" t="inlineStr">
        <is>
          <t>VÄSTERNORRLANDS LÄN</t>
        </is>
      </c>
      <c r="E14247" t="inlineStr">
        <is>
          <t>SUNDSVALL</t>
        </is>
      </c>
      <c r="F14247" t="inlineStr">
        <is>
          <t>SCA</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31680-2024</t>
        </is>
      </c>
      <c r="B14248" s="1" t="n">
        <v>45507</v>
      </c>
      <c r="C14248" s="1" t="n">
        <v>45657</v>
      </c>
      <c r="D14248" t="inlineStr">
        <is>
          <t>VÄSTERNORRLANDS LÄN</t>
        </is>
      </c>
      <c r="E14248" t="inlineStr">
        <is>
          <t>SOLLEFTEÅ</t>
        </is>
      </c>
      <c r="F14248" t="inlineStr">
        <is>
          <t>SCA</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31667-2024</t>
        </is>
      </c>
      <c r="B14249" s="1" t="n">
        <v>45506</v>
      </c>
      <c r="C14249" s="1" t="n">
        <v>45657</v>
      </c>
      <c r="D14249" t="inlineStr">
        <is>
          <t>VÄSTERNORRLANDS LÄN</t>
        </is>
      </c>
      <c r="E14249" t="inlineStr">
        <is>
          <t>SUNDSVALL</t>
        </is>
      </c>
      <c r="F14249" t="inlineStr">
        <is>
          <t>SCA</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31671-2024</t>
        </is>
      </c>
      <c r="B14250" s="1" t="n">
        <v>45507</v>
      </c>
      <c r="C14250" s="1" t="n">
        <v>45657</v>
      </c>
      <c r="D14250" t="inlineStr">
        <is>
          <t>VÄSTERNORRLANDS LÄN</t>
        </is>
      </c>
      <c r="E14250" t="inlineStr">
        <is>
          <t>ÅNGE</t>
        </is>
      </c>
      <c r="F14250" t="inlineStr">
        <is>
          <t>SCA</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31679-2024</t>
        </is>
      </c>
      <c r="B14251" s="1" t="n">
        <v>45506</v>
      </c>
      <c r="C14251" s="1" t="n">
        <v>45657</v>
      </c>
      <c r="D14251" t="inlineStr">
        <is>
          <t>VÄSTERNORRLANDS LÄN</t>
        </is>
      </c>
      <c r="E14251" t="inlineStr">
        <is>
          <t>SUNDSVALL</t>
        </is>
      </c>
      <c r="F14251" t="inlineStr">
        <is>
          <t>SCA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31663-2024</t>
        </is>
      </c>
      <c r="B14252" s="1" t="n">
        <v>45507</v>
      </c>
      <c r="C14252" s="1" t="n">
        <v>45657</v>
      </c>
      <c r="D14252" t="inlineStr">
        <is>
          <t>VÄSTERNORRLANDS LÄN</t>
        </is>
      </c>
      <c r="E14252" t="inlineStr">
        <is>
          <t>KRAMFORS</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31669-2024</t>
        </is>
      </c>
      <c r="B14253" s="1" t="n">
        <v>45507</v>
      </c>
      <c r="C14253" s="1" t="n">
        <v>45657</v>
      </c>
      <c r="D14253" t="inlineStr">
        <is>
          <t>VÄSTERNORRLANDS LÄN</t>
        </is>
      </c>
      <c r="E14253" t="inlineStr">
        <is>
          <t>SOLLEFTEÅ</t>
        </is>
      </c>
      <c r="F14253" t="inlineStr">
        <is>
          <t>SCA</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31614-2024</t>
        </is>
      </c>
      <c r="B14254" s="1" t="n">
        <v>45506</v>
      </c>
      <c r="C14254" s="1" t="n">
        <v>45657</v>
      </c>
      <c r="D14254" t="inlineStr">
        <is>
          <t>VÄSTERNORRLANDS LÄN</t>
        </is>
      </c>
      <c r="E14254" t="inlineStr">
        <is>
          <t>SOLLEFTEÅ</t>
        </is>
      </c>
      <c r="F14254" t="inlineStr">
        <is>
          <t>Kommuner</t>
        </is>
      </c>
      <c r="G14254" t="n">
        <v>11.5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31681-2024</t>
        </is>
      </c>
      <c r="B14255" s="1" t="n">
        <v>45507</v>
      </c>
      <c r="C14255" s="1" t="n">
        <v>45657</v>
      </c>
      <c r="D14255" t="inlineStr">
        <is>
          <t>VÄSTERNORRLANDS LÄN</t>
        </is>
      </c>
      <c r="E14255" t="inlineStr">
        <is>
          <t>SOLLEFTEÅ</t>
        </is>
      </c>
      <c r="F14255" t="inlineStr">
        <is>
          <t>SCA</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31658-2024</t>
        </is>
      </c>
      <c r="B14256" s="1" t="n">
        <v>45506</v>
      </c>
      <c r="C14256" s="1" t="n">
        <v>45657</v>
      </c>
      <c r="D14256" t="inlineStr">
        <is>
          <t>VÄSTERNORRLANDS LÄN</t>
        </is>
      </c>
      <c r="E14256" t="inlineStr">
        <is>
          <t>SOLLEFTEÅ</t>
        </is>
      </c>
      <c r="G14256" t="n">
        <v>15.5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31662-2024</t>
        </is>
      </c>
      <c r="B14257" s="1" t="n">
        <v>45507</v>
      </c>
      <c r="C14257" s="1" t="n">
        <v>45657</v>
      </c>
      <c r="D14257" t="inlineStr">
        <is>
          <t>VÄSTERNORRLANDS LÄN</t>
        </is>
      </c>
      <c r="E14257" t="inlineStr">
        <is>
          <t>SOLLEFTEÅ</t>
        </is>
      </c>
      <c r="G14257" t="n">
        <v>11.7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31666-2024</t>
        </is>
      </c>
      <c r="B14258" s="1" t="n">
        <v>45506</v>
      </c>
      <c r="C14258" s="1" t="n">
        <v>45657</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31670-2024</t>
        </is>
      </c>
      <c r="B14259" s="1" t="n">
        <v>45507</v>
      </c>
      <c r="C14259" s="1" t="n">
        <v>45657</v>
      </c>
      <c r="D14259" t="inlineStr">
        <is>
          <t>VÄSTERNORRLANDS LÄN</t>
        </is>
      </c>
      <c r="E14259" t="inlineStr">
        <is>
          <t>SOLLEFTEÅ</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31686-2024</t>
        </is>
      </c>
      <c r="B14260" s="1" t="n">
        <v>45506</v>
      </c>
      <c r="C14260" s="1" t="n">
        <v>45657</v>
      </c>
      <c r="D14260" t="inlineStr">
        <is>
          <t>VÄSTERNORRLANDS LÄN</t>
        </is>
      </c>
      <c r="E14260" t="inlineStr">
        <is>
          <t>SOLLEFTEÅ</t>
        </is>
      </c>
      <c r="F14260" t="inlineStr">
        <is>
          <t>SCA</t>
        </is>
      </c>
      <c r="G14260" t="n">
        <v>9.5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31693-2024</t>
        </is>
      </c>
      <c r="B14261" s="1" t="n">
        <v>45508</v>
      </c>
      <c r="C14261" s="1" t="n">
        <v>45657</v>
      </c>
      <c r="D14261" t="inlineStr">
        <is>
          <t>VÄSTERNORRLANDS LÄN</t>
        </is>
      </c>
      <c r="E14261" t="inlineStr">
        <is>
          <t>ÖRNSKÖLDSVIK</t>
        </is>
      </c>
      <c r="F14261" t="inlineStr">
        <is>
          <t>SCA</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31708-2024</t>
        </is>
      </c>
      <c r="B14262" s="1" t="n">
        <v>45509</v>
      </c>
      <c r="C14262" s="1" t="n">
        <v>45657</v>
      </c>
      <c r="D14262" t="inlineStr">
        <is>
          <t>VÄSTERNORRLANDS LÄN</t>
        </is>
      </c>
      <c r="E14262" t="inlineStr">
        <is>
          <t>SOLLEFTEÅ</t>
        </is>
      </c>
      <c r="F14262" t="inlineStr">
        <is>
          <t>SCA</t>
        </is>
      </c>
      <c r="G14262" t="n">
        <v>13.9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31712-2024</t>
        </is>
      </c>
      <c r="B14263" s="1" t="n">
        <v>45508</v>
      </c>
      <c r="C14263" s="1" t="n">
        <v>45657</v>
      </c>
      <c r="D14263" t="inlineStr">
        <is>
          <t>VÄSTERNORRLANDS LÄN</t>
        </is>
      </c>
      <c r="E14263" t="inlineStr">
        <is>
          <t>SUNDSVALL</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31711-2024</t>
        </is>
      </c>
      <c r="B14264" s="1" t="n">
        <v>45508</v>
      </c>
      <c r="C14264" s="1" t="n">
        <v>45657</v>
      </c>
      <c r="D14264" t="inlineStr">
        <is>
          <t>VÄSTERNORRLANDS LÄN</t>
        </is>
      </c>
      <c r="E14264" t="inlineStr">
        <is>
          <t>TIMRÅ</t>
        </is>
      </c>
      <c r="F14264" t="inlineStr">
        <is>
          <t>Kommuner</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31729-2024</t>
        </is>
      </c>
      <c r="B14265" s="1" t="n">
        <v>45509</v>
      </c>
      <c r="C14265" s="1" t="n">
        <v>45657</v>
      </c>
      <c r="D14265" t="inlineStr">
        <is>
          <t>VÄSTERNORRLANDS LÄN</t>
        </is>
      </c>
      <c r="E14265" t="inlineStr">
        <is>
          <t>ÅNGE</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31769-2024</t>
        </is>
      </c>
      <c r="B14266" s="1" t="n">
        <v>45509</v>
      </c>
      <c r="C14266" s="1" t="n">
        <v>45657</v>
      </c>
      <c r="D14266" t="inlineStr">
        <is>
          <t>VÄSTERNORRLANDS LÄN</t>
        </is>
      </c>
      <c r="E14266" t="inlineStr">
        <is>
          <t>ÖRNSKÖLDSVIK</t>
        </is>
      </c>
      <c r="F14266" t="inlineStr">
        <is>
          <t>Holmen skog AB</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31785-2024</t>
        </is>
      </c>
      <c r="B14267" s="1" t="n">
        <v>45509</v>
      </c>
      <c r="C14267" s="1" t="n">
        <v>45657</v>
      </c>
      <c r="D14267" t="inlineStr">
        <is>
          <t>VÄSTERNORRLANDS LÄN</t>
        </is>
      </c>
      <c r="E14267" t="inlineStr">
        <is>
          <t>ÖRNSKÖLDSVIK</t>
        </is>
      </c>
      <c r="F14267" t="inlineStr">
        <is>
          <t>Holmen skog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31807-2024</t>
        </is>
      </c>
      <c r="B14268" s="1" t="n">
        <v>45509</v>
      </c>
      <c r="C14268" s="1" t="n">
        <v>45657</v>
      </c>
      <c r="D14268" t="inlineStr">
        <is>
          <t>VÄSTERNORRLANDS LÄN</t>
        </is>
      </c>
      <c r="E14268" t="inlineStr">
        <is>
          <t>SOLLEFTEÅ</t>
        </is>
      </c>
      <c r="F14268" t="inlineStr">
        <is>
          <t>Holmen skog AB</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31855-2024</t>
        </is>
      </c>
      <c r="B14269" s="1" t="n">
        <v>45509</v>
      </c>
      <c r="C14269" s="1" t="n">
        <v>45657</v>
      </c>
      <c r="D14269" t="inlineStr">
        <is>
          <t>VÄSTERNORRLANDS LÄN</t>
        </is>
      </c>
      <c r="E14269" t="inlineStr">
        <is>
          <t>ÖRNSKÖLDSVIK</t>
        </is>
      </c>
      <c r="F14269" t="inlineStr">
        <is>
          <t>Holmen skog AB</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31859-2024</t>
        </is>
      </c>
      <c r="B14270" s="1" t="n">
        <v>45509</v>
      </c>
      <c r="C14270" s="1" t="n">
        <v>45657</v>
      </c>
      <c r="D14270" t="inlineStr">
        <is>
          <t>VÄSTERNORRLANDS LÄN</t>
        </is>
      </c>
      <c r="E14270" t="inlineStr">
        <is>
          <t>ÖRNSKÖLDSVIK</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31863-2024</t>
        </is>
      </c>
      <c r="B14271" s="1" t="n">
        <v>45509</v>
      </c>
      <c r="C14271" s="1" t="n">
        <v>45657</v>
      </c>
      <c r="D14271" t="inlineStr">
        <is>
          <t>VÄSTERNORRLANDS LÄN</t>
        </is>
      </c>
      <c r="E14271" t="inlineStr">
        <is>
          <t>ÅNGE</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31841-2024</t>
        </is>
      </c>
      <c r="B14272" s="1" t="n">
        <v>45509</v>
      </c>
      <c r="C14272" s="1" t="n">
        <v>45657</v>
      </c>
      <c r="D14272" t="inlineStr">
        <is>
          <t>VÄSTERNORRLANDS LÄN</t>
        </is>
      </c>
      <c r="E14272" t="inlineStr">
        <is>
          <t>ÖRNSKÖLDSVIK</t>
        </is>
      </c>
      <c r="F14272" t="inlineStr">
        <is>
          <t>Holmen skog AB</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31721-2024</t>
        </is>
      </c>
      <c r="B14273" s="1" t="n">
        <v>45509</v>
      </c>
      <c r="C14273" s="1" t="n">
        <v>45657</v>
      </c>
      <c r="D14273" t="inlineStr">
        <is>
          <t>VÄSTERNORRLANDS LÄN</t>
        </is>
      </c>
      <c r="E14273" t="inlineStr">
        <is>
          <t>ÖRNSKÖLDSVIK</t>
        </is>
      </c>
      <c r="F14273" t="inlineStr">
        <is>
          <t>Holmen skog AB</t>
        </is>
      </c>
      <c r="G14273" t="n">
        <v>5.9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31864-2024</t>
        </is>
      </c>
      <c r="B14274" s="1" t="n">
        <v>45509</v>
      </c>
      <c r="C14274" s="1" t="n">
        <v>45657</v>
      </c>
      <c r="D14274" t="inlineStr">
        <is>
          <t>VÄSTERNORRLANDS LÄN</t>
        </is>
      </c>
      <c r="E14274" t="inlineStr">
        <is>
          <t>ÅNGE</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31866-2024</t>
        </is>
      </c>
      <c r="B14275" s="1" t="n">
        <v>45509</v>
      </c>
      <c r="C14275" s="1" t="n">
        <v>45657</v>
      </c>
      <c r="D14275" t="inlineStr">
        <is>
          <t>VÄSTERNORRLANDS LÄN</t>
        </is>
      </c>
      <c r="E14275" t="inlineStr">
        <is>
          <t>ÅNGE</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31886-2024</t>
        </is>
      </c>
      <c r="B14276" s="1" t="n">
        <v>45510</v>
      </c>
      <c r="C14276" s="1" t="n">
        <v>45657</v>
      </c>
      <c r="D14276" t="inlineStr">
        <is>
          <t>VÄSTERNORRLANDS LÄN</t>
        </is>
      </c>
      <c r="E14276" t="inlineStr">
        <is>
          <t>SOLLEFTEÅ</t>
        </is>
      </c>
      <c r="F14276" t="inlineStr">
        <is>
          <t>SCA</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31822-2024</t>
        </is>
      </c>
      <c r="B14277" s="1" t="n">
        <v>45509</v>
      </c>
      <c r="C14277" s="1" t="n">
        <v>45657</v>
      </c>
      <c r="D14277" t="inlineStr">
        <is>
          <t>VÄSTERNORRLANDS LÄN</t>
        </is>
      </c>
      <c r="E14277" t="inlineStr">
        <is>
          <t>ÖRNSKÖLDSVIK</t>
        </is>
      </c>
      <c r="F14277" t="inlineStr">
        <is>
          <t>Holmen skog AB</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31786-2024</t>
        </is>
      </c>
      <c r="B14278" s="1" t="n">
        <v>45509</v>
      </c>
      <c r="C14278" s="1" t="n">
        <v>45657</v>
      </c>
      <c r="D14278" t="inlineStr">
        <is>
          <t>VÄSTERNORRLANDS LÄN</t>
        </is>
      </c>
      <c r="E14278" t="inlineStr">
        <is>
          <t>ÖRNSKÖLDSVIK</t>
        </is>
      </c>
      <c r="F14278" t="inlineStr">
        <is>
          <t>Holmen skog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31867-2024</t>
        </is>
      </c>
      <c r="B14279" s="1" t="n">
        <v>45509</v>
      </c>
      <c r="C14279" s="1" t="n">
        <v>45657</v>
      </c>
      <c r="D14279" t="inlineStr">
        <is>
          <t>VÄSTERNORRLANDS LÄN</t>
        </is>
      </c>
      <c r="E14279" t="inlineStr">
        <is>
          <t>ÅNGE</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31890-2024</t>
        </is>
      </c>
      <c r="B14280" s="1" t="n">
        <v>45510</v>
      </c>
      <c r="C14280" s="1" t="n">
        <v>45657</v>
      </c>
      <c r="D14280" t="inlineStr">
        <is>
          <t>VÄSTERNORRLANDS LÄN</t>
        </is>
      </c>
      <c r="E14280" t="inlineStr">
        <is>
          <t>KRAMFORS</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31873-2024</t>
        </is>
      </c>
      <c r="B14281" s="1" t="n">
        <v>45510</v>
      </c>
      <c r="C14281" s="1" t="n">
        <v>45657</v>
      </c>
      <c r="D14281" t="inlineStr">
        <is>
          <t>VÄSTERNORRLANDS LÄN</t>
        </is>
      </c>
      <c r="E14281" t="inlineStr">
        <is>
          <t>ÖRNSKÖLDSVIK</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31881-2024</t>
        </is>
      </c>
      <c r="B14282" s="1" t="n">
        <v>45509</v>
      </c>
      <c r="C14282" s="1" t="n">
        <v>45657</v>
      </c>
      <c r="D14282" t="inlineStr">
        <is>
          <t>VÄSTERNORRLANDS LÄN</t>
        </is>
      </c>
      <c r="E14282" t="inlineStr">
        <is>
          <t>SOLLEFTEÅ</t>
        </is>
      </c>
      <c r="F14282" t="inlineStr">
        <is>
          <t>SCA</t>
        </is>
      </c>
      <c r="G14282" t="n">
        <v>10.3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31889-2024</t>
        </is>
      </c>
      <c r="B14283" s="1" t="n">
        <v>45510</v>
      </c>
      <c r="C14283" s="1" t="n">
        <v>45657</v>
      </c>
      <c r="D14283" t="inlineStr">
        <is>
          <t>VÄSTERNORRLANDS LÄN</t>
        </is>
      </c>
      <c r="E14283" t="inlineStr">
        <is>
          <t>SOLLEFTEÅ</t>
        </is>
      </c>
      <c r="F14283" t="inlineStr">
        <is>
          <t>SCA</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31880-2024</t>
        </is>
      </c>
      <c r="B14284" s="1" t="n">
        <v>45509</v>
      </c>
      <c r="C14284" s="1" t="n">
        <v>45657</v>
      </c>
      <c r="D14284" t="inlineStr">
        <is>
          <t>VÄSTERNORRLANDS LÄN</t>
        </is>
      </c>
      <c r="E14284" t="inlineStr">
        <is>
          <t>SOLLEFTEÅ</t>
        </is>
      </c>
      <c r="F14284" t="inlineStr">
        <is>
          <t>SCA</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32062-2024</t>
        </is>
      </c>
      <c r="B14285" s="1" t="n">
        <v>45510</v>
      </c>
      <c r="C14285" s="1" t="n">
        <v>45657</v>
      </c>
      <c r="D14285" t="inlineStr">
        <is>
          <t>VÄSTERNORRLANDS LÄN</t>
        </is>
      </c>
      <c r="E14285" t="inlineStr">
        <is>
          <t>SOLLEFTEÅ</t>
        </is>
      </c>
      <c r="G14285" t="n">
        <v>6.2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32048-2024</t>
        </is>
      </c>
      <c r="B14286" s="1" t="n">
        <v>45510</v>
      </c>
      <c r="C14286" s="1" t="n">
        <v>45657</v>
      </c>
      <c r="D14286" t="inlineStr">
        <is>
          <t>VÄSTERNORRLANDS LÄN</t>
        </is>
      </c>
      <c r="E14286" t="inlineStr">
        <is>
          <t>TIMRÅ</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32032-2024</t>
        </is>
      </c>
      <c r="B14287" s="1" t="n">
        <v>45510</v>
      </c>
      <c r="C14287" s="1" t="n">
        <v>45657</v>
      </c>
      <c r="D14287" t="inlineStr">
        <is>
          <t>VÄSTERNORRLANDS LÄN</t>
        </is>
      </c>
      <c r="E14287" t="inlineStr">
        <is>
          <t>SUNDSVALL</t>
        </is>
      </c>
      <c r="G14287" t="n">
        <v>10.8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31951-2024</t>
        </is>
      </c>
      <c r="B14288" s="1" t="n">
        <v>45510</v>
      </c>
      <c r="C14288" s="1" t="n">
        <v>45657</v>
      </c>
      <c r="D14288" t="inlineStr">
        <is>
          <t>VÄSTERNORRLANDS LÄN</t>
        </is>
      </c>
      <c r="E14288" t="inlineStr">
        <is>
          <t>SUNDSVALL</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31910-2024</t>
        </is>
      </c>
      <c r="B14289" s="1" t="n">
        <v>45510</v>
      </c>
      <c r="C14289" s="1" t="n">
        <v>45657</v>
      </c>
      <c r="D14289" t="inlineStr">
        <is>
          <t>VÄSTERNORRLANDS LÄN</t>
        </is>
      </c>
      <c r="E14289" t="inlineStr">
        <is>
          <t>ÖRNSKÖLDSVIK</t>
        </is>
      </c>
      <c r="F14289" t="inlineStr">
        <is>
          <t>Holmen skog AB</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32053-2024</t>
        </is>
      </c>
      <c r="B14290" s="1" t="n">
        <v>45510</v>
      </c>
      <c r="C14290" s="1" t="n">
        <v>45657</v>
      </c>
      <c r="D14290" t="inlineStr">
        <is>
          <t>VÄSTERNORRLANDS LÄN</t>
        </is>
      </c>
      <c r="E14290" t="inlineStr">
        <is>
          <t>ÅNGE</t>
        </is>
      </c>
      <c r="F14290" t="inlineStr">
        <is>
          <t>SCA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32054-2024</t>
        </is>
      </c>
      <c r="B14291" s="1" t="n">
        <v>45510</v>
      </c>
      <c r="C14291" s="1" t="n">
        <v>45657</v>
      </c>
      <c r="D14291" t="inlineStr">
        <is>
          <t>VÄSTERNORRLANDS LÄN</t>
        </is>
      </c>
      <c r="E14291" t="inlineStr">
        <is>
          <t>ÅNGE</t>
        </is>
      </c>
      <c r="F14291" t="inlineStr">
        <is>
          <t>SCA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31977-2024</t>
        </is>
      </c>
      <c r="B14292" s="1" t="n">
        <v>45510</v>
      </c>
      <c r="C14292" s="1" t="n">
        <v>45657</v>
      </c>
      <c r="D14292" t="inlineStr">
        <is>
          <t>VÄSTERNORRLANDS LÄN</t>
        </is>
      </c>
      <c r="E14292" t="inlineStr">
        <is>
          <t>ÖRNSKÖLDSVIK</t>
        </is>
      </c>
      <c r="F14292" t="inlineStr">
        <is>
          <t>Holmen skog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31973-2024</t>
        </is>
      </c>
      <c r="B14293" s="1" t="n">
        <v>45510</v>
      </c>
      <c r="C14293" s="1" t="n">
        <v>45657</v>
      </c>
      <c r="D14293" t="inlineStr">
        <is>
          <t>VÄSTERNORRLANDS LÄN</t>
        </is>
      </c>
      <c r="E14293" t="inlineStr">
        <is>
          <t>ÖRNSKÖLDSVIK</t>
        </is>
      </c>
      <c r="F14293" t="inlineStr">
        <is>
          <t>Holmen skog AB</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32071-2024</t>
        </is>
      </c>
      <c r="B14294" s="1" t="n">
        <v>45511</v>
      </c>
      <c r="C14294" s="1" t="n">
        <v>45657</v>
      </c>
      <c r="D14294" t="inlineStr">
        <is>
          <t>VÄSTERNORRLANDS LÄN</t>
        </is>
      </c>
      <c r="E14294" t="inlineStr">
        <is>
          <t>SOLLEFTEÅ</t>
        </is>
      </c>
      <c r="F14294" t="inlineStr">
        <is>
          <t>SCA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32055-2024</t>
        </is>
      </c>
      <c r="B14295" s="1" t="n">
        <v>45510</v>
      </c>
      <c r="C14295" s="1" t="n">
        <v>45657</v>
      </c>
      <c r="D14295" t="inlineStr">
        <is>
          <t>VÄSTERNORRLANDS LÄN</t>
        </is>
      </c>
      <c r="E14295" t="inlineStr">
        <is>
          <t>ÅNGE</t>
        </is>
      </c>
      <c r="F14295" t="inlineStr">
        <is>
          <t>SCA</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32010-2024</t>
        </is>
      </c>
      <c r="B14296" s="1" t="n">
        <v>45510</v>
      </c>
      <c r="C14296" s="1" t="n">
        <v>45657</v>
      </c>
      <c r="D14296" t="inlineStr">
        <is>
          <t>VÄSTERNORRLANDS LÄN</t>
        </is>
      </c>
      <c r="E14296" t="inlineStr">
        <is>
          <t>ÖRNSKÖLDSVIK</t>
        </is>
      </c>
      <c r="F14296" t="inlineStr">
        <is>
          <t>Holmen skog AB</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31912-2024</t>
        </is>
      </c>
      <c r="B14297" s="1" t="n">
        <v>45510</v>
      </c>
      <c r="C14297" s="1" t="n">
        <v>45657</v>
      </c>
      <c r="D14297" t="inlineStr">
        <is>
          <t>VÄSTERNORRLANDS LÄN</t>
        </is>
      </c>
      <c r="E14297" t="inlineStr">
        <is>
          <t>ÖRNSKÖLDSVIK</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32075-2024</t>
        </is>
      </c>
      <c r="B14298" s="1" t="n">
        <v>45511</v>
      </c>
      <c r="C14298" s="1" t="n">
        <v>45657</v>
      </c>
      <c r="D14298" t="inlineStr">
        <is>
          <t>VÄSTERNORRLANDS LÄN</t>
        </is>
      </c>
      <c r="E14298" t="inlineStr">
        <is>
          <t>ÖRNSKÖLDSVIK</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32208-2024</t>
        </is>
      </c>
      <c r="B14299" s="1" t="n">
        <v>45511</v>
      </c>
      <c r="C14299" s="1" t="n">
        <v>45657</v>
      </c>
      <c r="D14299" t="inlineStr">
        <is>
          <t>VÄSTERNORRLANDS LÄN</t>
        </is>
      </c>
      <c r="E14299" t="inlineStr">
        <is>
          <t>ÖRNSKÖLDSVIK</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32102-2024</t>
        </is>
      </c>
      <c r="B14300" s="1" t="n">
        <v>45511</v>
      </c>
      <c r="C14300" s="1" t="n">
        <v>45657</v>
      </c>
      <c r="D14300" t="inlineStr">
        <is>
          <t>VÄSTERNORRLANDS LÄN</t>
        </is>
      </c>
      <c r="E14300" t="inlineStr">
        <is>
          <t>HÄRNÖSAND</t>
        </is>
      </c>
      <c r="G14300" t="n">
        <v>5.4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32076-2024</t>
        </is>
      </c>
      <c r="B14301" s="1" t="n">
        <v>45511</v>
      </c>
      <c r="C14301" s="1" t="n">
        <v>45657</v>
      </c>
      <c r="D14301" t="inlineStr">
        <is>
          <t>VÄSTERNORRLANDS LÄN</t>
        </is>
      </c>
      <c r="E14301" t="inlineStr">
        <is>
          <t>ÖRNSKÖLDSVIK</t>
        </is>
      </c>
      <c r="G14301" t="n">
        <v>7.6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32242-2024</t>
        </is>
      </c>
      <c r="B14302" s="1" t="n">
        <v>45512</v>
      </c>
      <c r="C14302" s="1" t="n">
        <v>45657</v>
      </c>
      <c r="D14302" t="inlineStr">
        <is>
          <t>VÄSTERNORRLANDS LÄN</t>
        </is>
      </c>
      <c r="E14302" t="inlineStr">
        <is>
          <t>SOLLEFTEÅ</t>
        </is>
      </c>
      <c r="F14302" t="inlineStr">
        <is>
          <t>SCA</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32255-2024</t>
        </is>
      </c>
      <c r="B14303" s="1" t="n">
        <v>45512</v>
      </c>
      <c r="C14303" s="1" t="n">
        <v>45657</v>
      </c>
      <c r="D14303" t="inlineStr">
        <is>
          <t>VÄSTERNORRLANDS LÄN</t>
        </is>
      </c>
      <c r="E14303" t="inlineStr">
        <is>
          <t>SOLLEFTEÅ</t>
        </is>
      </c>
      <c r="F14303" t="inlineStr">
        <is>
          <t>SCA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32170-2024</t>
        </is>
      </c>
      <c r="B14304" s="1" t="n">
        <v>45511</v>
      </c>
      <c r="C14304" s="1" t="n">
        <v>45657</v>
      </c>
      <c r="D14304" t="inlineStr">
        <is>
          <t>VÄSTERNORRLANDS LÄN</t>
        </is>
      </c>
      <c r="E14304" t="inlineStr">
        <is>
          <t>KRAMFORS</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32112-2024</t>
        </is>
      </c>
      <c r="B14305" s="1" t="n">
        <v>45511</v>
      </c>
      <c r="C14305" s="1" t="n">
        <v>45657</v>
      </c>
      <c r="D14305" t="inlineStr">
        <is>
          <t>VÄSTERNORRLANDS LÄN</t>
        </is>
      </c>
      <c r="E14305" t="inlineStr">
        <is>
          <t>TIMRÅ</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32128-2024</t>
        </is>
      </c>
      <c r="B14306" s="1" t="n">
        <v>45511</v>
      </c>
      <c r="C14306" s="1" t="n">
        <v>45657</v>
      </c>
      <c r="D14306" t="inlineStr">
        <is>
          <t>VÄSTERNORRLANDS LÄN</t>
        </is>
      </c>
      <c r="E14306" t="inlineStr">
        <is>
          <t>SUNDSVALL</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32140-2024</t>
        </is>
      </c>
      <c r="B14307" s="1" t="n">
        <v>45511</v>
      </c>
      <c r="C14307" s="1" t="n">
        <v>45657</v>
      </c>
      <c r="D14307" t="inlineStr">
        <is>
          <t>VÄSTERNORRLANDS LÄN</t>
        </is>
      </c>
      <c r="E14307" t="inlineStr">
        <is>
          <t>SOLLEFTEÅ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32180-2024</t>
        </is>
      </c>
      <c r="B14308" s="1" t="n">
        <v>45511</v>
      </c>
      <c r="C14308" s="1" t="n">
        <v>45657</v>
      </c>
      <c r="D14308" t="inlineStr">
        <is>
          <t>VÄSTERNORRLANDS LÄN</t>
        </is>
      </c>
      <c r="E14308" t="inlineStr">
        <is>
          <t>HÄRNÖSAND</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32184-2024</t>
        </is>
      </c>
      <c r="B14309" s="1" t="n">
        <v>45511</v>
      </c>
      <c r="C14309" s="1" t="n">
        <v>45657</v>
      </c>
      <c r="D14309" t="inlineStr">
        <is>
          <t>VÄSTERNORRLANDS LÄN</t>
        </is>
      </c>
      <c r="E14309" t="inlineStr">
        <is>
          <t>KRAMFORS</t>
        </is>
      </c>
      <c r="G14309" t="n">
        <v>11.2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32209-2024</t>
        </is>
      </c>
      <c r="B14310" s="1" t="n">
        <v>45511</v>
      </c>
      <c r="C14310" s="1" t="n">
        <v>45657</v>
      </c>
      <c r="D14310" t="inlineStr">
        <is>
          <t>VÄSTERNORRLANDS LÄN</t>
        </is>
      </c>
      <c r="E14310" t="inlineStr">
        <is>
          <t>ÖRNSKÖLDSVIK</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32245-2024</t>
        </is>
      </c>
      <c r="B14311" s="1" t="n">
        <v>45511</v>
      </c>
      <c r="C14311" s="1" t="n">
        <v>45657</v>
      </c>
      <c r="D14311" t="inlineStr">
        <is>
          <t>VÄSTERNORRLANDS LÄN</t>
        </is>
      </c>
      <c r="E14311" t="inlineStr">
        <is>
          <t>ÅNGE</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32257-2024</t>
        </is>
      </c>
      <c r="B14312" s="1" t="n">
        <v>45511</v>
      </c>
      <c r="C14312" s="1" t="n">
        <v>45657</v>
      </c>
      <c r="D14312" t="inlineStr">
        <is>
          <t>VÄSTERNORRLANDS LÄN</t>
        </is>
      </c>
      <c r="E14312" t="inlineStr">
        <is>
          <t>ÅNGE</t>
        </is>
      </c>
      <c r="F14312" t="inlineStr">
        <is>
          <t>SCA</t>
        </is>
      </c>
      <c r="G14312" t="n">
        <v>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32157-2024</t>
        </is>
      </c>
      <c r="B14313" s="1" t="n">
        <v>45511</v>
      </c>
      <c r="C14313" s="1" t="n">
        <v>45657</v>
      </c>
      <c r="D14313" t="inlineStr">
        <is>
          <t>VÄSTERNORRLANDS LÄN</t>
        </is>
      </c>
      <c r="E14313" t="inlineStr">
        <is>
          <t>SOLLEFTEÅ</t>
        </is>
      </c>
      <c r="F14313" t="inlineStr">
        <is>
          <t>Holmen skog AB</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32105-2024</t>
        </is>
      </c>
      <c r="B14314" s="1" t="n">
        <v>45511</v>
      </c>
      <c r="C14314" s="1" t="n">
        <v>45657</v>
      </c>
      <c r="D14314" t="inlineStr">
        <is>
          <t>VÄSTERNORRLANDS LÄN</t>
        </is>
      </c>
      <c r="E14314" t="inlineStr">
        <is>
          <t>TIMRÅ</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32280-2024</t>
        </is>
      </c>
      <c r="B14315" s="1" t="n">
        <v>45512</v>
      </c>
      <c r="C14315" s="1" t="n">
        <v>45657</v>
      </c>
      <c r="D14315" t="inlineStr">
        <is>
          <t>VÄSTERNORRLANDS LÄN</t>
        </is>
      </c>
      <c r="E14315" t="inlineStr">
        <is>
          <t>ÖRNSKÖLDSVIK</t>
        </is>
      </c>
      <c r="F14315" t="inlineStr">
        <is>
          <t>Holmen skog AB</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32418-2024</t>
        </is>
      </c>
      <c r="B14316" s="1" t="n">
        <v>45512</v>
      </c>
      <c r="C14316" s="1" t="n">
        <v>45657</v>
      </c>
      <c r="D14316" t="inlineStr">
        <is>
          <t>VÄSTERNORRLANDS LÄN</t>
        </is>
      </c>
      <c r="E14316" t="inlineStr">
        <is>
          <t>HÄRNÖSAND</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32365-2024</t>
        </is>
      </c>
      <c r="B14317" s="1" t="n">
        <v>45512</v>
      </c>
      <c r="C14317" s="1" t="n">
        <v>45657</v>
      </c>
      <c r="D14317" t="inlineStr">
        <is>
          <t>VÄSTERNORRLANDS LÄN</t>
        </is>
      </c>
      <c r="E14317" t="inlineStr">
        <is>
          <t>ÖRNSKÖLDSVIK</t>
        </is>
      </c>
      <c r="F14317" t="inlineStr">
        <is>
          <t>Holmen skog AB</t>
        </is>
      </c>
      <c r="G14317" t="n">
        <v>7.6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32470-2024</t>
        </is>
      </c>
      <c r="B14318" s="1" t="n">
        <v>45513</v>
      </c>
      <c r="C14318" s="1" t="n">
        <v>45657</v>
      </c>
      <c r="D14318" t="inlineStr">
        <is>
          <t>VÄSTERNORRLANDS LÄN</t>
        </is>
      </c>
      <c r="E14318" t="inlineStr">
        <is>
          <t>SUNDSVALL</t>
        </is>
      </c>
      <c r="F14318" t="inlineStr">
        <is>
          <t>SCA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32458-2024</t>
        </is>
      </c>
      <c r="B14319" s="1" t="n">
        <v>45512</v>
      </c>
      <c r="C14319" s="1" t="n">
        <v>45657</v>
      </c>
      <c r="D14319" t="inlineStr">
        <is>
          <t>VÄSTERNORRLANDS LÄN</t>
        </is>
      </c>
      <c r="E14319" t="inlineStr">
        <is>
          <t>ÅNGE</t>
        </is>
      </c>
      <c r="F14319" t="inlineStr">
        <is>
          <t>SCA</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32454-2024</t>
        </is>
      </c>
      <c r="B14320" s="1" t="n">
        <v>45512</v>
      </c>
      <c r="C14320" s="1" t="n">
        <v>45657</v>
      </c>
      <c r="D14320" t="inlineStr">
        <is>
          <t>VÄSTERNORRLANDS LÄN</t>
        </is>
      </c>
      <c r="E14320" t="inlineStr">
        <is>
          <t>TIMRÅ</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32446-2024</t>
        </is>
      </c>
      <c r="B14321" s="1" t="n">
        <v>45512</v>
      </c>
      <c r="C14321" s="1" t="n">
        <v>45657</v>
      </c>
      <c r="D14321" t="inlineStr">
        <is>
          <t>VÄSTERNORRLANDS LÄN</t>
        </is>
      </c>
      <c r="E14321" t="inlineStr">
        <is>
          <t>KRAMFORS</t>
        </is>
      </c>
      <c r="F14321" t="inlineStr">
        <is>
          <t>SCA</t>
        </is>
      </c>
      <c r="G14321" t="n">
        <v>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32442-2024</t>
        </is>
      </c>
      <c r="B14322" s="1" t="n">
        <v>45512</v>
      </c>
      <c r="C14322" s="1" t="n">
        <v>45657</v>
      </c>
      <c r="D14322" t="inlineStr">
        <is>
          <t>VÄSTERNORRLANDS LÄN</t>
        </is>
      </c>
      <c r="E14322" t="inlineStr">
        <is>
          <t>ÅNGE</t>
        </is>
      </c>
      <c r="F14322" t="inlineStr">
        <is>
          <t>SCA</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32420-2024</t>
        </is>
      </c>
      <c r="B14323" s="1" t="n">
        <v>45512</v>
      </c>
      <c r="C14323" s="1" t="n">
        <v>45657</v>
      </c>
      <c r="D14323" t="inlineStr">
        <is>
          <t>VÄSTERNORRLANDS LÄN</t>
        </is>
      </c>
      <c r="E14323" t="inlineStr">
        <is>
          <t>ÖRNSKÖLDSVIK</t>
        </is>
      </c>
      <c r="F14323" t="inlineStr">
        <is>
          <t>Holmen skog AB</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32406-2024</t>
        </is>
      </c>
      <c r="B14324" s="1" t="n">
        <v>45512</v>
      </c>
      <c r="C14324" s="1" t="n">
        <v>45657</v>
      </c>
      <c r="D14324" t="inlineStr">
        <is>
          <t>VÄSTERNORRLANDS LÄN</t>
        </is>
      </c>
      <c r="E14324" t="inlineStr">
        <is>
          <t>ÖRNSKÖLDSVIK</t>
        </is>
      </c>
      <c r="F14324" t="inlineStr">
        <is>
          <t>Holmen skog AB</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32391-2024</t>
        </is>
      </c>
      <c r="B14325" s="1" t="n">
        <v>45512</v>
      </c>
      <c r="C14325" s="1" t="n">
        <v>45657</v>
      </c>
      <c r="D14325" t="inlineStr">
        <is>
          <t>VÄSTERNORRLANDS LÄN</t>
        </is>
      </c>
      <c r="E14325" t="inlineStr">
        <is>
          <t>SUNDSVALL</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32395-2024</t>
        </is>
      </c>
      <c r="B14326" s="1" t="n">
        <v>45512</v>
      </c>
      <c r="C14326" s="1" t="n">
        <v>45657</v>
      </c>
      <c r="D14326" t="inlineStr">
        <is>
          <t>VÄSTERNORRLANDS LÄN</t>
        </is>
      </c>
      <c r="E14326" t="inlineStr">
        <is>
          <t>ÖRNSKÖLDSVIK</t>
        </is>
      </c>
      <c r="F14326" t="inlineStr">
        <is>
          <t>Holmen skog AB</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32399-2024</t>
        </is>
      </c>
      <c r="B14327" s="1" t="n">
        <v>45512</v>
      </c>
      <c r="C14327" s="1" t="n">
        <v>45657</v>
      </c>
      <c r="D14327" t="inlineStr">
        <is>
          <t>VÄSTERNORRLANDS LÄN</t>
        </is>
      </c>
      <c r="E14327" t="inlineStr">
        <is>
          <t>SUNDSVALL</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32411-2024</t>
        </is>
      </c>
      <c r="B14328" s="1" t="n">
        <v>45512</v>
      </c>
      <c r="C14328" s="1" t="n">
        <v>45657</v>
      </c>
      <c r="D14328" t="inlineStr">
        <is>
          <t>VÄSTERNORRLANDS LÄN</t>
        </is>
      </c>
      <c r="E14328" t="inlineStr">
        <is>
          <t>ÖRNSKÖLDSVIK</t>
        </is>
      </c>
      <c r="F14328" t="inlineStr">
        <is>
          <t>Holmen skog AB</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32419-2024</t>
        </is>
      </c>
      <c r="B14329" s="1" t="n">
        <v>45512</v>
      </c>
      <c r="C14329" s="1" t="n">
        <v>45657</v>
      </c>
      <c r="D14329" t="inlineStr">
        <is>
          <t>VÄSTERNORRLANDS LÄN</t>
        </is>
      </c>
      <c r="E14329" t="inlineStr">
        <is>
          <t>ÖRNSKÖLDSVIK</t>
        </is>
      </c>
      <c r="F14329" t="inlineStr">
        <is>
          <t>Holmen skog AB</t>
        </is>
      </c>
      <c r="G14329" t="n">
        <v>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32439-2024</t>
        </is>
      </c>
      <c r="B14330" s="1" t="n">
        <v>45512</v>
      </c>
      <c r="C14330" s="1" t="n">
        <v>45657</v>
      </c>
      <c r="D14330" t="inlineStr">
        <is>
          <t>VÄSTERNORRLANDS LÄN</t>
        </is>
      </c>
      <c r="E14330" t="inlineStr">
        <is>
          <t>ÅNGE</t>
        </is>
      </c>
      <c r="F14330" t="inlineStr">
        <is>
          <t>SCA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32447-2024</t>
        </is>
      </c>
      <c r="B14331" s="1" t="n">
        <v>45513</v>
      </c>
      <c r="C14331" s="1" t="n">
        <v>45657</v>
      </c>
      <c r="D14331" t="inlineStr">
        <is>
          <t>VÄSTERNORRLANDS LÄN</t>
        </is>
      </c>
      <c r="E14331" t="inlineStr">
        <is>
          <t>ÅNGE</t>
        </is>
      </c>
      <c r="F14331" t="inlineStr">
        <is>
          <t>SCA</t>
        </is>
      </c>
      <c r="G14331" t="n">
        <v>6.7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32467-2024</t>
        </is>
      </c>
      <c r="B14332" s="1" t="n">
        <v>45512</v>
      </c>
      <c r="C14332" s="1" t="n">
        <v>45657</v>
      </c>
      <c r="D14332" t="inlineStr">
        <is>
          <t>VÄSTERNORRLANDS LÄN</t>
        </is>
      </c>
      <c r="E14332" t="inlineStr">
        <is>
          <t>SOLLEFTEÅ</t>
        </is>
      </c>
      <c r="F14332" t="inlineStr">
        <is>
          <t>SCA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32416-2024</t>
        </is>
      </c>
      <c r="B14333" s="1" t="n">
        <v>45512</v>
      </c>
      <c r="C14333" s="1" t="n">
        <v>45657</v>
      </c>
      <c r="D14333" t="inlineStr">
        <is>
          <t>VÄSTERNORRLANDS LÄN</t>
        </is>
      </c>
      <c r="E14333" t="inlineStr">
        <is>
          <t>HÄRNÖSAND</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32392-2024</t>
        </is>
      </c>
      <c r="B14334" s="1" t="n">
        <v>45512</v>
      </c>
      <c r="C14334" s="1" t="n">
        <v>45657</v>
      </c>
      <c r="D14334" t="inlineStr">
        <is>
          <t>VÄSTERNORRLANDS LÄN</t>
        </is>
      </c>
      <c r="E14334" t="inlineStr">
        <is>
          <t>ÖRNSKÖLDSVIK</t>
        </is>
      </c>
      <c r="F14334" t="inlineStr">
        <is>
          <t>Holmen skog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32384-2024</t>
        </is>
      </c>
      <c r="B14335" s="1" t="n">
        <v>45512</v>
      </c>
      <c r="C14335" s="1" t="n">
        <v>45657</v>
      </c>
      <c r="D14335" t="inlineStr">
        <is>
          <t>VÄSTERNORRLANDS LÄN</t>
        </is>
      </c>
      <c r="E14335" t="inlineStr">
        <is>
          <t>ÅNGE</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32380-2024</t>
        </is>
      </c>
      <c r="B14336" s="1" t="n">
        <v>45512</v>
      </c>
      <c r="C14336" s="1" t="n">
        <v>45657</v>
      </c>
      <c r="D14336" t="inlineStr">
        <is>
          <t>VÄSTERNORRLANDS LÄN</t>
        </is>
      </c>
      <c r="E14336" t="inlineStr">
        <is>
          <t>ÖRNSKÖLDSVIK</t>
        </is>
      </c>
      <c r="F14336" t="inlineStr">
        <is>
          <t>Holmen skog AB</t>
        </is>
      </c>
      <c r="G14336" t="n">
        <v>12.1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32393-2024</t>
        </is>
      </c>
      <c r="B14337" s="1" t="n">
        <v>45512</v>
      </c>
      <c r="C14337" s="1" t="n">
        <v>45657</v>
      </c>
      <c r="D14337" t="inlineStr">
        <is>
          <t>VÄSTERNORRLANDS LÄN</t>
        </is>
      </c>
      <c r="E14337" t="inlineStr">
        <is>
          <t>SUNDSVALL</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32405-2024</t>
        </is>
      </c>
      <c r="B14338" s="1" t="n">
        <v>45512</v>
      </c>
      <c r="C14338" s="1" t="n">
        <v>45657</v>
      </c>
      <c r="D14338" t="inlineStr">
        <is>
          <t>VÄSTERNORRLANDS LÄN</t>
        </is>
      </c>
      <c r="E14338" t="inlineStr">
        <is>
          <t>ÖRNSKÖLDSVIK</t>
        </is>
      </c>
      <c r="F14338" t="inlineStr">
        <is>
          <t>Holmen skog AB</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32409-2024</t>
        </is>
      </c>
      <c r="B14339" s="1" t="n">
        <v>45512</v>
      </c>
      <c r="C14339" s="1" t="n">
        <v>45657</v>
      </c>
      <c r="D14339" t="inlineStr">
        <is>
          <t>VÄSTERNORRLANDS LÄN</t>
        </is>
      </c>
      <c r="E14339" t="inlineStr">
        <is>
          <t>ÖRNSKÖLDSVIK</t>
        </is>
      </c>
      <c r="F14339" t="inlineStr">
        <is>
          <t>Holmen skog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32421-2024</t>
        </is>
      </c>
      <c r="B14340" s="1" t="n">
        <v>45512</v>
      </c>
      <c r="C14340" s="1" t="n">
        <v>45657</v>
      </c>
      <c r="D14340" t="inlineStr">
        <is>
          <t>VÄSTERNORRLANDS LÄN</t>
        </is>
      </c>
      <c r="E14340" t="inlineStr">
        <is>
          <t>HÄRNÖSAND</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32445-2024</t>
        </is>
      </c>
      <c r="B14341" s="1" t="n">
        <v>45512</v>
      </c>
      <c r="C14341" s="1" t="n">
        <v>45657</v>
      </c>
      <c r="D14341" t="inlineStr">
        <is>
          <t>VÄSTERNORRLANDS LÄN</t>
        </is>
      </c>
      <c r="E14341" t="inlineStr">
        <is>
          <t>TIMRÅ</t>
        </is>
      </c>
      <c r="F14341" t="inlineStr">
        <is>
          <t>SCA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32271-2024</t>
        </is>
      </c>
      <c r="B14342" s="1" t="n">
        <v>45512</v>
      </c>
      <c r="C14342" s="1" t="n">
        <v>45657</v>
      </c>
      <c r="D14342" t="inlineStr">
        <is>
          <t>VÄSTERNORRLANDS LÄN</t>
        </is>
      </c>
      <c r="E14342" t="inlineStr">
        <is>
          <t>KRAMFORS</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32639-2024</t>
        </is>
      </c>
      <c r="B14343" s="1" t="n">
        <v>45513</v>
      </c>
      <c r="C14343" s="1" t="n">
        <v>45657</v>
      </c>
      <c r="D14343" t="inlineStr">
        <is>
          <t>VÄSTERNORRLANDS LÄN</t>
        </is>
      </c>
      <c r="E14343" t="inlineStr">
        <is>
          <t>HÄRNÖSAND</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32488-2024</t>
        </is>
      </c>
      <c r="B14344" s="1" t="n">
        <v>45513</v>
      </c>
      <c r="C14344" s="1" t="n">
        <v>45657</v>
      </c>
      <c r="D14344" t="inlineStr">
        <is>
          <t>VÄSTERNORRLANDS LÄN</t>
        </is>
      </c>
      <c r="E14344" t="inlineStr">
        <is>
          <t>ÖRNSKÖLDSVIK</t>
        </is>
      </c>
      <c r="F14344" t="inlineStr">
        <is>
          <t>Holmen skog AB</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32529-2024</t>
        </is>
      </c>
      <c r="B14345" s="1" t="n">
        <v>45513</v>
      </c>
      <c r="C14345" s="1" t="n">
        <v>45657</v>
      </c>
      <c r="D14345" t="inlineStr">
        <is>
          <t>VÄSTERNORRLANDS LÄN</t>
        </is>
      </c>
      <c r="E14345" t="inlineStr">
        <is>
          <t>SUNDSVALL</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32501-2024</t>
        </is>
      </c>
      <c r="B14346" s="1" t="n">
        <v>45513</v>
      </c>
      <c r="C14346" s="1" t="n">
        <v>45657</v>
      </c>
      <c r="D14346" t="inlineStr">
        <is>
          <t>VÄSTERNORRLANDS LÄN</t>
        </is>
      </c>
      <c r="E14346" t="inlineStr">
        <is>
          <t>KRAMFORS</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32524-2024</t>
        </is>
      </c>
      <c r="B14347" s="1" t="n">
        <v>45513</v>
      </c>
      <c r="C14347" s="1" t="n">
        <v>45657</v>
      </c>
      <c r="D14347" t="inlineStr">
        <is>
          <t>VÄSTERNORRLANDS LÄN</t>
        </is>
      </c>
      <c r="E14347" t="inlineStr">
        <is>
          <t>ÖRNSKÖLDSVIK</t>
        </is>
      </c>
      <c r="F14347" t="inlineStr">
        <is>
          <t>Holmen skog AB</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32515-2024</t>
        </is>
      </c>
      <c r="B14348" s="1" t="n">
        <v>45513</v>
      </c>
      <c r="C14348" s="1" t="n">
        <v>45657</v>
      </c>
      <c r="D14348" t="inlineStr">
        <is>
          <t>VÄSTERNORRLANDS LÄN</t>
        </is>
      </c>
      <c r="E14348" t="inlineStr">
        <is>
          <t>ÖRNSKÖLDSVIK</t>
        </is>
      </c>
      <c r="F14348" t="inlineStr">
        <is>
          <t>Holmen skog AB</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32540-2024</t>
        </is>
      </c>
      <c r="B14349" s="1" t="n">
        <v>45513</v>
      </c>
      <c r="C14349" s="1" t="n">
        <v>45657</v>
      </c>
      <c r="D14349" t="inlineStr">
        <is>
          <t>VÄSTERNORRLANDS LÄN</t>
        </is>
      </c>
      <c r="E14349" t="inlineStr">
        <is>
          <t>ÖRNSKÖLDSVIK</t>
        </is>
      </c>
      <c r="F14349" t="inlineStr">
        <is>
          <t>Holmen skog AB</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32592-2024</t>
        </is>
      </c>
      <c r="B14350" s="1" t="n">
        <v>45513</v>
      </c>
      <c r="C14350" s="1" t="n">
        <v>45657</v>
      </c>
      <c r="D14350" t="inlineStr">
        <is>
          <t>VÄSTERNORRLANDS LÄN</t>
        </is>
      </c>
      <c r="E14350" t="inlineStr">
        <is>
          <t>ÖRNSKÖLDSVIK</t>
        </is>
      </c>
      <c r="F14350" t="inlineStr">
        <is>
          <t>Holmen skog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32604-2024</t>
        </is>
      </c>
      <c r="B14351" s="1" t="n">
        <v>45513</v>
      </c>
      <c r="C14351" s="1" t="n">
        <v>45657</v>
      </c>
      <c r="D14351" t="inlineStr">
        <is>
          <t>VÄSTERNORRLANDS LÄN</t>
        </is>
      </c>
      <c r="E14351" t="inlineStr">
        <is>
          <t>ÖRNSKÖLDSVIK</t>
        </is>
      </c>
      <c r="F14351" t="inlineStr">
        <is>
          <t>Holmen skog AB</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32640-2024</t>
        </is>
      </c>
      <c r="B14352" s="1" t="n">
        <v>45514</v>
      </c>
      <c r="C14352" s="1" t="n">
        <v>45657</v>
      </c>
      <c r="D14352" t="inlineStr">
        <is>
          <t>VÄSTERNORRLANDS LÄN</t>
        </is>
      </c>
      <c r="E14352" t="inlineStr">
        <is>
          <t>ÅNGE</t>
        </is>
      </c>
      <c r="F14352" t="inlineStr">
        <is>
          <t>SCA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32644-2024</t>
        </is>
      </c>
      <c r="B14353" s="1" t="n">
        <v>45513</v>
      </c>
      <c r="C14353" s="1" t="n">
        <v>45657</v>
      </c>
      <c r="D14353" t="inlineStr">
        <is>
          <t>VÄSTERNORRLANDS LÄN</t>
        </is>
      </c>
      <c r="E14353" t="inlineStr">
        <is>
          <t>HÄRNÖSAND</t>
        </is>
      </c>
      <c r="F14353" t="inlineStr">
        <is>
          <t>SCA</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32652-2024</t>
        </is>
      </c>
      <c r="B14354" s="1" t="n">
        <v>45513</v>
      </c>
      <c r="C14354" s="1" t="n">
        <v>45657</v>
      </c>
      <c r="D14354" t="inlineStr">
        <is>
          <t>VÄSTERNORRLANDS LÄN</t>
        </is>
      </c>
      <c r="E14354" t="inlineStr">
        <is>
          <t>SUNDSVALL</t>
        </is>
      </c>
      <c r="F14354" t="inlineStr">
        <is>
          <t>SCA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32513-2024</t>
        </is>
      </c>
      <c r="B14355" s="1" t="n">
        <v>45513</v>
      </c>
      <c r="C14355" s="1" t="n">
        <v>45657</v>
      </c>
      <c r="D14355" t="inlineStr">
        <is>
          <t>VÄSTERNORRLANDS LÄN</t>
        </is>
      </c>
      <c r="E14355" t="inlineStr">
        <is>
          <t>KRAMFORS</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32534-2024</t>
        </is>
      </c>
      <c r="B14356" s="1" t="n">
        <v>45513</v>
      </c>
      <c r="C14356" s="1" t="n">
        <v>45657</v>
      </c>
      <c r="D14356" t="inlineStr">
        <is>
          <t>VÄSTERNORRLANDS LÄN</t>
        </is>
      </c>
      <c r="E14356" t="inlineStr">
        <is>
          <t>ÖRNSKÖLDSVIK</t>
        </is>
      </c>
      <c r="F14356" t="inlineStr">
        <is>
          <t>Holmen skog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32546-2024</t>
        </is>
      </c>
      <c r="B14357" s="1" t="n">
        <v>45513</v>
      </c>
      <c r="C14357" s="1" t="n">
        <v>45657</v>
      </c>
      <c r="D14357" t="inlineStr">
        <is>
          <t>VÄSTERNORRLANDS LÄN</t>
        </is>
      </c>
      <c r="E14357" t="inlineStr">
        <is>
          <t>ÖRNSKÖLDSVIK</t>
        </is>
      </c>
      <c r="F14357" t="inlineStr">
        <is>
          <t>Holmen skog AB</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32583-2024</t>
        </is>
      </c>
      <c r="B14358" s="1" t="n">
        <v>45513</v>
      </c>
      <c r="C14358" s="1" t="n">
        <v>45657</v>
      </c>
      <c r="D14358" t="inlineStr">
        <is>
          <t>VÄSTERNORRLANDS LÄN</t>
        </is>
      </c>
      <c r="E14358" t="inlineStr">
        <is>
          <t>ÖRNSKÖLDSVIK</t>
        </is>
      </c>
      <c r="F14358" t="inlineStr">
        <is>
          <t>Holmen skog AB</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32619-2024</t>
        </is>
      </c>
      <c r="B14359" s="1" t="n">
        <v>45513</v>
      </c>
      <c r="C14359" s="1" t="n">
        <v>45657</v>
      </c>
      <c r="D14359" t="inlineStr">
        <is>
          <t>VÄSTERNORRLANDS LÄN</t>
        </is>
      </c>
      <c r="E14359" t="inlineStr">
        <is>
          <t>ÖRNSKÖLDSVIK</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32623-2024</t>
        </is>
      </c>
      <c r="B14360" s="1" t="n">
        <v>45513</v>
      </c>
      <c r="C14360" s="1" t="n">
        <v>45657</v>
      </c>
      <c r="D14360" t="inlineStr">
        <is>
          <t>VÄSTERNORRLANDS LÄN</t>
        </is>
      </c>
      <c r="E14360" t="inlineStr">
        <is>
          <t>ÖRNSKÖLDSVIK</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32557-2024</t>
        </is>
      </c>
      <c r="B14361" s="1" t="n">
        <v>45513</v>
      </c>
      <c r="C14361" s="1" t="n">
        <v>45657</v>
      </c>
      <c r="D14361" t="inlineStr">
        <is>
          <t>VÄSTERNORRLANDS LÄN</t>
        </is>
      </c>
      <c r="E14361" t="inlineStr">
        <is>
          <t>ÖRNSKÖLDSVIK</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32577-2024</t>
        </is>
      </c>
      <c r="B14362" s="1" t="n">
        <v>45513</v>
      </c>
      <c r="C14362" s="1" t="n">
        <v>45657</v>
      </c>
      <c r="D14362" t="inlineStr">
        <is>
          <t>VÄSTERNORRLANDS LÄN</t>
        </is>
      </c>
      <c r="E14362" t="inlineStr">
        <is>
          <t>ÖRNSKÖLDSVIK</t>
        </is>
      </c>
      <c r="F14362" t="inlineStr">
        <is>
          <t>Holmen skog AB</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32613-2024</t>
        </is>
      </c>
      <c r="B14363" s="1" t="n">
        <v>45513</v>
      </c>
      <c r="C14363" s="1" t="n">
        <v>45657</v>
      </c>
      <c r="D14363" t="inlineStr">
        <is>
          <t>VÄSTERNORRLANDS LÄN</t>
        </is>
      </c>
      <c r="E14363" t="inlineStr">
        <is>
          <t>ÖRNSKÖLDSVIK</t>
        </is>
      </c>
      <c r="F14363" t="inlineStr">
        <is>
          <t>Holmen skog AB</t>
        </is>
      </c>
      <c r="G14363" t="n">
        <v>11.6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32641-2024</t>
        </is>
      </c>
      <c r="B14364" s="1" t="n">
        <v>45513</v>
      </c>
      <c r="C14364" s="1" t="n">
        <v>45657</v>
      </c>
      <c r="D14364" t="inlineStr">
        <is>
          <t>VÄSTERNORRLANDS LÄN</t>
        </is>
      </c>
      <c r="E14364" t="inlineStr">
        <is>
          <t>ÅNGE</t>
        </is>
      </c>
      <c r="F14364" t="inlineStr">
        <is>
          <t>SCA</t>
        </is>
      </c>
      <c r="G14364" t="n">
        <v>5.3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32653-2024</t>
        </is>
      </c>
      <c r="B14365" s="1" t="n">
        <v>45514</v>
      </c>
      <c r="C14365" s="1" t="n">
        <v>45657</v>
      </c>
      <c r="D14365" t="inlineStr">
        <is>
          <t>VÄSTERNORRLANDS LÄN</t>
        </is>
      </c>
      <c r="E14365" t="inlineStr">
        <is>
          <t>SUNDSVALL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32658-2024</t>
        </is>
      </c>
      <c r="B14366" s="1" t="n">
        <v>45513</v>
      </c>
      <c r="C14366" s="1" t="n">
        <v>45657</v>
      </c>
      <c r="D14366" t="inlineStr">
        <is>
          <t>VÄSTERNORRLANDS LÄN</t>
        </is>
      </c>
      <c r="E14366" t="inlineStr">
        <is>
          <t>ÅNGE</t>
        </is>
      </c>
      <c r="F14366" t="inlineStr">
        <is>
          <t>SCA</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32883-2024</t>
        </is>
      </c>
      <c r="B14367" s="1" t="n">
        <v>45516</v>
      </c>
      <c r="C14367" s="1" t="n">
        <v>45657</v>
      </c>
      <c r="D14367" t="inlineStr">
        <is>
          <t>VÄSTERNORRLANDS LÄN</t>
        </is>
      </c>
      <c r="E14367" t="inlineStr">
        <is>
          <t>ÖRNSKÖLDSVIK</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32790-2024</t>
        </is>
      </c>
      <c r="B14368" s="1" t="n">
        <v>45516</v>
      </c>
      <c r="C14368" s="1" t="n">
        <v>45657</v>
      </c>
      <c r="D14368" t="inlineStr">
        <is>
          <t>VÄSTERNORRLANDS LÄN</t>
        </is>
      </c>
      <c r="E14368" t="inlineStr">
        <is>
          <t>HÄRNÖSAND</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32897-2024</t>
        </is>
      </c>
      <c r="B14369" s="1" t="n">
        <v>45517</v>
      </c>
      <c r="C14369" s="1" t="n">
        <v>45657</v>
      </c>
      <c r="D14369" t="inlineStr">
        <is>
          <t>VÄSTERNORRLANDS LÄN</t>
        </is>
      </c>
      <c r="E14369" t="inlineStr">
        <is>
          <t>ÅNGE</t>
        </is>
      </c>
      <c r="G14369" t="n">
        <v>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32922-2024</t>
        </is>
      </c>
      <c r="B14370" s="1" t="n">
        <v>45517</v>
      </c>
      <c r="C14370" s="1" t="n">
        <v>45657</v>
      </c>
      <c r="D14370" t="inlineStr">
        <is>
          <t>VÄSTERNORRLANDS LÄN</t>
        </is>
      </c>
      <c r="E14370" t="inlineStr">
        <is>
          <t>ÅNGE</t>
        </is>
      </c>
      <c r="F14370" t="inlineStr">
        <is>
          <t>SCA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32909-2024</t>
        </is>
      </c>
      <c r="B14371" s="1" t="n">
        <v>45516</v>
      </c>
      <c r="C14371" s="1" t="n">
        <v>45657</v>
      </c>
      <c r="D14371" t="inlineStr">
        <is>
          <t>VÄSTERNORRLANDS LÄN</t>
        </is>
      </c>
      <c r="E14371" t="inlineStr">
        <is>
          <t>ÅNGE</t>
        </is>
      </c>
      <c r="F14371" t="inlineStr">
        <is>
          <t>SCA</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32754-2024</t>
        </is>
      </c>
      <c r="B14372" s="1" t="n">
        <v>45516</v>
      </c>
      <c r="C14372" s="1" t="n">
        <v>45657</v>
      </c>
      <c r="D14372" t="inlineStr">
        <is>
          <t>VÄSTERNORRLANDS LÄN</t>
        </is>
      </c>
      <c r="E14372" t="inlineStr">
        <is>
          <t>SOLLEFTEÅ</t>
        </is>
      </c>
      <c r="F14372" t="inlineStr">
        <is>
          <t>Holmen skog AB</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32908-2024</t>
        </is>
      </c>
      <c r="B14373" s="1" t="n">
        <v>45516</v>
      </c>
      <c r="C14373" s="1" t="n">
        <v>45657</v>
      </c>
      <c r="D14373" t="inlineStr">
        <is>
          <t>VÄSTERNORRLANDS LÄN</t>
        </is>
      </c>
      <c r="E14373" t="inlineStr">
        <is>
          <t>KRAMFORS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32833-2024</t>
        </is>
      </c>
      <c r="B14374" s="1" t="n">
        <v>45516</v>
      </c>
      <c r="C14374" s="1" t="n">
        <v>45657</v>
      </c>
      <c r="D14374" t="inlineStr">
        <is>
          <t>VÄSTERNORRLANDS LÄN</t>
        </is>
      </c>
      <c r="E14374" t="inlineStr">
        <is>
          <t>ÖRNSKÖLDSVIK</t>
        </is>
      </c>
      <c r="F14374" t="inlineStr">
        <is>
          <t>Holmen skog AB</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32924-2024</t>
        </is>
      </c>
      <c r="B14375" s="1" t="n">
        <v>45517</v>
      </c>
      <c r="C14375" s="1" t="n">
        <v>45657</v>
      </c>
      <c r="D14375" t="inlineStr">
        <is>
          <t>VÄSTERNORRLANDS LÄN</t>
        </is>
      </c>
      <c r="E14375" t="inlineStr">
        <is>
          <t>SOLLEFTEÅ</t>
        </is>
      </c>
      <c r="F14375" t="inlineStr">
        <is>
          <t>SCA</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32812-2024</t>
        </is>
      </c>
      <c r="B14376" s="1" t="n">
        <v>45516</v>
      </c>
      <c r="C14376" s="1" t="n">
        <v>45657</v>
      </c>
      <c r="D14376" t="inlineStr">
        <is>
          <t>VÄSTERNORRLANDS LÄN</t>
        </is>
      </c>
      <c r="E14376" t="inlineStr">
        <is>
          <t>SOLLEFTEÅ</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32782-2024</t>
        </is>
      </c>
      <c r="B14377" s="1" t="n">
        <v>45516</v>
      </c>
      <c r="C14377" s="1" t="n">
        <v>45657</v>
      </c>
      <c r="D14377" t="inlineStr">
        <is>
          <t>VÄSTERNORRLANDS LÄN</t>
        </is>
      </c>
      <c r="E14377" t="inlineStr">
        <is>
          <t>HÄRNÖSAND</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32702-2024</t>
        </is>
      </c>
      <c r="B14378" s="1" t="n">
        <v>45516</v>
      </c>
      <c r="C14378" s="1" t="n">
        <v>45657</v>
      </c>
      <c r="D14378" t="inlineStr">
        <is>
          <t>VÄSTERNORRLANDS LÄN</t>
        </is>
      </c>
      <c r="E14378" t="inlineStr">
        <is>
          <t>SOLLEFTEÅ</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33042-2024</t>
        </is>
      </c>
      <c r="B14379" s="1" t="n">
        <v>45517</v>
      </c>
      <c r="C14379" s="1" t="n">
        <v>45657</v>
      </c>
      <c r="D14379" t="inlineStr">
        <is>
          <t>VÄSTERNORRLANDS LÄN</t>
        </is>
      </c>
      <c r="E14379" t="inlineStr">
        <is>
          <t>SUNDSVALL</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33028-2024</t>
        </is>
      </c>
      <c r="B14380" s="1" t="n">
        <v>45517</v>
      </c>
      <c r="C14380" s="1" t="n">
        <v>45657</v>
      </c>
      <c r="D14380" t="inlineStr">
        <is>
          <t>VÄSTERNORRLANDS LÄN</t>
        </is>
      </c>
      <c r="E14380" t="inlineStr">
        <is>
          <t>ÖRNSKÖLDSVIK</t>
        </is>
      </c>
      <c r="F14380" t="inlineStr">
        <is>
          <t>Holmen skog AB</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33110-2024</t>
        </is>
      </c>
      <c r="B14381" s="1" t="n">
        <v>45517</v>
      </c>
      <c r="C14381" s="1" t="n">
        <v>45657</v>
      </c>
      <c r="D14381" t="inlineStr">
        <is>
          <t>VÄSTERNORRLANDS LÄN</t>
        </is>
      </c>
      <c r="E14381" t="inlineStr">
        <is>
          <t>SOLLEFTEÅ</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33098-2024</t>
        </is>
      </c>
      <c r="B14382" s="1" t="n">
        <v>45517</v>
      </c>
      <c r="C14382" s="1" t="n">
        <v>45657</v>
      </c>
      <c r="D14382" t="inlineStr">
        <is>
          <t>VÄSTERNORRLANDS LÄN</t>
        </is>
      </c>
      <c r="E14382" t="inlineStr">
        <is>
          <t>ÖRNSKÖLDSVIK</t>
        </is>
      </c>
      <c r="F14382" t="inlineStr">
        <is>
          <t>Holmen skog AB</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33111-2024</t>
        </is>
      </c>
      <c r="B14383" s="1" t="n">
        <v>45517</v>
      </c>
      <c r="C14383" s="1" t="n">
        <v>45657</v>
      </c>
      <c r="D14383" t="inlineStr">
        <is>
          <t>VÄSTERNORRLANDS LÄN</t>
        </is>
      </c>
      <c r="E14383" t="inlineStr">
        <is>
          <t>SOLLEFTEÅ</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33119-2024</t>
        </is>
      </c>
      <c r="B14384" s="1" t="n">
        <v>45517</v>
      </c>
      <c r="C14384" s="1" t="n">
        <v>45657</v>
      </c>
      <c r="D14384" t="inlineStr">
        <is>
          <t>VÄSTERNORRLANDS LÄN</t>
        </is>
      </c>
      <c r="E14384" t="inlineStr">
        <is>
          <t>HÄRNÖSAND</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33021-2024</t>
        </is>
      </c>
      <c r="B14385" s="1" t="n">
        <v>45517</v>
      </c>
      <c r="C14385" s="1" t="n">
        <v>45657</v>
      </c>
      <c r="D14385" t="inlineStr">
        <is>
          <t>VÄSTERNORRLANDS LÄN</t>
        </is>
      </c>
      <c r="E14385" t="inlineStr">
        <is>
          <t>ÖRNSKÖLDSVIK</t>
        </is>
      </c>
      <c r="F14385" t="inlineStr">
        <is>
          <t>Holmen skog AB</t>
        </is>
      </c>
      <c r="G14385" t="n">
        <v>11.9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33004-2024</t>
        </is>
      </c>
      <c r="B14386" s="1" t="n">
        <v>45517</v>
      </c>
      <c r="C14386" s="1" t="n">
        <v>45657</v>
      </c>
      <c r="D14386" t="inlineStr">
        <is>
          <t>VÄSTERNORRLANDS LÄN</t>
        </is>
      </c>
      <c r="E14386" t="inlineStr">
        <is>
          <t>SUNDSVALL</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33000-2024</t>
        </is>
      </c>
      <c r="B14387" s="1" t="n">
        <v>45517</v>
      </c>
      <c r="C14387" s="1" t="n">
        <v>45657</v>
      </c>
      <c r="D14387" t="inlineStr">
        <is>
          <t>VÄSTERNORRLANDS LÄN</t>
        </is>
      </c>
      <c r="E14387" t="inlineStr">
        <is>
          <t>KRAMFORS</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33108-2024</t>
        </is>
      </c>
      <c r="B14388" s="1" t="n">
        <v>45517</v>
      </c>
      <c r="C14388" s="1" t="n">
        <v>45657</v>
      </c>
      <c r="D14388" t="inlineStr">
        <is>
          <t>VÄSTERNORRLANDS LÄN</t>
        </is>
      </c>
      <c r="E14388" t="inlineStr">
        <is>
          <t>SUNDSVALL</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33051-2024</t>
        </is>
      </c>
      <c r="B14389" s="1" t="n">
        <v>45517</v>
      </c>
      <c r="C14389" s="1" t="n">
        <v>45657</v>
      </c>
      <c r="D14389" t="inlineStr">
        <is>
          <t>VÄSTERNORRLANDS LÄN</t>
        </is>
      </c>
      <c r="E14389" t="inlineStr">
        <is>
          <t>ÖRNSKÖLDSVIK</t>
        </is>
      </c>
      <c r="F14389" t="inlineStr">
        <is>
          <t>Holmen skog AB</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33031-2024</t>
        </is>
      </c>
      <c r="B14390" s="1" t="n">
        <v>45517</v>
      </c>
      <c r="C14390" s="1" t="n">
        <v>45657</v>
      </c>
      <c r="D14390" t="inlineStr">
        <is>
          <t>VÄSTERNORRLANDS LÄN</t>
        </is>
      </c>
      <c r="E14390" t="inlineStr">
        <is>
          <t>SOLLEFTEÅ</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33023-2024</t>
        </is>
      </c>
      <c r="B14391" s="1" t="n">
        <v>45517</v>
      </c>
      <c r="C14391" s="1" t="n">
        <v>45657</v>
      </c>
      <c r="D14391" t="inlineStr">
        <is>
          <t>VÄSTERNORRLANDS LÄN</t>
        </is>
      </c>
      <c r="E14391" t="inlineStr">
        <is>
          <t>SUNDSVALL</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33302-2024</t>
        </is>
      </c>
      <c r="B14392" s="1" t="n">
        <v>45519</v>
      </c>
      <c r="C14392" s="1" t="n">
        <v>45657</v>
      </c>
      <c r="D14392" t="inlineStr">
        <is>
          <t>VÄSTERNORRLANDS LÄN</t>
        </is>
      </c>
      <c r="E14392" t="inlineStr">
        <is>
          <t>ÅNGE</t>
        </is>
      </c>
      <c r="F14392" t="inlineStr">
        <is>
          <t>SCA</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33253-2024</t>
        </is>
      </c>
      <c r="B14393" s="1" t="n">
        <v>45518</v>
      </c>
      <c r="C14393" s="1" t="n">
        <v>45657</v>
      </c>
      <c r="D14393" t="inlineStr">
        <is>
          <t>VÄSTERNORRLANDS LÄN</t>
        </is>
      </c>
      <c r="E14393" t="inlineStr">
        <is>
          <t>ÖRNSKÖLDSVIK</t>
        </is>
      </c>
      <c r="F14393" t="inlineStr">
        <is>
          <t>Holmen skog AB</t>
        </is>
      </c>
      <c r="G14393" t="n">
        <v>5.9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33241-2024</t>
        </is>
      </c>
      <c r="B14394" s="1" t="n">
        <v>45518</v>
      </c>
      <c r="C14394" s="1" t="n">
        <v>45657</v>
      </c>
      <c r="D14394" t="inlineStr">
        <is>
          <t>VÄSTERNORRLANDS LÄN</t>
        </is>
      </c>
      <c r="E14394" t="inlineStr">
        <is>
          <t>SOLLEFTEÅ</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33287-2024</t>
        </is>
      </c>
      <c r="B14395" s="1" t="n">
        <v>45518</v>
      </c>
      <c r="C14395" s="1" t="n">
        <v>45657</v>
      </c>
      <c r="D14395" t="inlineStr">
        <is>
          <t>VÄSTERNORRLANDS LÄN</t>
        </is>
      </c>
      <c r="E14395" t="inlineStr">
        <is>
          <t>TIMRÅ</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33316-2024</t>
        </is>
      </c>
      <c r="B14396" s="1" t="n">
        <v>45519</v>
      </c>
      <c r="C14396" s="1" t="n">
        <v>45657</v>
      </c>
      <c r="D14396" t="inlineStr">
        <is>
          <t>VÄSTERNORRLANDS LÄN</t>
        </is>
      </c>
      <c r="E14396" t="inlineStr">
        <is>
          <t>SOLLEFTEÅ</t>
        </is>
      </c>
      <c r="F14396" t="inlineStr">
        <is>
          <t>SCA</t>
        </is>
      </c>
      <c r="G14396" t="n">
        <v>12.9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33312-2024</t>
        </is>
      </c>
      <c r="B14397" s="1" t="n">
        <v>45519</v>
      </c>
      <c r="C14397" s="1" t="n">
        <v>45657</v>
      </c>
      <c r="D14397" t="inlineStr">
        <is>
          <t>VÄSTERNORRLANDS LÄN</t>
        </is>
      </c>
      <c r="E14397" t="inlineStr">
        <is>
          <t>SOLLEFTEÅ</t>
        </is>
      </c>
      <c r="F14397" t="inlineStr">
        <is>
          <t>SCA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33210-2024</t>
        </is>
      </c>
      <c r="B14398" s="1" t="n">
        <v>45518</v>
      </c>
      <c r="C14398" s="1" t="n">
        <v>45657</v>
      </c>
      <c r="D14398" t="inlineStr">
        <is>
          <t>VÄSTERNORRLANDS LÄN</t>
        </is>
      </c>
      <c r="E14398" t="inlineStr">
        <is>
          <t>ÅNGE</t>
        </is>
      </c>
      <c r="G14398" t="n">
        <v>11.3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33141-2024</t>
        </is>
      </c>
      <c r="B14399" s="1" t="n">
        <v>45518</v>
      </c>
      <c r="C14399" s="1" t="n">
        <v>45657</v>
      </c>
      <c r="D14399" t="inlineStr">
        <is>
          <t>VÄSTERNORRLANDS LÄN</t>
        </is>
      </c>
      <c r="E14399" t="inlineStr">
        <is>
          <t>SOLLEFTEÅ</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33191-2024</t>
        </is>
      </c>
      <c r="B14400" s="1" t="n">
        <v>45518</v>
      </c>
      <c r="C14400" s="1" t="n">
        <v>45657</v>
      </c>
      <c r="D14400" t="inlineStr">
        <is>
          <t>VÄSTERNORRLANDS LÄN</t>
        </is>
      </c>
      <c r="E14400" t="inlineStr">
        <is>
          <t>ÖRNSKÖLDSVIK</t>
        </is>
      </c>
      <c r="F14400" t="inlineStr">
        <is>
          <t>Holmen skog AB</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33187-2024</t>
        </is>
      </c>
      <c r="B14401" s="1" t="n">
        <v>45518</v>
      </c>
      <c r="C14401" s="1" t="n">
        <v>45657</v>
      </c>
      <c r="D14401" t="inlineStr">
        <is>
          <t>VÄSTERNORRLANDS LÄN</t>
        </is>
      </c>
      <c r="E14401" t="inlineStr">
        <is>
          <t>ÖRNSKÖLDSVIK</t>
        </is>
      </c>
      <c r="F14401" t="inlineStr">
        <is>
          <t>Holmen skog AB</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33313-2024</t>
        </is>
      </c>
      <c r="B14402" s="1" t="n">
        <v>45519</v>
      </c>
      <c r="C14402" s="1" t="n">
        <v>45657</v>
      </c>
      <c r="D14402" t="inlineStr">
        <is>
          <t>VÄSTERNORRLANDS LÄN</t>
        </is>
      </c>
      <c r="E14402" t="inlineStr">
        <is>
          <t>ÅNGE</t>
        </is>
      </c>
      <c r="F14402" t="inlineStr">
        <is>
          <t>SCA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33305-2024</t>
        </is>
      </c>
      <c r="B14403" s="1" t="n">
        <v>45518</v>
      </c>
      <c r="C14403" s="1" t="n">
        <v>45657</v>
      </c>
      <c r="D14403" t="inlineStr">
        <is>
          <t>VÄSTERNORRLANDS LÄN</t>
        </is>
      </c>
      <c r="E14403" t="inlineStr">
        <is>
          <t>ÅNGE</t>
        </is>
      </c>
      <c r="F14403" t="inlineStr">
        <is>
          <t>SCA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33300-2024</t>
        </is>
      </c>
      <c r="B14404" s="1" t="n">
        <v>45519</v>
      </c>
      <c r="C14404" s="1" t="n">
        <v>45657</v>
      </c>
      <c r="D14404" t="inlineStr">
        <is>
          <t>VÄSTERNORRLANDS LÄN</t>
        </is>
      </c>
      <c r="E14404" t="inlineStr">
        <is>
          <t>KRAMFORS</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33296-2024</t>
        </is>
      </c>
      <c r="B14405" s="1" t="n">
        <v>45518</v>
      </c>
      <c r="C14405" s="1" t="n">
        <v>45657</v>
      </c>
      <c r="D14405" t="inlineStr">
        <is>
          <t>VÄSTERNORRLANDS LÄN</t>
        </is>
      </c>
      <c r="E14405" t="inlineStr">
        <is>
          <t>KRAMFORS</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33134-2024</t>
        </is>
      </c>
      <c r="B14406" s="1" t="n">
        <v>45518</v>
      </c>
      <c r="C14406" s="1" t="n">
        <v>45657</v>
      </c>
      <c r="D14406" t="inlineStr">
        <is>
          <t>VÄSTERNORRLANDS LÄN</t>
        </is>
      </c>
      <c r="E14406" t="inlineStr">
        <is>
          <t>SOLLEFTEÅ</t>
        </is>
      </c>
      <c r="F14406" t="inlineStr">
        <is>
          <t>Holmen skog AB</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33208-2024</t>
        </is>
      </c>
      <c r="B14407" s="1" t="n">
        <v>45518</v>
      </c>
      <c r="C14407" s="1" t="n">
        <v>45657</v>
      </c>
      <c r="D14407" t="inlineStr">
        <is>
          <t>VÄSTERNORRLANDS LÄN</t>
        </is>
      </c>
      <c r="E14407" t="inlineStr">
        <is>
          <t>ÖRNSKÖLDSVIK</t>
        </is>
      </c>
      <c r="F14407" t="inlineStr">
        <is>
          <t>Holmen skog AB</t>
        </is>
      </c>
      <c r="G14407" t="n">
        <v>3.2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33314-2024</t>
        </is>
      </c>
      <c r="B14408" s="1" t="n">
        <v>45519</v>
      </c>
      <c r="C14408" s="1" t="n">
        <v>45657</v>
      </c>
      <c r="D14408" t="inlineStr">
        <is>
          <t>VÄSTERNORRLANDS LÄN</t>
        </is>
      </c>
      <c r="E14408" t="inlineStr">
        <is>
          <t>SOLLEFTEÅ</t>
        </is>
      </c>
      <c r="F14408" t="inlineStr">
        <is>
          <t>SCA</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33306-2024</t>
        </is>
      </c>
      <c r="B14409" s="1" t="n">
        <v>45518</v>
      </c>
      <c r="C14409" s="1" t="n">
        <v>45657</v>
      </c>
      <c r="D14409" t="inlineStr">
        <is>
          <t>VÄSTERNORRLANDS LÄN</t>
        </is>
      </c>
      <c r="E14409" t="inlineStr">
        <is>
          <t>ÅNGE</t>
        </is>
      </c>
      <c r="F14409" t="inlineStr">
        <is>
          <t>SCA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33328-2024</t>
        </is>
      </c>
      <c r="B14410" s="1" t="n">
        <v>45519</v>
      </c>
      <c r="C14410" s="1" t="n">
        <v>45657</v>
      </c>
      <c r="D14410" t="inlineStr">
        <is>
          <t>VÄSTERNORRLANDS LÄN</t>
        </is>
      </c>
      <c r="E14410" t="inlineStr">
        <is>
          <t>KRAMFORS</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33332-2024</t>
        </is>
      </c>
      <c r="B14411" s="1" t="n">
        <v>45519</v>
      </c>
      <c r="C14411" s="1" t="n">
        <v>45657</v>
      </c>
      <c r="D14411" t="inlineStr">
        <is>
          <t>VÄSTERNORRLANDS LÄN</t>
        </is>
      </c>
      <c r="E14411" t="inlineStr">
        <is>
          <t>SOLLEFTEÅ</t>
        </is>
      </c>
      <c r="G14411" t="n">
        <v>7.4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33368-2024</t>
        </is>
      </c>
      <c r="B14412" s="1" t="n">
        <v>45519</v>
      </c>
      <c r="C14412" s="1" t="n">
        <v>45657</v>
      </c>
      <c r="D14412" t="inlineStr">
        <is>
          <t>VÄSTERNORRLANDS LÄN</t>
        </is>
      </c>
      <c r="E14412" t="inlineStr">
        <is>
          <t>ÖRNSKÖLDSVIK</t>
        </is>
      </c>
      <c r="F14412" t="inlineStr">
        <is>
          <t>Holmen skog AB</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33395-2024</t>
        </is>
      </c>
      <c r="B14413" s="1" t="n">
        <v>45519</v>
      </c>
      <c r="C14413" s="1" t="n">
        <v>45657</v>
      </c>
      <c r="D14413" t="inlineStr">
        <is>
          <t>VÄSTERNORRLANDS LÄN</t>
        </is>
      </c>
      <c r="E14413" t="inlineStr">
        <is>
          <t>ÅNGE</t>
        </is>
      </c>
      <c r="F14413" t="inlineStr">
        <is>
          <t>SCA</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33373-2024</t>
        </is>
      </c>
      <c r="B14414" s="1" t="n">
        <v>45519</v>
      </c>
      <c r="C14414" s="1" t="n">
        <v>45657</v>
      </c>
      <c r="D14414" t="inlineStr">
        <is>
          <t>VÄSTERNORRLANDS LÄN</t>
        </is>
      </c>
      <c r="E14414" t="inlineStr">
        <is>
          <t>ÅNGE</t>
        </is>
      </c>
      <c r="G14414" t="n">
        <v>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33441-2024</t>
        </is>
      </c>
      <c r="B14415" s="1" t="n">
        <v>45519</v>
      </c>
      <c r="C14415" s="1" t="n">
        <v>45657</v>
      </c>
      <c r="D14415" t="inlineStr">
        <is>
          <t>VÄSTERNORRLANDS LÄN</t>
        </is>
      </c>
      <c r="E14415" t="inlineStr">
        <is>
          <t>ÖRNSKÖLDSVIK</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33410-2024</t>
        </is>
      </c>
      <c r="B14416" s="1" t="n">
        <v>45519</v>
      </c>
      <c r="C14416" s="1" t="n">
        <v>45657</v>
      </c>
      <c r="D14416" t="inlineStr">
        <is>
          <t>VÄSTERNORRLANDS LÄN</t>
        </is>
      </c>
      <c r="E14416" t="inlineStr">
        <is>
          <t>ÖRNSKÖLDSVIK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33438-2024</t>
        </is>
      </c>
      <c r="B14417" s="1" t="n">
        <v>45519</v>
      </c>
      <c r="C14417" s="1" t="n">
        <v>45657</v>
      </c>
      <c r="D14417" t="inlineStr">
        <is>
          <t>VÄSTERNORRLANDS LÄN</t>
        </is>
      </c>
      <c r="E14417" t="inlineStr">
        <is>
          <t>KRAMFORS</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33490-2024</t>
        </is>
      </c>
      <c r="B14418" s="1" t="n">
        <v>45519</v>
      </c>
      <c r="C14418" s="1" t="n">
        <v>45657</v>
      </c>
      <c r="D14418" t="inlineStr">
        <is>
          <t>VÄSTERNORRLANDS LÄN</t>
        </is>
      </c>
      <c r="E14418" t="inlineStr">
        <is>
          <t>SOLLEFTEÅ</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33483-2024</t>
        </is>
      </c>
      <c r="B14419" s="1" t="n">
        <v>45519</v>
      </c>
      <c r="C14419" s="1" t="n">
        <v>45657</v>
      </c>
      <c r="D14419" t="inlineStr">
        <is>
          <t>VÄSTERNORRLANDS LÄN</t>
        </is>
      </c>
      <c r="E14419" t="inlineStr">
        <is>
          <t>ÖRNSKÖLDSVIK</t>
        </is>
      </c>
      <c r="F14419" t="inlineStr">
        <is>
          <t>Holmen skog AB</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33468-2024</t>
        </is>
      </c>
      <c r="B14420" s="1" t="n">
        <v>45519</v>
      </c>
      <c r="C14420" s="1" t="n">
        <v>45657</v>
      </c>
      <c r="D14420" t="inlineStr">
        <is>
          <t>VÄSTERNORRLANDS LÄN</t>
        </is>
      </c>
      <c r="E14420" t="inlineStr">
        <is>
          <t>ÅNGE</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33567-2024</t>
        </is>
      </c>
      <c r="B14421" s="1" t="n">
        <v>45520</v>
      </c>
      <c r="C14421" s="1" t="n">
        <v>45657</v>
      </c>
      <c r="D14421" t="inlineStr">
        <is>
          <t>VÄSTERNORRLANDS LÄN</t>
        </is>
      </c>
      <c r="E14421" t="inlineStr">
        <is>
          <t>TIMRÅ</t>
        </is>
      </c>
      <c r="F14421" t="inlineStr">
        <is>
          <t>SCA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33579-2024</t>
        </is>
      </c>
      <c r="B14422" s="1" t="n">
        <v>45520</v>
      </c>
      <c r="C14422" s="1" t="n">
        <v>45657</v>
      </c>
      <c r="D14422" t="inlineStr">
        <is>
          <t>VÄSTERNORRLANDS LÄN</t>
        </is>
      </c>
      <c r="E14422" t="inlineStr">
        <is>
          <t>ÖRNSKÖLDSVIK</t>
        </is>
      </c>
      <c r="F14422" t="inlineStr">
        <is>
          <t>Holmen skog AB</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33583-2024</t>
        </is>
      </c>
      <c r="B14423" s="1" t="n">
        <v>45520</v>
      </c>
      <c r="C14423" s="1" t="n">
        <v>45657</v>
      </c>
      <c r="D14423" t="inlineStr">
        <is>
          <t>VÄSTERNORRLANDS LÄN</t>
        </is>
      </c>
      <c r="E14423" t="inlineStr">
        <is>
          <t>ÖRNSKÖLDSVIK</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33616-2024</t>
        </is>
      </c>
      <c r="B14424" s="1" t="n">
        <v>45520</v>
      </c>
      <c r="C14424" s="1" t="n">
        <v>45657</v>
      </c>
      <c r="D14424" t="inlineStr">
        <is>
          <t>VÄSTERNORRLANDS LÄN</t>
        </is>
      </c>
      <c r="E14424" t="inlineStr">
        <is>
          <t>ÖRNSKÖLDSVIK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33617-2024</t>
        </is>
      </c>
      <c r="B14425" s="1" t="n">
        <v>45520</v>
      </c>
      <c r="C14425" s="1" t="n">
        <v>45657</v>
      </c>
      <c r="D14425" t="inlineStr">
        <is>
          <t>VÄSTERNORRLANDS LÄN</t>
        </is>
      </c>
      <c r="E14425" t="inlineStr">
        <is>
          <t>SOLLEFTEÅ</t>
        </is>
      </c>
      <c r="F14425" t="inlineStr">
        <is>
          <t>Holmen skog AB</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33628-2024</t>
        </is>
      </c>
      <c r="B14426" s="1" t="n">
        <v>45520</v>
      </c>
      <c r="C14426" s="1" t="n">
        <v>45657</v>
      </c>
      <c r="D14426" t="inlineStr">
        <is>
          <t>VÄSTERNORRLANDS LÄN</t>
        </is>
      </c>
      <c r="E14426" t="inlineStr">
        <is>
          <t>SOLLEFTEÅ</t>
        </is>
      </c>
      <c r="F14426" t="inlineStr">
        <is>
          <t>Holmen skog AB</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33677-2024</t>
        </is>
      </c>
      <c r="B14427" s="1" t="n">
        <v>45520</v>
      </c>
      <c r="C14427" s="1" t="n">
        <v>45657</v>
      </c>
      <c r="D14427" t="inlineStr">
        <is>
          <t>VÄSTERNORRLANDS LÄN</t>
        </is>
      </c>
      <c r="E14427" t="inlineStr">
        <is>
          <t>SOLLEFTEÅ</t>
        </is>
      </c>
      <c r="F14427" t="inlineStr">
        <is>
          <t>Holmen skog AB</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33735-2024</t>
        </is>
      </c>
      <c r="B14428" s="1" t="n">
        <v>45520</v>
      </c>
      <c r="C14428" s="1" t="n">
        <v>45657</v>
      </c>
      <c r="D14428" t="inlineStr">
        <is>
          <t>VÄSTERNORRLANDS LÄN</t>
        </is>
      </c>
      <c r="E14428" t="inlineStr">
        <is>
          <t>SUNDSVALL</t>
        </is>
      </c>
      <c r="F14428" t="inlineStr">
        <is>
          <t>SCA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33739-2024</t>
        </is>
      </c>
      <c r="B14429" s="1" t="n">
        <v>45520</v>
      </c>
      <c r="C14429" s="1" t="n">
        <v>45657</v>
      </c>
      <c r="D14429" t="inlineStr">
        <is>
          <t>VÄSTERNORRLANDS LÄN</t>
        </is>
      </c>
      <c r="E14429" t="inlineStr">
        <is>
          <t>SOLLEFTEÅ</t>
        </is>
      </c>
      <c r="F14429" t="inlineStr">
        <is>
          <t>SCA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33747-2024</t>
        </is>
      </c>
      <c r="B14430" s="1" t="n">
        <v>45520</v>
      </c>
      <c r="C14430" s="1" t="n">
        <v>45657</v>
      </c>
      <c r="D14430" t="inlineStr">
        <is>
          <t>VÄSTERNORRLANDS LÄN</t>
        </is>
      </c>
      <c r="E14430" t="inlineStr">
        <is>
          <t>ÅNGE</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33656-2024</t>
        </is>
      </c>
      <c r="B14431" s="1" t="n">
        <v>45520</v>
      </c>
      <c r="C14431" s="1" t="n">
        <v>45657</v>
      </c>
      <c r="D14431" t="inlineStr">
        <is>
          <t>VÄSTERNORRLANDS LÄN</t>
        </is>
      </c>
      <c r="E14431" t="inlineStr">
        <is>
          <t>SOLLEFTEÅ</t>
        </is>
      </c>
      <c r="F14431" t="inlineStr">
        <is>
          <t>Holmen skog AB</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33631-2024</t>
        </is>
      </c>
      <c r="B14432" s="1" t="n">
        <v>45520</v>
      </c>
      <c r="C14432" s="1" t="n">
        <v>45657</v>
      </c>
      <c r="D14432" t="inlineStr">
        <is>
          <t>VÄSTERNORRLANDS LÄN</t>
        </is>
      </c>
      <c r="E14432" t="inlineStr">
        <is>
          <t>ÅNGE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33749-2024</t>
        </is>
      </c>
      <c r="B14433" s="1" t="n">
        <v>45520</v>
      </c>
      <c r="C14433" s="1" t="n">
        <v>45657</v>
      </c>
      <c r="D14433" t="inlineStr">
        <is>
          <t>VÄSTERNORRLANDS LÄN</t>
        </is>
      </c>
      <c r="E14433" t="inlineStr">
        <is>
          <t>TIMRÅ</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33830-2024</t>
        </is>
      </c>
      <c r="B14434" s="1" t="n">
        <v>45520</v>
      </c>
      <c r="C14434" s="1" t="n">
        <v>45657</v>
      </c>
      <c r="D14434" t="inlineStr">
        <is>
          <t>VÄSTERNORRLANDS LÄN</t>
        </is>
      </c>
      <c r="E14434" t="inlineStr">
        <is>
          <t>ÖRNSKÖLDSVIK</t>
        </is>
      </c>
      <c r="F14434" t="inlineStr">
        <is>
          <t>Holmen skog AB</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33676-2024</t>
        </is>
      </c>
      <c r="B14435" s="1" t="n">
        <v>45520</v>
      </c>
      <c r="C14435" s="1" t="n">
        <v>45657</v>
      </c>
      <c r="D14435" t="inlineStr">
        <is>
          <t>VÄSTERNORRLANDS LÄN</t>
        </is>
      </c>
      <c r="E14435" t="inlineStr">
        <is>
          <t>ÖRNSKÖLDSVIK</t>
        </is>
      </c>
      <c r="F14435" t="inlineStr">
        <is>
          <t>Holmen skog AB</t>
        </is>
      </c>
      <c r="G14435" t="n">
        <v>17.7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33759-2024</t>
        </is>
      </c>
      <c r="B14436" s="1" t="n">
        <v>45520</v>
      </c>
      <c r="C14436" s="1" t="n">
        <v>45657</v>
      </c>
      <c r="D14436" t="inlineStr">
        <is>
          <t>VÄSTERNORRLANDS LÄN</t>
        </is>
      </c>
      <c r="E14436" t="inlineStr">
        <is>
          <t>ÖRNSKÖLDSVIK</t>
        </is>
      </c>
      <c r="F14436" t="inlineStr">
        <is>
          <t>Holmen skog AB</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33771-2024</t>
        </is>
      </c>
      <c r="B14437" s="1" t="n">
        <v>45520</v>
      </c>
      <c r="C14437" s="1" t="n">
        <v>45657</v>
      </c>
      <c r="D14437" t="inlineStr">
        <is>
          <t>VÄSTERNORRLANDS LÄN</t>
        </is>
      </c>
      <c r="E14437" t="inlineStr">
        <is>
          <t>ÖRNSKÖLDSVIK</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33783-2024</t>
        </is>
      </c>
      <c r="B14438" s="1" t="n">
        <v>45520</v>
      </c>
      <c r="C14438" s="1" t="n">
        <v>45657</v>
      </c>
      <c r="D14438" t="inlineStr">
        <is>
          <t>VÄSTERNORRLANDS LÄN</t>
        </is>
      </c>
      <c r="E14438" t="inlineStr">
        <is>
          <t>ÅNGE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33740-2024</t>
        </is>
      </c>
      <c r="B14439" s="1" t="n">
        <v>45520</v>
      </c>
      <c r="C14439" s="1" t="n">
        <v>45657</v>
      </c>
      <c r="D14439" t="inlineStr">
        <is>
          <t>VÄSTERNORRLANDS LÄN</t>
        </is>
      </c>
      <c r="E14439" t="inlineStr">
        <is>
          <t>ÅNGE</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33768-2024</t>
        </is>
      </c>
      <c r="B14440" s="1" t="n">
        <v>45520</v>
      </c>
      <c r="C14440" s="1" t="n">
        <v>45657</v>
      </c>
      <c r="D14440" t="inlineStr">
        <is>
          <t>VÄSTERNORRLANDS LÄN</t>
        </is>
      </c>
      <c r="E14440" t="inlineStr">
        <is>
          <t>ÖRNSKÖLDSVIK</t>
        </is>
      </c>
      <c r="F14440" t="inlineStr">
        <is>
          <t>Holmen skog AB</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33825-2024</t>
        </is>
      </c>
      <c r="B14441" s="1" t="n">
        <v>45520</v>
      </c>
      <c r="C14441" s="1" t="n">
        <v>45657</v>
      </c>
      <c r="D14441" t="inlineStr">
        <is>
          <t>VÄSTERNORRLANDS LÄN</t>
        </is>
      </c>
      <c r="E14441" t="inlineStr">
        <is>
          <t>ÖRNSKÖLDSVIK</t>
        </is>
      </c>
      <c r="F14441" t="inlineStr">
        <is>
          <t>Holmen skog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33750-2024</t>
        </is>
      </c>
      <c r="B14442" s="1" t="n">
        <v>45520</v>
      </c>
      <c r="C14442" s="1" t="n">
        <v>45657</v>
      </c>
      <c r="D14442" t="inlineStr">
        <is>
          <t>VÄSTERNORRLANDS LÄN</t>
        </is>
      </c>
      <c r="E14442" t="inlineStr">
        <is>
          <t>ÅNGE</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33782-2024</t>
        </is>
      </c>
      <c r="B14443" s="1" t="n">
        <v>45520</v>
      </c>
      <c r="C14443" s="1" t="n">
        <v>45657</v>
      </c>
      <c r="D14443" t="inlineStr">
        <is>
          <t>VÄSTERNORRLANDS LÄN</t>
        </is>
      </c>
      <c r="E14443" t="inlineStr">
        <is>
          <t>KRAMFORS</t>
        </is>
      </c>
      <c r="G14443" t="n">
        <v>13.9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33799-2024</t>
        </is>
      </c>
      <c r="B14444" s="1" t="n">
        <v>45520</v>
      </c>
      <c r="C14444" s="1" t="n">
        <v>45657</v>
      </c>
      <c r="D14444" t="inlineStr">
        <is>
          <t>VÄSTERNORRLANDS LÄN</t>
        </is>
      </c>
      <c r="E14444" t="inlineStr">
        <is>
          <t>SOLLEFTEÅ</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33815-2024</t>
        </is>
      </c>
      <c r="B14445" s="1" t="n">
        <v>45520</v>
      </c>
      <c r="C14445" s="1" t="n">
        <v>45657</v>
      </c>
      <c r="D14445" t="inlineStr">
        <is>
          <t>VÄSTERNORRLANDS LÄN</t>
        </is>
      </c>
      <c r="E14445" t="inlineStr">
        <is>
          <t>SOLLEFTEÅ</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33843-2024</t>
        </is>
      </c>
      <c r="B14446" s="1" t="n">
        <v>45520</v>
      </c>
      <c r="C14446" s="1" t="n">
        <v>45657</v>
      </c>
      <c r="D14446" t="inlineStr">
        <is>
          <t>VÄSTERNORRLANDS LÄN</t>
        </is>
      </c>
      <c r="E14446" t="inlineStr">
        <is>
          <t>ÖRNSKÖLDSVIK</t>
        </is>
      </c>
      <c r="F14446" t="inlineStr">
        <is>
          <t>Holmen skog AB</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33863-2024</t>
        </is>
      </c>
      <c r="B14447" s="1" t="n">
        <v>45520</v>
      </c>
      <c r="C14447" s="1" t="n">
        <v>45657</v>
      </c>
      <c r="D14447" t="inlineStr">
        <is>
          <t>VÄSTERNORRLANDS LÄN</t>
        </is>
      </c>
      <c r="E14447" t="inlineStr">
        <is>
          <t>ÖRNSKÖLDSVIK</t>
        </is>
      </c>
      <c r="F14447" t="inlineStr">
        <is>
          <t>Holmen skog AB</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33897-2024</t>
        </is>
      </c>
      <c r="B14448" s="1" t="n">
        <v>45523</v>
      </c>
      <c r="C14448" s="1" t="n">
        <v>45657</v>
      </c>
      <c r="D14448" t="inlineStr">
        <is>
          <t>VÄSTERNORRLANDS LÄN</t>
        </is>
      </c>
      <c r="E14448" t="inlineStr">
        <is>
          <t>ÖRNSKÖLDSVIK</t>
        </is>
      </c>
      <c r="F14448" t="inlineStr">
        <is>
          <t>Holmen skog AB</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33906-2024</t>
        </is>
      </c>
      <c r="B14449" s="1" t="n">
        <v>45523</v>
      </c>
      <c r="C14449" s="1" t="n">
        <v>45657</v>
      </c>
      <c r="D14449" t="inlineStr">
        <is>
          <t>VÄSTERNORRLANDS LÄN</t>
        </is>
      </c>
      <c r="E14449" t="inlineStr">
        <is>
          <t>ÖRNSKÖLDSVIK</t>
        </is>
      </c>
      <c r="F14449" t="inlineStr">
        <is>
          <t>Holmen skog AB</t>
        </is>
      </c>
      <c r="G14449" t="n">
        <v>8.5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33917-2024</t>
        </is>
      </c>
      <c r="B14450" s="1" t="n">
        <v>45523</v>
      </c>
      <c r="C14450" s="1" t="n">
        <v>45657</v>
      </c>
      <c r="D14450" t="inlineStr">
        <is>
          <t>VÄSTERNORRLANDS LÄN</t>
        </is>
      </c>
      <c r="E14450" t="inlineStr">
        <is>
          <t>ÖRNSKÖLDSVIK</t>
        </is>
      </c>
      <c r="F14450" t="inlineStr">
        <is>
          <t>Holmen skog AB</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33911-2024</t>
        </is>
      </c>
      <c r="B14451" s="1" t="n">
        <v>45523</v>
      </c>
      <c r="C14451" s="1" t="n">
        <v>45657</v>
      </c>
      <c r="D14451" t="inlineStr">
        <is>
          <t>VÄSTERNORRLANDS LÄN</t>
        </is>
      </c>
      <c r="E14451" t="inlineStr">
        <is>
          <t>SUNDSVALL</t>
        </is>
      </c>
      <c r="F14451" t="inlineStr">
        <is>
          <t>SCA</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33967-2024</t>
        </is>
      </c>
      <c r="B14452" s="1" t="n">
        <v>45523</v>
      </c>
      <c r="C14452" s="1" t="n">
        <v>45657</v>
      </c>
      <c r="D14452" t="inlineStr">
        <is>
          <t>VÄSTERNORRLANDS LÄN</t>
        </is>
      </c>
      <c r="E14452" t="inlineStr">
        <is>
          <t>ÅNGE</t>
        </is>
      </c>
      <c r="F14452" t="inlineStr">
        <is>
          <t>SCA</t>
        </is>
      </c>
      <c r="G14452" t="n">
        <v>17.7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34011-2024</t>
        </is>
      </c>
      <c r="B14453" s="1" t="n">
        <v>45523</v>
      </c>
      <c r="C14453" s="1" t="n">
        <v>45657</v>
      </c>
      <c r="D14453" t="inlineStr">
        <is>
          <t>VÄSTERNORRLANDS LÄN</t>
        </is>
      </c>
      <c r="E14453" t="inlineStr">
        <is>
          <t>HÄRNÖSAND</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34107-2024</t>
        </is>
      </c>
      <c r="B14454" s="1" t="n">
        <v>45523</v>
      </c>
      <c r="C14454" s="1" t="n">
        <v>45657</v>
      </c>
      <c r="D14454" t="inlineStr">
        <is>
          <t>VÄSTERNORRLANDS LÄN</t>
        </is>
      </c>
      <c r="E14454" t="inlineStr">
        <is>
          <t>ÅNGE</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34175-2024</t>
        </is>
      </c>
      <c r="B14455" s="1" t="n">
        <v>45524</v>
      </c>
      <c r="C14455" s="1" t="n">
        <v>45657</v>
      </c>
      <c r="D14455" t="inlineStr">
        <is>
          <t>VÄSTERNORRLANDS LÄN</t>
        </is>
      </c>
      <c r="E14455" t="inlineStr">
        <is>
          <t>ÖRNSKÖLDSVIK</t>
        </is>
      </c>
      <c r="F14455" t="inlineStr">
        <is>
          <t>Holmen skog AB</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34195-2024</t>
        </is>
      </c>
      <c r="B14456" s="1" t="n">
        <v>45524</v>
      </c>
      <c r="C14456" s="1" t="n">
        <v>45657</v>
      </c>
      <c r="D14456" t="inlineStr">
        <is>
          <t>VÄSTERNORRLANDS LÄN</t>
        </is>
      </c>
      <c r="E14456" t="inlineStr">
        <is>
          <t>SUNDSVALL</t>
        </is>
      </c>
      <c r="G14456" t="n">
        <v>17.8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34221-2024</t>
        </is>
      </c>
      <c r="B14457" s="1" t="n">
        <v>45524</v>
      </c>
      <c r="C14457" s="1" t="n">
        <v>45657</v>
      </c>
      <c r="D14457" t="inlineStr">
        <is>
          <t>VÄSTERNORRLANDS LÄN</t>
        </is>
      </c>
      <c r="E14457" t="inlineStr">
        <is>
          <t>ÖRNSKÖLDSVIK</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34249-2024</t>
        </is>
      </c>
      <c r="B14458" s="1" t="n">
        <v>45524</v>
      </c>
      <c r="C14458" s="1" t="n">
        <v>45657</v>
      </c>
      <c r="D14458" t="inlineStr">
        <is>
          <t>VÄSTERNORRLANDS LÄN</t>
        </is>
      </c>
      <c r="E14458" t="inlineStr">
        <is>
          <t>SUNDSVALL</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34318-2024</t>
        </is>
      </c>
      <c r="B14459" s="1" t="n">
        <v>45524</v>
      </c>
      <c r="C14459" s="1" t="n">
        <v>45657</v>
      </c>
      <c r="D14459" t="inlineStr">
        <is>
          <t>VÄSTERNORRLANDS LÄN</t>
        </is>
      </c>
      <c r="E14459" t="inlineStr">
        <is>
          <t>SOLLEFTEÅ</t>
        </is>
      </c>
      <c r="F14459" t="inlineStr">
        <is>
          <t>Övriga statliga verk och myndigheter</t>
        </is>
      </c>
      <c r="G14459" t="n">
        <v>0.3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34251-2024</t>
        </is>
      </c>
      <c r="B14460" s="1" t="n">
        <v>45524</v>
      </c>
      <c r="C14460" s="1" t="n">
        <v>45657</v>
      </c>
      <c r="D14460" t="inlineStr">
        <is>
          <t>VÄSTERNORRLANDS LÄN</t>
        </is>
      </c>
      <c r="E14460" t="inlineStr">
        <is>
          <t>ÅNGE</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34132-2024</t>
        </is>
      </c>
      <c r="B14461" s="1" t="n">
        <v>45524</v>
      </c>
      <c r="C14461" s="1" t="n">
        <v>45657</v>
      </c>
      <c r="D14461" t="inlineStr">
        <is>
          <t>VÄSTERNORRLANDS LÄN</t>
        </is>
      </c>
      <c r="E14461" t="inlineStr">
        <is>
          <t>ÖRNSKÖLDSVIK</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34136-2024</t>
        </is>
      </c>
      <c r="B14462" s="1" t="n">
        <v>45524</v>
      </c>
      <c r="C14462" s="1" t="n">
        <v>45657</v>
      </c>
      <c r="D14462" t="inlineStr">
        <is>
          <t>VÄSTERNORRLANDS LÄN</t>
        </is>
      </c>
      <c r="E14462" t="inlineStr">
        <is>
          <t>ÖRNSKÖLDSVIK</t>
        </is>
      </c>
      <c r="F14462" t="inlineStr">
        <is>
          <t>Holmen skog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34152-2024</t>
        </is>
      </c>
      <c r="B14463" s="1" t="n">
        <v>45524</v>
      </c>
      <c r="C14463" s="1" t="n">
        <v>45657</v>
      </c>
      <c r="D14463" t="inlineStr">
        <is>
          <t>VÄSTERNORRLANDS LÄN</t>
        </is>
      </c>
      <c r="E14463" t="inlineStr">
        <is>
          <t>ÖRNSKÖLDSVIK</t>
        </is>
      </c>
      <c r="F14463" t="inlineStr">
        <is>
          <t>Holmen skog AB</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34200-2024</t>
        </is>
      </c>
      <c r="B14464" s="1" t="n">
        <v>45524</v>
      </c>
      <c r="C14464" s="1" t="n">
        <v>45657</v>
      </c>
      <c r="D14464" t="inlineStr">
        <is>
          <t>VÄSTERNORRLANDS LÄN</t>
        </is>
      </c>
      <c r="E14464" t="inlineStr">
        <is>
          <t>KRAMFORS</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34216-2024</t>
        </is>
      </c>
      <c r="B14465" s="1" t="n">
        <v>45524</v>
      </c>
      <c r="C14465" s="1" t="n">
        <v>45657</v>
      </c>
      <c r="D14465" t="inlineStr">
        <is>
          <t>VÄSTERNORRLANDS LÄN</t>
        </is>
      </c>
      <c r="E14465" t="inlineStr">
        <is>
          <t>SOLLEFTEÅ</t>
        </is>
      </c>
      <c r="F14465" t="inlineStr">
        <is>
          <t>Kommuner</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34258-2024</t>
        </is>
      </c>
      <c r="B14466" s="1" t="n">
        <v>45524</v>
      </c>
      <c r="C14466" s="1" t="n">
        <v>45657</v>
      </c>
      <c r="D14466" t="inlineStr">
        <is>
          <t>VÄSTERNORRLANDS LÄN</t>
        </is>
      </c>
      <c r="E14466" t="inlineStr">
        <is>
          <t>ÖRNSKÖLDSVIK</t>
        </is>
      </c>
      <c r="F14466" t="inlineStr">
        <is>
          <t>Holmen skog AB</t>
        </is>
      </c>
      <c r="G14466" t="n">
        <v>7.8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34313-2024</t>
        </is>
      </c>
      <c r="B14467" s="1" t="n">
        <v>45524</v>
      </c>
      <c r="C14467" s="1" t="n">
        <v>45657</v>
      </c>
      <c r="D14467" t="inlineStr">
        <is>
          <t>VÄSTERNORRLANDS LÄN</t>
        </is>
      </c>
      <c r="E14467" t="inlineStr">
        <is>
          <t>SOLLEFTEÅ</t>
        </is>
      </c>
      <c r="F14467" t="inlineStr">
        <is>
          <t>Övriga statliga verk och myndigheter</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34296-2024</t>
        </is>
      </c>
      <c r="B14468" s="1" t="n">
        <v>45524</v>
      </c>
      <c r="C14468" s="1" t="n">
        <v>45657</v>
      </c>
      <c r="D14468" t="inlineStr">
        <is>
          <t>VÄSTERNORRLANDS LÄN</t>
        </is>
      </c>
      <c r="E14468" t="inlineStr">
        <is>
          <t>SUNDSVALL</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34300-2024</t>
        </is>
      </c>
      <c r="B14469" s="1" t="n">
        <v>45524</v>
      </c>
      <c r="C14469" s="1" t="n">
        <v>45657</v>
      </c>
      <c r="D14469" t="inlineStr">
        <is>
          <t>VÄSTERNORRLANDS LÄN</t>
        </is>
      </c>
      <c r="E14469" t="inlineStr">
        <is>
          <t>ÖRNSKÖLDSVIK</t>
        </is>
      </c>
      <c r="F14469" t="inlineStr">
        <is>
          <t>Holmen skog AB</t>
        </is>
      </c>
      <c r="G14469" t="n">
        <v>9.699999999999999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34316-2024</t>
        </is>
      </c>
      <c r="B14470" s="1" t="n">
        <v>45524</v>
      </c>
      <c r="C14470" s="1" t="n">
        <v>45657</v>
      </c>
      <c r="D14470" t="inlineStr">
        <is>
          <t>VÄSTERNORRLANDS LÄN</t>
        </is>
      </c>
      <c r="E14470" t="inlineStr">
        <is>
          <t>SOLLEFTEÅ</t>
        </is>
      </c>
      <c r="F14470" t="inlineStr">
        <is>
          <t>Övriga statliga verk och myndigheter</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34457-2024</t>
        </is>
      </c>
      <c r="B14471" s="1" t="n">
        <v>45525</v>
      </c>
      <c r="C14471" s="1" t="n">
        <v>45657</v>
      </c>
      <c r="D14471" t="inlineStr">
        <is>
          <t>VÄSTERNORRLANDS LÄN</t>
        </is>
      </c>
      <c r="E14471" t="inlineStr">
        <is>
          <t>ÅNGE</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34398-2024</t>
        </is>
      </c>
      <c r="B14472" s="1" t="n">
        <v>45525</v>
      </c>
      <c r="C14472" s="1" t="n">
        <v>45657</v>
      </c>
      <c r="D14472" t="inlineStr">
        <is>
          <t>VÄSTERNORRLANDS LÄN</t>
        </is>
      </c>
      <c r="E14472" t="inlineStr">
        <is>
          <t>SOLLEFTEÅ</t>
        </is>
      </c>
      <c r="F14472" t="inlineStr">
        <is>
          <t>Holmen skog AB</t>
        </is>
      </c>
      <c r="G14472" t="n">
        <v>5.9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34458-2024</t>
        </is>
      </c>
      <c r="B14473" s="1" t="n">
        <v>45525</v>
      </c>
      <c r="C14473" s="1" t="n">
        <v>45657</v>
      </c>
      <c r="D14473" t="inlineStr">
        <is>
          <t>VÄSTERNORRLANDS LÄN</t>
        </is>
      </c>
      <c r="E14473" t="inlineStr">
        <is>
          <t>SOLLEFTEÅ</t>
        </is>
      </c>
      <c r="F14473" t="inlineStr">
        <is>
          <t>Kommuner</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34462-2024</t>
        </is>
      </c>
      <c r="B14474" s="1" t="n">
        <v>45525</v>
      </c>
      <c r="C14474" s="1" t="n">
        <v>45657</v>
      </c>
      <c r="D14474" t="inlineStr">
        <is>
          <t>VÄSTERNORRLANDS LÄN</t>
        </is>
      </c>
      <c r="E14474" t="inlineStr">
        <is>
          <t>ÖRNSKÖLDSVIK</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34466-2024</t>
        </is>
      </c>
      <c r="B14475" s="1" t="n">
        <v>45525</v>
      </c>
      <c r="C14475" s="1" t="n">
        <v>45657</v>
      </c>
      <c r="D14475" t="inlineStr">
        <is>
          <t>VÄSTERNORRLANDS LÄN</t>
        </is>
      </c>
      <c r="E14475" t="inlineStr">
        <is>
          <t>ÖRNSKÖLDSVIK</t>
        </is>
      </c>
      <c r="F14475" t="inlineStr">
        <is>
          <t>Holmen skog AB</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34482-2024</t>
        </is>
      </c>
      <c r="B14476" s="1" t="n">
        <v>45525</v>
      </c>
      <c r="C14476" s="1" t="n">
        <v>45657</v>
      </c>
      <c r="D14476" t="inlineStr">
        <is>
          <t>VÄSTERNORRLANDS LÄN</t>
        </is>
      </c>
      <c r="E14476" t="inlineStr">
        <is>
          <t>ÖRNSKÖLDSVIK</t>
        </is>
      </c>
      <c r="F14476" t="inlineStr">
        <is>
          <t>Holmen skog AB</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34508-2024</t>
        </is>
      </c>
      <c r="B14477" s="1" t="n">
        <v>45525</v>
      </c>
      <c r="C14477" s="1" t="n">
        <v>45657</v>
      </c>
      <c r="D14477" t="inlineStr">
        <is>
          <t>VÄSTERNORRLANDS LÄN</t>
        </is>
      </c>
      <c r="E14477" t="inlineStr">
        <is>
          <t>ÖRNSKÖLDSVIK</t>
        </is>
      </c>
      <c r="F14477" t="inlineStr">
        <is>
          <t>Holmen skog AB</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34524-2024</t>
        </is>
      </c>
      <c r="B14478" s="1" t="n">
        <v>45525</v>
      </c>
      <c r="C14478" s="1" t="n">
        <v>45657</v>
      </c>
      <c r="D14478" t="inlineStr">
        <is>
          <t>VÄSTERNORRLANDS LÄN</t>
        </is>
      </c>
      <c r="E14478" t="inlineStr">
        <is>
          <t>ÖRNSKÖLDSVIK</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34544-2024</t>
        </is>
      </c>
      <c r="B14479" s="1" t="n">
        <v>45525</v>
      </c>
      <c r="C14479" s="1" t="n">
        <v>45657</v>
      </c>
      <c r="D14479" t="inlineStr">
        <is>
          <t>VÄSTERNORRLANDS LÄN</t>
        </is>
      </c>
      <c r="E14479" t="inlineStr">
        <is>
          <t>SUNDSVALL</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34342-2024</t>
        </is>
      </c>
      <c r="B14480" s="1" t="n">
        <v>45525</v>
      </c>
      <c r="C14480" s="1" t="n">
        <v>45657</v>
      </c>
      <c r="D14480" t="inlineStr">
        <is>
          <t>VÄSTERNORRLANDS LÄN</t>
        </is>
      </c>
      <c r="E14480" t="inlineStr">
        <is>
          <t>ÖRNSKÖLDSVIK</t>
        </is>
      </c>
      <c r="F14480" t="inlineStr">
        <is>
          <t>Holmen skog AB</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34388-2024</t>
        </is>
      </c>
      <c r="B14481" s="1" t="n">
        <v>45525</v>
      </c>
      <c r="C14481" s="1" t="n">
        <v>45657</v>
      </c>
      <c r="D14481" t="inlineStr">
        <is>
          <t>VÄSTERNORRLANDS LÄN</t>
        </is>
      </c>
      <c r="E14481" t="inlineStr">
        <is>
          <t>SOLLEFTEÅ</t>
        </is>
      </c>
      <c r="F14481" t="inlineStr">
        <is>
          <t>SCA</t>
        </is>
      </c>
      <c r="G14481" t="n">
        <v>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34376-2024</t>
        </is>
      </c>
      <c r="B14482" s="1" t="n">
        <v>45525</v>
      </c>
      <c r="C14482" s="1" t="n">
        <v>45657</v>
      </c>
      <c r="D14482" t="inlineStr">
        <is>
          <t>VÄSTERNORRLANDS LÄN</t>
        </is>
      </c>
      <c r="E14482" t="inlineStr">
        <is>
          <t>SOLLEFTEÅ</t>
        </is>
      </c>
      <c r="F14482" t="inlineStr">
        <is>
          <t>Övriga statliga verk och myndigheter</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34360-2024</t>
        </is>
      </c>
      <c r="B14483" s="1" t="n">
        <v>45525</v>
      </c>
      <c r="C14483" s="1" t="n">
        <v>45657</v>
      </c>
      <c r="D14483" t="inlineStr">
        <is>
          <t>VÄSTERNORRLANDS LÄN</t>
        </is>
      </c>
      <c r="E14483" t="inlineStr">
        <is>
          <t>ÖRNSKÖLDSVIK</t>
        </is>
      </c>
      <c r="G14483" t="n">
        <v>16.6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34359-2024</t>
        </is>
      </c>
      <c r="B14484" s="1" t="n">
        <v>45525</v>
      </c>
      <c r="C14484" s="1" t="n">
        <v>45657</v>
      </c>
      <c r="D14484" t="inlineStr">
        <is>
          <t>VÄSTERNORRLANDS LÄN</t>
        </is>
      </c>
      <c r="E14484" t="inlineStr">
        <is>
          <t>ÖRNSKÖLDSVIK</t>
        </is>
      </c>
      <c r="F14484" t="inlineStr">
        <is>
          <t>Holmen skog AB</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34363-2024</t>
        </is>
      </c>
      <c r="B14485" s="1" t="n">
        <v>45525</v>
      </c>
      <c r="C14485" s="1" t="n">
        <v>45657</v>
      </c>
      <c r="D14485" t="inlineStr">
        <is>
          <t>VÄSTERNORRLANDS LÄN</t>
        </is>
      </c>
      <c r="E14485" t="inlineStr">
        <is>
          <t>ÖRNSKÖLDSVIK</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34460-2024</t>
        </is>
      </c>
      <c r="B14486" s="1" t="n">
        <v>45525</v>
      </c>
      <c r="C14486" s="1" t="n">
        <v>45657</v>
      </c>
      <c r="D14486" t="inlineStr">
        <is>
          <t>VÄSTERNORRLANDS LÄN</t>
        </is>
      </c>
      <c r="E14486" t="inlineStr">
        <is>
          <t>SOLLEFTEÅ</t>
        </is>
      </c>
      <c r="F14486" t="inlineStr">
        <is>
          <t>Kommuner</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34505-2024</t>
        </is>
      </c>
      <c r="B14487" s="1" t="n">
        <v>45525</v>
      </c>
      <c r="C14487" s="1" t="n">
        <v>45657</v>
      </c>
      <c r="D14487" t="inlineStr">
        <is>
          <t>VÄSTERNORRLANDS LÄN</t>
        </is>
      </c>
      <c r="E14487" t="inlineStr">
        <is>
          <t>ÖRNSKÖLDSVIK</t>
        </is>
      </c>
      <c r="F14487" t="inlineStr">
        <is>
          <t>Holmen skog AB</t>
        </is>
      </c>
      <c r="G14487" t="n">
        <v>10.7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34543-2024</t>
        </is>
      </c>
      <c r="B14488" s="1" t="n">
        <v>45525</v>
      </c>
      <c r="C14488" s="1" t="n">
        <v>45657</v>
      </c>
      <c r="D14488" t="inlineStr">
        <is>
          <t>VÄSTERNORRLANDS LÄN</t>
        </is>
      </c>
      <c r="E14488" t="inlineStr">
        <is>
          <t>SUNDSVALL</t>
        </is>
      </c>
      <c r="G14488" t="n">
        <v>0.2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34406-2024</t>
        </is>
      </c>
      <c r="B14489" s="1" t="n">
        <v>45525</v>
      </c>
      <c r="C14489" s="1" t="n">
        <v>45657</v>
      </c>
      <c r="D14489" t="inlineStr">
        <is>
          <t>VÄSTERNORRLANDS LÄN</t>
        </is>
      </c>
      <c r="E14489" t="inlineStr">
        <is>
          <t>ÖRNSKÖLDSVIK</t>
        </is>
      </c>
      <c r="F14489" t="inlineStr">
        <is>
          <t>Holmen skog AB</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34365-2024</t>
        </is>
      </c>
      <c r="B14490" s="1" t="n">
        <v>45525</v>
      </c>
      <c r="C14490" s="1" t="n">
        <v>45657</v>
      </c>
      <c r="D14490" t="inlineStr">
        <is>
          <t>VÄSTERNORRLANDS LÄN</t>
        </is>
      </c>
      <c r="E14490" t="inlineStr">
        <is>
          <t>ÖRNSKÖLDSVIK</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34594-2024</t>
        </is>
      </c>
      <c r="B14491" s="1" t="n">
        <v>45526</v>
      </c>
      <c r="C14491" s="1" t="n">
        <v>45657</v>
      </c>
      <c r="D14491" t="inlineStr">
        <is>
          <t>VÄSTERNORRLANDS LÄN</t>
        </is>
      </c>
      <c r="E14491" t="inlineStr">
        <is>
          <t>HÄRNÖSAND</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34640-2024</t>
        </is>
      </c>
      <c r="B14492" s="1" t="n">
        <v>45526</v>
      </c>
      <c r="C14492" s="1" t="n">
        <v>45657</v>
      </c>
      <c r="D14492" t="inlineStr">
        <is>
          <t>VÄSTERNORRLANDS LÄN</t>
        </is>
      </c>
      <c r="E14492" t="inlineStr">
        <is>
          <t>SOLLEFTEÅ</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34648-2024</t>
        </is>
      </c>
      <c r="B14493" s="1" t="n">
        <v>45526</v>
      </c>
      <c r="C14493" s="1" t="n">
        <v>45657</v>
      </c>
      <c r="D14493" t="inlineStr">
        <is>
          <t>VÄSTERNORRLANDS LÄN</t>
        </is>
      </c>
      <c r="E14493" t="inlineStr">
        <is>
          <t>ÖRNSKÖLDSVIK</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34684-2024</t>
        </is>
      </c>
      <c r="B14494" s="1" t="n">
        <v>45526</v>
      </c>
      <c r="C14494" s="1" t="n">
        <v>45657</v>
      </c>
      <c r="D14494" t="inlineStr">
        <is>
          <t>VÄSTERNORRLANDS LÄN</t>
        </is>
      </c>
      <c r="E14494" t="inlineStr">
        <is>
          <t>ÖRNSKÖLDSVIK</t>
        </is>
      </c>
      <c r="F14494" t="inlineStr">
        <is>
          <t>Holmen skog AB</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34700-2024</t>
        </is>
      </c>
      <c r="B14495" s="1" t="n">
        <v>45526</v>
      </c>
      <c r="C14495" s="1" t="n">
        <v>45657</v>
      </c>
      <c r="D14495" t="inlineStr">
        <is>
          <t>VÄSTERNORRLANDS LÄN</t>
        </is>
      </c>
      <c r="E14495" t="inlineStr">
        <is>
          <t>SOLLEFTEÅ</t>
        </is>
      </c>
      <c r="G14495" t="n">
        <v>5.8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34800-2024</t>
        </is>
      </c>
      <c r="B14496" s="1" t="n">
        <v>45526</v>
      </c>
      <c r="C14496" s="1" t="n">
        <v>45657</v>
      </c>
      <c r="D14496" t="inlineStr">
        <is>
          <t>VÄSTERNORRLANDS LÄN</t>
        </is>
      </c>
      <c r="E14496" t="inlineStr">
        <is>
          <t>ÖRNSKÖLDSVIK</t>
        </is>
      </c>
      <c r="F14496" t="inlineStr">
        <is>
          <t>Holmen skog AB</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34563-2024</t>
        </is>
      </c>
      <c r="B14497" s="1" t="n">
        <v>45526</v>
      </c>
      <c r="C14497" s="1" t="n">
        <v>45657</v>
      </c>
      <c r="D14497" t="inlineStr">
        <is>
          <t>VÄSTERNORRLANDS LÄN</t>
        </is>
      </c>
      <c r="E14497" t="inlineStr">
        <is>
          <t>ÖRNSKÖLDSVIK</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34559-2024</t>
        </is>
      </c>
      <c r="B14498" s="1" t="n">
        <v>45526</v>
      </c>
      <c r="C14498" s="1" t="n">
        <v>45657</v>
      </c>
      <c r="D14498" t="inlineStr">
        <is>
          <t>VÄSTERNORRLANDS LÄN</t>
        </is>
      </c>
      <c r="E14498" t="inlineStr">
        <is>
          <t>ÅNGE</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34746-2024</t>
        </is>
      </c>
      <c r="B14499" s="1" t="n">
        <v>45526</v>
      </c>
      <c r="C14499" s="1" t="n">
        <v>45657</v>
      </c>
      <c r="D14499" t="inlineStr">
        <is>
          <t>VÄSTERNORRLANDS LÄN</t>
        </is>
      </c>
      <c r="E14499" t="inlineStr">
        <is>
          <t>ÖRNSKÖLDSVIK</t>
        </is>
      </c>
      <c r="F14499" t="inlineStr">
        <is>
          <t>Holmen skog AB</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34754-2024</t>
        </is>
      </c>
      <c r="B14500" s="1" t="n">
        <v>45526</v>
      </c>
      <c r="C14500" s="1" t="n">
        <v>45657</v>
      </c>
      <c r="D14500" t="inlineStr">
        <is>
          <t>VÄSTERNORRLANDS LÄN</t>
        </is>
      </c>
      <c r="E14500" t="inlineStr">
        <is>
          <t>ÅNGE</t>
        </is>
      </c>
      <c r="F14500" t="inlineStr">
        <is>
          <t>SCA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34790-2024</t>
        </is>
      </c>
      <c r="B14501" s="1" t="n">
        <v>45526</v>
      </c>
      <c r="C14501" s="1" t="n">
        <v>45657</v>
      </c>
      <c r="D14501" t="inlineStr">
        <is>
          <t>VÄSTERNORRLANDS LÄN</t>
        </is>
      </c>
      <c r="E14501" t="inlineStr">
        <is>
          <t>ÖRNSKÖLDSVIK</t>
        </is>
      </c>
      <c r="F14501" t="inlineStr">
        <is>
          <t>Holmen skog AB</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34815-2024</t>
        </is>
      </c>
      <c r="B14502" s="1" t="n">
        <v>45526</v>
      </c>
      <c r="C14502" s="1" t="n">
        <v>45657</v>
      </c>
      <c r="D14502" t="inlineStr">
        <is>
          <t>VÄSTERNORRLANDS LÄN</t>
        </is>
      </c>
      <c r="E14502" t="inlineStr">
        <is>
          <t>ÅNGE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34560-2024</t>
        </is>
      </c>
      <c r="B14503" s="1" t="n">
        <v>45526</v>
      </c>
      <c r="C14503" s="1" t="n">
        <v>45657</v>
      </c>
      <c r="D14503" t="inlineStr">
        <is>
          <t>VÄSTERNORRLANDS LÄN</t>
        </is>
      </c>
      <c r="E14503" t="inlineStr">
        <is>
          <t>SOLLEFTEÅ</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34577-2024</t>
        </is>
      </c>
      <c r="B14504" s="1" t="n">
        <v>45526</v>
      </c>
      <c r="C14504" s="1" t="n">
        <v>45657</v>
      </c>
      <c r="D14504" t="inlineStr">
        <is>
          <t>VÄSTERNORRLANDS LÄN</t>
        </is>
      </c>
      <c r="E14504" t="inlineStr">
        <is>
          <t>ÖRNSKÖLDSVIK</t>
        </is>
      </c>
      <c r="F14504" t="inlineStr">
        <is>
          <t>Holmen skog AB</t>
        </is>
      </c>
      <c r="G14504" t="n">
        <v>7.8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34586-2024</t>
        </is>
      </c>
      <c r="B14505" s="1" t="n">
        <v>45526</v>
      </c>
      <c r="C14505" s="1" t="n">
        <v>45657</v>
      </c>
      <c r="D14505" t="inlineStr">
        <is>
          <t>VÄSTERNORRLANDS LÄN</t>
        </is>
      </c>
      <c r="E14505" t="inlineStr">
        <is>
          <t>ÖRNSKÖLDSVIK</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34603-2024</t>
        </is>
      </c>
      <c r="B14506" s="1" t="n">
        <v>45526</v>
      </c>
      <c r="C14506" s="1" t="n">
        <v>45657</v>
      </c>
      <c r="D14506" t="inlineStr">
        <is>
          <t>VÄSTERNORRLANDS LÄN</t>
        </is>
      </c>
      <c r="E14506" t="inlineStr">
        <is>
          <t>ÖRNSKÖLDSVIK</t>
        </is>
      </c>
      <c r="F14506" t="inlineStr">
        <is>
          <t>Holmen skog AB</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34607-2024</t>
        </is>
      </c>
      <c r="B14507" s="1" t="n">
        <v>45526</v>
      </c>
      <c r="C14507" s="1" t="n">
        <v>45657</v>
      </c>
      <c r="D14507" t="inlineStr">
        <is>
          <t>VÄSTERNORRLANDS LÄN</t>
        </is>
      </c>
      <c r="E14507" t="inlineStr">
        <is>
          <t>SUNDSVALL</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34611-2024</t>
        </is>
      </c>
      <c r="B14508" s="1" t="n">
        <v>45526</v>
      </c>
      <c r="C14508" s="1" t="n">
        <v>45657</v>
      </c>
      <c r="D14508" t="inlineStr">
        <is>
          <t>VÄSTERNORRLANDS LÄN</t>
        </is>
      </c>
      <c r="E14508" t="inlineStr">
        <is>
          <t>SUNDSVALL</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34619-2024</t>
        </is>
      </c>
      <c r="B14509" s="1" t="n">
        <v>45526</v>
      </c>
      <c r="C14509" s="1" t="n">
        <v>45657</v>
      </c>
      <c r="D14509" t="inlineStr">
        <is>
          <t>VÄSTERNORRLANDS LÄN</t>
        </is>
      </c>
      <c r="E14509" t="inlineStr">
        <is>
          <t>ÖRNSKÖLDSVIK</t>
        </is>
      </c>
      <c r="F14509" t="inlineStr">
        <is>
          <t>Holmen skog AB</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34649-2024</t>
        </is>
      </c>
      <c r="B14510" s="1" t="n">
        <v>45526</v>
      </c>
      <c r="C14510" s="1" t="n">
        <v>45657</v>
      </c>
      <c r="D14510" t="inlineStr">
        <is>
          <t>VÄSTERNORRLANDS LÄN</t>
        </is>
      </c>
      <c r="E14510" t="inlineStr">
        <is>
          <t>ÅNGE</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34689-2024</t>
        </is>
      </c>
      <c r="B14511" s="1" t="n">
        <v>45526</v>
      </c>
      <c r="C14511" s="1" t="n">
        <v>45657</v>
      </c>
      <c r="D14511" t="inlineStr">
        <is>
          <t>VÄSTERNORRLANDS LÄN</t>
        </is>
      </c>
      <c r="E14511" t="inlineStr">
        <is>
          <t>HÄRNÖSAND</t>
        </is>
      </c>
      <c r="F14511" t="inlineStr">
        <is>
          <t>SCA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34726-2024</t>
        </is>
      </c>
      <c r="B14512" s="1" t="n">
        <v>45526</v>
      </c>
      <c r="C14512" s="1" t="n">
        <v>45657</v>
      </c>
      <c r="D14512" t="inlineStr">
        <is>
          <t>VÄSTERNORRLANDS LÄN</t>
        </is>
      </c>
      <c r="E14512" t="inlineStr">
        <is>
          <t>ÅNGE</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34751-2024</t>
        </is>
      </c>
      <c r="B14513" s="1" t="n">
        <v>45526</v>
      </c>
      <c r="C14513" s="1" t="n">
        <v>45657</v>
      </c>
      <c r="D14513" t="inlineStr">
        <is>
          <t>VÄSTERNORRLANDS LÄN</t>
        </is>
      </c>
      <c r="E14513" t="inlineStr">
        <is>
          <t>ÖRNSKÖLDSVIK</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34820-2024</t>
        </is>
      </c>
      <c r="B14514" s="1" t="n">
        <v>45526</v>
      </c>
      <c r="C14514" s="1" t="n">
        <v>45657</v>
      </c>
      <c r="D14514" t="inlineStr">
        <is>
          <t>VÄSTERNORRLANDS LÄN</t>
        </is>
      </c>
      <c r="E14514" t="inlineStr">
        <is>
          <t>ÅNGE</t>
        </is>
      </c>
      <c r="F14514" t="inlineStr">
        <is>
          <t>SCA</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34625-2024</t>
        </is>
      </c>
      <c r="B14515" s="1" t="n">
        <v>45526</v>
      </c>
      <c r="C14515" s="1" t="n">
        <v>45657</v>
      </c>
      <c r="D14515" t="inlineStr">
        <is>
          <t>VÄSTERNORRLANDS LÄN</t>
        </is>
      </c>
      <c r="E14515" t="inlineStr">
        <is>
          <t>ÖRNSKÖLDSVIK</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34655-2024</t>
        </is>
      </c>
      <c r="B14516" s="1" t="n">
        <v>45526</v>
      </c>
      <c r="C14516" s="1" t="n">
        <v>45657</v>
      </c>
      <c r="D14516" t="inlineStr">
        <is>
          <t>VÄSTERNORRLANDS LÄN</t>
        </is>
      </c>
      <c r="E14516" t="inlineStr">
        <is>
          <t>ÅNGE</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34679-2024</t>
        </is>
      </c>
      <c r="B14517" s="1" t="n">
        <v>45526</v>
      </c>
      <c r="C14517" s="1" t="n">
        <v>45657</v>
      </c>
      <c r="D14517" t="inlineStr">
        <is>
          <t>VÄSTERNORRLANDS LÄN</t>
        </is>
      </c>
      <c r="E14517" t="inlineStr">
        <is>
          <t>ÅNGE</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34691-2024</t>
        </is>
      </c>
      <c r="B14518" s="1" t="n">
        <v>45526</v>
      </c>
      <c r="C14518" s="1" t="n">
        <v>45657</v>
      </c>
      <c r="D14518" t="inlineStr">
        <is>
          <t>VÄSTERNORRLANDS LÄN</t>
        </is>
      </c>
      <c r="E14518" t="inlineStr">
        <is>
          <t>ÅNGE</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34699-2024</t>
        </is>
      </c>
      <c r="B14519" s="1" t="n">
        <v>45526</v>
      </c>
      <c r="C14519" s="1" t="n">
        <v>45657</v>
      </c>
      <c r="D14519" t="inlineStr">
        <is>
          <t>VÄSTERNORRLANDS LÄN</t>
        </is>
      </c>
      <c r="E14519" t="inlineStr">
        <is>
          <t>SUNDSVALL</t>
        </is>
      </c>
      <c r="G14519" t="n">
        <v>16.5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34765-2024</t>
        </is>
      </c>
      <c r="B14520" s="1" t="n">
        <v>45526</v>
      </c>
      <c r="C14520" s="1" t="n">
        <v>45657</v>
      </c>
      <c r="D14520" t="inlineStr">
        <is>
          <t>VÄSTERNORRLANDS LÄN</t>
        </is>
      </c>
      <c r="E14520" t="inlineStr">
        <is>
          <t>SOLLEFTEÅ</t>
        </is>
      </c>
      <c r="F14520" t="inlineStr">
        <is>
          <t>SCA</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34822-2024</t>
        </is>
      </c>
      <c r="B14521" s="1" t="n">
        <v>45526</v>
      </c>
      <c r="C14521" s="1" t="n">
        <v>45657</v>
      </c>
      <c r="D14521" t="inlineStr">
        <is>
          <t>VÄSTERNORRLANDS LÄN</t>
        </is>
      </c>
      <c r="E14521" t="inlineStr">
        <is>
          <t>SUNDSVALL</t>
        </is>
      </c>
      <c r="F14521" t="inlineStr">
        <is>
          <t>SCA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34706-2024</t>
        </is>
      </c>
      <c r="B14522" s="1" t="n">
        <v>45526</v>
      </c>
      <c r="C14522" s="1" t="n">
        <v>45657</v>
      </c>
      <c r="D14522" t="inlineStr">
        <is>
          <t>VÄSTERNORRLANDS LÄN</t>
        </is>
      </c>
      <c r="E14522" t="inlineStr">
        <is>
          <t>SUNDSVALL</t>
        </is>
      </c>
      <c r="F14522" t="inlineStr">
        <is>
          <t>SCA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34674-2024</t>
        </is>
      </c>
      <c r="B14523" s="1" t="n">
        <v>45526</v>
      </c>
      <c r="C14523" s="1" t="n">
        <v>45657</v>
      </c>
      <c r="D14523" t="inlineStr">
        <is>
          <t>VÄSTERNORRLANDS LÄN</t>
        </is>
      </c>
      <c r="E14523" t="inlineStr">
        <is>
          <t>ÖRNSKÖLDSVIK</t>
        </is>
      </c>
      <c r="F14523" t="inlineStr">
        <is>
          <t>Holmen skog AB</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34642-2024</t>
        </is>
      </c>
      <c r="B14524" s="1" t="n">
        <v>45526</v>
      </c>
      <c r="C14524" s="1" t="n">
        <v>45657</v>
      </c>
      <c r="D14524" t="inlineStr">
        <is>
          <t>VÄSTERNORRLANDS LÄN</t>
        </is>
      </c>
      <c r="E14524" t="inlineStr">
        <is>
          <t>KRAMFORS</t>
        </is>
      </c>
      <c r="G14524" t="n">
        <v>0.2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34638-2024</t>
        </is>
      </c>
      <c r="B14525" s="1" t="n">
        <v>45526</v>
      </c>
      <c r="C14525" s="1" t="n">
        <v>45657</v>
      </c>
      <c r="D14525" t="inlineStr">
        <is>
          <t>VÄSTERNORRLANDS LÄN</t>
        </is>
      </c>
      <c r="E14525" t="inlineStr">
        <is>
          <t>SOLLEFTEÅ</t>
        </is>
      </c>
      <c r="F14525" t="inlineStr">
        <is>
          <t>SCA</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34612-2024</t>
        </is>
      </c>
      <c r="B14526" s="1" t="n">
        <v>45526</v>
      </c>
      <c r="C14526" s="1" t="n">
        <v>45657</v>
      </c>
      <c r="D14526" t="inlineStr">
        <is>
          <t>VÄSTERNORRLANDS LÄN</t>
        </is>
      </c>
      <c r="E14526" t="inlineStr">
        <is>
          <t>HÄRNÖSAND</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34760-2024</t>
        </is>
      </c>
      <c r="B14527" s="1" t="n">
        <v>45526</v>
      </c>
      <c r="C14527" s="1" t="n">
        <v>45657</v>
      </c>
      <c r="D14527" t="inlineStr">
        <is>
          <t>VÄSTERNORRLANDS LÄN</t>
        </is>
      </c>
      <c r="E14527" t="inlineStr">
        <is>
          <t>ÖRNSKÖLDSVIK</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34756-2024</t>
        </is>
      </c>
      <c r="B14528" s="1" t="n">
        <v>45526</v>
      </c>
      <c r="C14528" s="1" t="n">
        <v>45657</v>
      </c>
      <c r="D14528" t="inlineStr">
        <is>
          <t>VÄSTERNORRLANDS LÄN</t>
        </is>
      </c>
      <c r="E14528" t="inlineStr">
        <is>
          <t>ÖRNSKÖLDSVIK</t>
        </is>
      </c>
      <c r="F14528" t="inlineStr">
        <is>
          <t>Holmen skog AB</t>
        </is>
      </c>
      <c r="G14528" t="n">
        <v>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34727-2024</t>
        </is>
      </c>
      <c r="B14529" s="1" t="n">
        <v>45526</v>
      </c>
      <c r="C14529" s="1" t="n">
        <v>45657</v>
      </c>
      <c r="D14529" t="inlineStr">
        <is>
          <t>VÄSTERNORRLANDS LÄN</t>
        </is>
      </c>
      <c r="E14529" t="inlineStr">
        <is>
          <t>ÅNGE</t>
        </is>
      </c>
      <c r="G14529" t="n">
        <v>3.6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34574-2024</t>
        </is>
      </c>
      <c r="B14530" s="1" t="n">
        <v>45526</v>
      </c>
      <c r="C14530" s="1" t="n">
        <v>45657</v>
      </c>
      <c r="D14530" t="inlineStr">
        <is>
          <t>VÄSTERNORRLANDS LÄN</t>
        </is>
      </c>
      <c r="E14530" t="inlineStr">
        <is>
          <t>ÖRNSKÖLDSVIK</t>
        </is>
      </c>
      <c r="F14530" t="inlineStr">
        <is>
          <t>Holmen skog AB</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34561-2024</t>
        </is>
      </c>
      <c r="B14531" s="1" t="n">
        <v>45526</v>
      </c>
      <c r="C14531" s="1" t="n">
        <v>45657</v>
      </c>
      <c r="D14531" t="inlineStr">
        <is>
          <t>VÄSTERNORRLANDS LÄN</t>
        </is>
      </c>
      <c r="E14531" t="inlineStr">
        <is>
          <t>ÖRNSKÖLDSVIK</t>
        </is>
      </c>
      <c r="F14531" t="inlineStr">
        <is>
          <t>Holmen skog AB</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35027-2024</t>
        </is>
      </c>
      <c r="B14532" s="1" t="n">
        <v>45527</v>
      </c>
      <c r="C14532" s="1" t="n">
        <v>45657</v>
      </c>
      <c r="D14532" t="inlineStr">
        <is>
          <t>VÄSTERNORRLANDS LÄN</t>
        </is>
      </c>
      <c r="E14532" t="inlineStr">
        <is>
          <t>ÖRNSKÖLDSVIK</t>
        </is>
      </c>
      <c r="F14532" t="inlineStr">
        <is>
          <t>Holmen skog AB</t>
        </is>
      </c>
      <c r="G14532" t="n">
        <v>6.4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34898-2024</t>
        </is>
      </c>
      <c r="B14533" s="1" t="n">
        <v>45527</v>
      </c>
      <c r="C14533" s="1" t="n">
        <v>45657</v>
      </c>
      <c r="D14533" t="inlineStr">
        <is>
          <t>VÄSTERNORRLANDS LÄN</t>
        </is>
      </c>
      <c r="E14533" t="inlineStr">
        <is>
          <t>ÖRNSKÖLDSVIK</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34878-2024</t>
        </is>
      </c>
      <c r="B14534" s="1" t="n">
        <v>45527</v>
      </c>
      <c r="C14534" s="1" t="n">
        <v>45657</v>
      </c>
      <c r="D14534" t="inlineStr">
        <is>
          <t>VÄSTERNORRLANDS LÄN</t>
        </is>
      </c>
      <c r="E14534" t="inlineStr">
        <is>
          <t>SOLLEFTEÅ</t>
        </is>
      </c>
      <c r="F14534" t="inlineStr">
        <is>
          <t>SCA</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34866-2024</t>
        </is>
      </c>
      <c r="B14535" s="1" t="n">
        <v>45527</v>
      </c>
      <c r="C14535" s="1" t="n">
        <v>45657</v>
      </c>
      <c r="D14535" t="inlineStr">
        <is>
          <t>VÄSTERNORRLANDS LÄN</t>
        </is>
      </c>
      <c r="E14535" t="inlineStr">
        <is>
          <t>SUNDSVALL</t>
        </is>
      </c>
      <c r="F14535" t="inlineStr">
        <is>
          <t>SCA</t>
        </is>
      </c>
      <c r="G14535" t="n">
        <v>7.6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34858-2024</t>
        </is>
      </c>
      <c r="B14536" s="1" t="n">
        <v>45527</v>
      </c>
      <c r="C14536" s="1" t="n">
        <v>45657</v>
      </c>
      <c r="D14536" t="inlineStr">
        <is>
          <t>VÄSTERNORRLANDS LÄN</t>
        </is>
      </c>
      <c r="E14536" t="inlineStr">
        <is>
          <t>ÖRNSKÖLDSVIK</t>
        </is>
      </c>
      <c r="F14536" t="inlineStr">
        <is>
          <t>Holmen skog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34854-2024</t>
        </is>
      </c>
      <c r="B14537" s="1" t="n">
        <v>45527</v>
      </c>
      <c r="C14537" s="1" t="n">
        <v>45657</v>
      </c>
      <c r="D14537" t="inlineStr">
        <is>
          <t>VÄSTERNORRLANDS LÄN</t>
        </is>
      </c>
      <c r="E14537" t="inlineStr">
        <is>
          <t>ÖRNSKÖLDSVIK</t>
        </is>
      </c>
      <c r="G14537" t="n">
        <v>6.7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34850-2024</t>
        </is>
      </c>
      <c r="B14538" s="1" t="n">
        <v>45527</v>
      </c>
      <c r="C14538" s="1" t="n">
        <v>45657</v>
      </c>
      <c r="D14538" t="inlineStr">
        <is>
          <t>VÄSTERNORRLANDS LÄN</t>
        </is>
      </c>
      <c r="E14538" t="inlineStr">
        <is>
          <t>ÖRNSKÖLDSVIK</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34852-2024</t>
        </is>
      </c>
      <c r="B14539" s="1" t="n">
        <v>45527</v>
      </c>
      <c r="C14539" s="1" t="n">
        <v>45657</v>
      </c>
      <c r="D14539" t="inlineStr">
        <is>
          <t>VÄSTERNORRLANDS LÄN</t>
        </is>
      </c>
      <c r="E14539" t="inlineStr">
        <is>
          <t>ÖRNSKÖLDSVIK</t>
        </is>
      </c>
      <c r="F14539" t="inlineStr">
        <is>
          <t>Holmen skog AB</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34896-2024</t>
        </is>
      </c>
      <c r="B14540" s="1" t="n">
        <v>45527</v>
      </c>
      <c r="C14540" s="1" t="n">
        <v>45657</v>
      </c>
      <c r="D14540" t="inlineStr">
        <is>
          <t>VÄSTERNORRLANDS LÄN</t>
        </is>
      </c>
      <c r="E14540" t="inlineStr">
        <is>
          <t>ÖRNSKÖLDSVIK</t>
        </is>
      </c>
      <c r="F14540" t="inlineStr">
        <is>
          <t>Holmen skog AB</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34900-2024</t>
        </is>
      </c>
      <c r="B14541" s="1" t="n">
        <v>45527</v>
      </c>
      <c r="C14541" s="1" t="n">
        <v>45657</v>
      </c>
      <c r="D14541" t="inlineStr">
        <is>
          <t>VÄSTERNORRLANDS LÄN</t>
        </is>
      </c>
      <c r="E14541" t="inlineStr">
        <is>
          <t>SUNDSVALL</t>
        </is>
      </c>
      <c r="F14541" t="inlineStr">
        <is>
          <t>Holmen skog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35050-2024</t>
        </is>
      </c>
      <c r="B14542" s="1" t="n">
        <v>45527</v>
      </c>
      <c r="C14542" s="1" t="n">
        <v>45657</v>
      </c>
      <c r="D14542" t="inlineStr">
        <is>
          <t>VÄSTERNORRLANDS LÄN</t>
        </is>
      </c>
      <c r="E14542" t="inlineStr">
        <is>
          <t>ÖRNSKÖLDSVIK</t>
        </is>
      </c>
      <c r="F14542" t="inlineStr">
        <is>
          <t>Holmen skog AB</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34981-2024</t>
        </is>
      </c>
      <c r="B14543" s="1" t="n">
        <v>45527</v>
      </c>
      <c r="C14543" s="1" t="n">
        <v>45657</v>
      </c>
      <c r="D14543" t="inlineStr">
        <is>
          <t>VÄSTERNORRLANDS LÄN</t>
        </is>
      </c>
      <c r="E14543" t="inlineStr">
        <is>
          <t>ÖRNSKÖLDSVIK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34977-2024</t>
        </is>
      </c>
      <c r="B14544" s="1" t="n">
        <v>45527</v>
      </c>
      <c r="C14544" s="1" t="n">
        <v>45657</v>
      </c>
      <c r="D14544" t="inlineStr">
        <is>
          <t>VÄSTERNORRLANDS LÄN</t>
        </is>
      </c>
      <c r="E14544" t="inlineStr">
        <is>
          <t>SUNDSVALL</t>
        </is>
      </c>
      <c r="F14544" t="inlineStr">
        <is>
          <t>Holmen skog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34973-2024</t>
        </is>
      </c>
      <c r="B14545" s="1" t="n">
        <v>45527</v>
      </c>
      <c r="C14545" s="1" t="n">
        <v>45657</v>
      </c>
      <c r="D14545" t="inlineStr">
        <is>
          <t>VÄSTERNORRLANDS LÄN</t>
        </is>
      </c>
      <c r="E14545" t="inlineStr">
        <is>
          <t>ÖRNSKÖLDSVIK</t>
        </is>
      </c>
      <c r="F14545" t="inlineStr">
        <is>
          <t>Holmen skog AB</t>
        </is>
      </c>
      <c r="G14545" t="n">
        <v>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34953-2024</t>
        </is>
      </c>
      <c r="B14546" s="1" t="n">
        <v>45527</v>
      </c>
      <c r="C14546" s="1" t="n">
        <v>45657</v>
      </c>
      <c r="D14546" t="inlineStr">
        <is>
          <t>VÄSTERNORRLANDS LÄN</t>
        </is>
      </c>
      <c r="E14546" t="inlineStr">
        <is>
          <t>ÖRNSKÖLDSVIK</t>
        </is>
      </c>
      <c r="F14546" t="inlineStr">
        <is>
          <t>Holmen skog AB</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34949-2024</t>
        </is>
      </c>
      <c r="B14547" s="1" t="n">
        <v>45527</v>
      </c>
      <c r="C14547" s="1" t="n">
        <v>45657</v>
      </c>
      <c r="D14547" t="inlineStr">
        <is>
          <t>VÄSTERNORRLANDS LÄN</t>
        </is>
      </c>
      <c r="E14547" t="inlineStr">
        <is>
          <t>ÖRNSKÖLDSVIK</t>
        </is>
      </c>
      <c r="F14547" t="inlineStr">
        <is>
          <t>Holmen skog AB</t>
        </is>
      </c>
      <c r="G14547" t="n">
        <v>5.7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34917-2024</t>
        </is>
      </c>
      <c r="B14548" s="1" t="n">
        <v>45527</v>
      </c>
      <c r="C14548" s="1" t="n">
        <v>45657</v>
      </c>
      <c r="D14548" t="inlineStr">
        <is>
          <t>VÄSTERNORRLANDS LÄN</t>
        </is>
      </c>
      <c r="E14548" t="inlineStr">
        <is>
          <t>ÖRNSKÖLDSVIK</t>
        </is>
      </c>
      <c r="G14548" t="n">
        <v>4.3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34905-2024</t>
        </is>
      </c>
      <c r="B14549" s="1" t="n">
        <v>45527</v>
      </c>
      <c r="C14549" s="1" t="n">
        <v>45657</v>
      </c>
      <c r="D14549" t="inlineStr">
        <is>
          <t>VÄSTERNORRLANDS LÄN</t>
        </is>
      </c>
      <c r="E14549" t="inlineStr">
        <is>
          <t>ÖRNSKÖLDSVIK</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34861-2024</t>
        </is>
      </c>
      <c r="B14550" s="1" t="n">
        <v>45527</v>
      </c>
      <c r="C14550" s="1" t="n">
        <v>45657</v>
      </c>
      <c r="D14550" t="inlineStr">
        <is>
          <t>VÄSTERNORRLANDS LÄN</t>
        </is>
      </c>
      <c r="E14550" t="inlineStr">
        <is>
          <t>ÅNGE</t>
        </is>
      </c>
      <c r="F14550" t="inlineStr">
        <is>
          <t>SCA</t>
        </is>
      </c>
      <c r="G14550" t="n">
        <v>9.1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35073-2024</t>
        </is>
      </c>
      <c r="B14551" s="1" t="n">
        <v>45527</v>
      </c>
      <c r="C14551" s="1" t="n">
        <v>45657</v>
      </c>
      <c r="D14551" t="inlineStr">
        <is>
          <t>VÄSTERNORRLANDS LÄN</t>
        </is>
      </c>
      <c r="E14551" t="inlineStr">
        <is>
          <t>ÖRNSKÖLDSVIK</t>
        </is>
      </c>
      <c r="F14551" t="inlineStr">
        <is>
          <t>Holmen skog AB</t>
        </is>
      </c>
      <c r="G14551" t="n">
        <v>10.3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34975-2024</t>
        </is>
      </c>
      <c r="B14552" s="1" t="n">
        <v>45527</v>
      </c>
      <c r="C14552" s="1" t="n">
        <v>45657</v>
      </c>
      <c r="D14552" t="inlineStr">
        <is>
          <t>VÄSTERNORRLANDS LÄN</t>
        </is>
      </c>
      <c r="E14552" t="inlineStr">
        <is>
          <t>ÖRNSKÖLDSVIK</t>
        </is>
      </c>
      <c r="F14552" t="inlineStr">
        <is>
          <t>Holmen skog AB</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34967-2024</t>
        </is>
      </c>
      <c r="B14553" s="1" t="n">
        <v>45527</v>
      </c>
      <c r="C14553" s="1" t="n">
        <v>45657</v>
      </c>
      <c r="D14553" t="inlineStr">
        <is>
          <t>VÄSTERNORRLANDS LÄN</t>
        </is>
      </c>
      <c r="E14553" t="inlineStr">
        <is>
          <t>KRAMFORS</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34875-2024</t>
        </is>
      </c>
      <c r="B14554" s="1" t="n">
        <v>45527</v>
      </c>
      <c r="C14554" s="1" t="n">
        <v>45657</v>
      </c>
      <c r="D14554" t="inlineStr">
        <is>
          <t>VÄSTERNORRLANDS LÄN</t>
        </is>
      </c>
      <c r="E14554" t="inlineStr">
        <is>
          <t>ÖRNSKÖLDSVIK</t>
        </is>
      </c>
      <c r="F14554" t="inlineStr">
        <is>
          <t>Holmen skog AB</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34859-2024</t>
        </is>
      </c>
      <c r="B14555" s="1" t="n">
        <v>45527</v>
      </c>
      <c r="C14555" s="1" t="n">
        <v>45657</v>
      </c>
      <c r="D14555" t="inlineStr">
        <is>
          <t>VÄSTERNORRLANDS LÄN</t>
        </is>
      </c>
      <c r="E14555" t="inlineStr">
        <is>
          <t>ÖRNSKÖLDSVIK</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35150-2024</t>
        </is>
      </c>
      <c r="B14556" s="1" t="n">
        <v>45530</v>
      </c>
      <c r="C14556" s="1" t="n">
        <v>45657</v>
      </c>
      <c r="D14556" t="inlineStr">
        <is>
          <t>VÄSTERNORRLANDS LÄN</t>
        </is>
      </c>
      <c r="E14556" t="inlineStr">
        <is>
          <t>ÖRNSKÖLDSVIK</t>
        </is>
      </c>
      <c r="F14556" t="inlineStr">
        <is>
          <t>Holmen skog AB</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35217-2024</t>
        </is>
      </c>
      <c r="B14557" s="1" t="n">
        <v>45530</v>
      </c>
      <c r="C14557" s="1" t="n">
        <v>45657</v>
      </c>
      <c r="D14557" t="inlineStr">
        <is>
          <t>VÄSTERNORRLANDS LÄN</t>
        </is>
      </c>
      <c r="E14557" t="inlineStr">
        <is>
          <t>SOLLEFTEÅ</t>
        </is>
      </c>
      <c r="F14557" t="inlineStr">
        <is>
          <t>Kommuner</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35237-2024</t>
        </is>
      </c>
      <c r="B14558" s="1" t="n">
        <v>45530</v>
      </c>
      <c r="C14558" s="1" t="n">
        <v>45657</v>
      </c>
      <c r="D14558" t="inlineStr">
        <is>
          <t>VÄSTERNORRLANDS LÄN</t>
        </is>
      </c>
      <c r="E14558" t="inlineStr">
        <is>
          <t>KRAMFORS</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35241-2024</t>
        </is>
      </c>
      <c r="B14559" s="1" t="n">
        <v>45530</v>
      </c>
      <c r="C14559" s="1" t="n">
        <v>45657</v>
      </c>
      <c r="D14559" t="inlineStr">
        <is>
          <t>VÄSTERNORRLANDS LÄN</t>
        </is>
      </c>
      <c r="E14559" t="inlineStr">
        <is>
          <t>KRAMFORS</t>
        </is>
      </c>
      <c r="G14559" t="n">
        <v>10.8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35257-2024</t>
        </is>
      </c>
      <c r="B14560" s="1" t="n">
        <v>45530</v>
      </c>
      <c r="C14560" s="1" t="n">
        <v>45657</v>
      </c>
      <c r="D14560" t="inlineStr">
        <is>
          <t>VÄSTERNORRLANDS LÄN</t>
        </is>
      </c>
      <c r="E14560" t="inlineStr">
        <is>
          <t>ÅNGE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35172-2024</t>
        </is>
      </c>
      <c r="B14561" s="1" t="n">
        <v>45530</v>
      </c>
      <c r="C14561" s="1" t="n">
        <v>45657</v>
      </c>
      <c r="D14561" t="inlineStr">
        <is>
          <t>VÄSTERNORRLANDS LÄN</t>
        </is>
      </c>
      <c r="E14561" t="inlineStr">
        <is>
          <t>KRAMFORS</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35174-2024</t>
        </is>
      </c>
      <c r="B14562" s="1" t="n">
        <v>45530</v>
      </c>
      <c r="C14562" s="1" t="n">
        <v>45657</v>
      </c>
      <c r="D14562" t="inlineStr">
        <is>
          <t>VÄSTERNORRLANDS LÄN</t>
        </is>
      </c>
      <c r="E14562" t="inlineStr">
        <is>
          <t>SUNDSVALL</t>
        </is>
      </c>
      <c r="F14562" t="inlineStr">
        <is>
          <t>Holmen skog AB</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35145-2024</t>
        </is>
      </c>
      <c r="B14563" s="1" t="n">
        <v>45530</v>
      </c>
      <c r="C14563" s="1" t="n">
        <v>45657</v>
      </c>
      <c r="D14563" t="inlineStr">
        <is>
          <t>VÄSTERNORRLANDS LÄN</t>
        </is>
      </c>
      <c r="E14563" t="inlineStr">
        <is>
          <t>SUNDSVALL</t>
        </is>
      </c>
      <c r="F14563" t="inlineStr">
        <is>
          <t>Holmen skog AB</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35223-2024</t>
        </is>
      </c>
      <c r="B14564" s="1" t="n">
        <v>45530</v>
      </c>
      <c r="C14564" s="1" t="n">
        <v>45657</v>
      </c>
      <c r="D14564" t="inlineStr">
        <is>
          <t>VÄSTERNORRLANDS LÄN</t>
        </is>
      </c>
      <c r="E14564" t="inlineStr">
        <is>
          <t>ÖRNSKÖLDSVIK</t>
        </is>
      </c>
      <c r="G14564" t="n">
        <v>10.4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35129-2024</t>
        </is>
      </c>
      <c r="B14565" s="1" t="n">
        <v>45530</v>
      </c>
      <c r="C14565" s="1" t="n">
        <v>45657</v>
      </c>
      <c r="D14565" t="inlineStr">
        <is>
          <t>VÄSTERNORRLANDS LÄN</t>
        </is>
      </c>
      <c r="E14565" t="inlineStr">
        <is>
          <t>ÖRNSKÖLDSVIK</t>
        </is>
      </c>
      <c r="F14565" t="inlineStr">
        <is>
          <t>Holmen skog AB</t>
        </is>
      </c>
      <c r="G14565" t="n">
        <v>13.4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35218-2024</t>
        </is>
      </c>
      <c r="B14566" s="1" t="n">
        <v>45530</v>
      </c>
      <c r="C14566" s="1" t="n">
        <v>45657</v>
      </c>
      <c r="D14566" t="inlineStr">
        <is>
          <t>VÄSTERNORRLANDS LÄN</t>
        </is>
      </c>
      <c r="E14566" t="inlineStr">
        <is>
          <t>SUNDSVALL</t>
        </is>
      </c>
      <c r="G14566" t="n">
        <v>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35234-2024</t>
        </is>
      </c>
      <c r="B14567" s="1" t="n">
        <v>45530</v>
      </c>
      <c r="C14567" s="1" t="n">
        <v>45657</v>
      </c>
      <c r="D14567" t="inlineStr">
        <is>
          <t>VÄSTERNORRLANDS LÄN</t>
        </is>
      </c>
      <c r="E14567" t="inlineStr">
        <is>
          <t>KRAMFORS</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35298-2024</t>
        </is>
      </c>
      <c r="B14568" s="1" t="n">
        <v>45530</v>
      </c>
      <c r="C14568" s="1" t="n">
        <v>45657</v>
      </c>
      <c r="D14568" t="inlineStr">
        <is>
          <t>VÄSTERNORRLANDS LÄN</t>
        </is>
      </c>
      <c r="E14568" t="inlineStr">
        <is>
          <t>ÖRNSKÖLDSVIK</t>
        </is>
      </c>
      <c r="F14568" t="inlineStr">
        <is>
          <t>Holmen skog AB</t>
        </is>
      </c>
      <c r="G14568" t="n">
        <v>9.1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35386-2024</t>
        </is>
      </c>
      <c r="B14569" s="1" t="n">
        <v>45531</v>
      </c>
      <c r="C14569" s="1" t="n">
        <v>45657</v>
      </c>
      <c r="D14569" t="inlineStr">
        <is>
          <t>VÄSTERNORRLANDS LÄN</t>
        </is>
      </c>
      <c r="E14569" t="inlineStr">
        <is>
          <t>HÄRNÖSAND</t>
        </is>
      </c>
      <c r="G14569" t="n">
        <v>6.5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35390-2024</t>
        </is>
      </c>
      <c r="B14570" s="1" t="n">
        <v>45531</v>
      </c>
      <c r="C14570" s="1" t="n">
        <v>45657</v>
      </c>
      <c r="D14570" t="inlineStr">
        <is>
          <t>VÄSTERNORRLANDS LÄN</t>
        </is>
      </c>
      <c r="E14570" t="inlineStr">
        <is>
          <t>ÅNGE</t>
        </is>
      </c>
      <c r="F14570" t="inlineStr">
        <is>
          <t>SCA</t>
        </is>
      </c>
      <c r="G14570" t="n">
        <v>8.6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35402-2024</t>
        </is>
      </c>
      <c r="B14571" s="1" t="n">
        <v>45531</v>
      </c>
      <c r="C14571" s="1" t="n">
        <v>45657</v>
      </c>
      <c r="D14571" t="inlineStr">
        <is>
          <t>VÄSTERNORRLANDS LÄN</t>
        </is>
      </c>
      <c r="E14571" t="inlineStr">
        <is>
          <t>ÅNGE</t>
        </is>
      </c>
      <c r="F14571" t="inlineStr">
        <is>
          <t>SCA</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35414-2024</t>
        </is>
      </c>
      <c r="B14572" s="1" t="n">
        <v>45531</v>
      </c>
      <c r="C14572" s="1" t="n">
        <v>45657</v>
      </c>
      <c r="D14572" t="inlineStr">
        <is>
          <t>VÄSTERNORRLANDS LÄN</t>
        </is>
      </c>
      <c r="E14572" t="inlineStr">
        <is>
          <t>ÅNGE</t>
        </is>
      </c>
      <c r="F14572" t="inlineStr">
        <is>
          <t>SCA</t>
        </is>
      </c>
      <c r="G14572" t="n">
        <v>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35426-2024</t>
        </is>
      </c>
      <c r="B14573" s="1" t="n">
        <v>45531</v>
      </c>
      <c r="C14573" s="1" t="n">
        <v>45657</v>
      </c>
      <c r="D14573" t="inlineStr">
        <is>
          <t>VÄSTERNORRLANDS LÄN</t>
        </is>
      </c>
      <c r="E14573" t="inlineStr">
        <is>
          <t>ÅNGE</t>
        </is>
      </c>
      <c r="F14573" t="inlineStr">
        <is>
          <t>SCA</t>
        </is>
      </c>
      <c r="G14573" t="n">
        <v>10.9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35582-2024</t>
        </is>
      </c>
      <c r="B14574" s="1" t="n">
        <v>45531</v>
      </c>
      <c r="C14574" s="1" t="n">
        <v>45657</v>
      </c>
      <c r="D14574" t="inlineStr">
        <is>
          <t>VÄSTERNORRLANDS LÄN</t>
        </is>
      </c>
      <c r="E14574" t="inlineStr">
        <is>
          <t>ÅNGE</t>
        </is>
      </c>
      <c r="G14574" t="n">
        <v>4.1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35359-2024</t>
        </is>
      </c>
      <c r="B14575" s="1" t="n">
        <v>45531</v>
      </c>
      <c r="C14575" s="1" t="n">
        <v>45657</v>
      </c>
      <c r="D14575" t="inlineStr">
        <is>
          <t>VÄSTERNORRLANDS LÄN</t>
        </is>
      </c>
      <c r="E14575" t="inlineStr">
        <is>
          <t>ÖRNSKÖLDSVIK</t>
        </is>
      </c>
      <c r="F14575" t="inlineStr">
        <is>
          <t>Holmen skog AB</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35389-2024</t>
        </is>
      </c>
      <c r="B14576" s="1" t="n">
        <v>45531</v>
      </c>
      <c r="C14576" s="1" t="n">
        <v>45657</v>
      </c>
      <c r="D14576" t="inlineStr">
        <is>
          <t>VÄSTERNORRLANDS LÄN</t>
        </is>
      </c>
      <c r="E14576" t="inlineStr">
        <is>
          <t>SUNDSVALL</t>
        </is>
      </c>
      <c r="F14576" t="inlineStr">
        <is>
          <t>SCA</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35387-2024</t>
        </is>
      </c>
      <c r="B14577" s="1" t="n">
        <v>45531</v>
      </c>
      <c r="C14577" s="1" t="n">
        <v>45657</v>
      </c>
      <c r="D14577" t="inlineStr">
        <is>
          <t>VÄSTERNORRLANDS LÄN</t>
        </is>
      </c>
      <c r="E14577" t="inlineStr">
        <is>
          <t>HÄRNÖSAND</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35391-2024</t>
        </is>
      </c>
      <c r="B14578" s="1" t="n">
        <v>45531</v>
      </c>
      <c r="C14578" s="1" t="n">
        <v>45657</v>
      </c>
      <c r="D14578" t="inlineStr">
        <is>
          <t>VÄSTERNORRLANDS LÄN</t>
        </is>
      </c>
      <c r="E14578" t="inlineStr">
        <is>
          <t>SOLLEFTEÅ</t>
        </is>
      </c>
      <c r="F14578" t="inlineStr">
        <is>
          <t>SCA</t>
        </is>
      </c>
      <c r="G14578" t="n">
        <v>5.6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35399-2024</t>
        </is>
      </c>
      <c r="B14579" s="1" t="n">
        <v>45531</v>
      </c>
      <c r="C14579" s="1" t="n">
        <v>45657</v>
      </c>
      <c r="D14579" t="inlineStr">
        <is>
          <t>VÄSTERNORRLANDS LÄN</t>
        </is>
      </c>
      <c r="E14579" t="inlineStr">
        <is>
          <t>ÅNGE</t>
        </is>
      </c>
      <c r="F14579" t="inlineStr">
        <is>
          <t>SCA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35401-2024</t>
        </is>
      </c>
      <c r="B14580" s="1" t="n">
        <v>45531</v>
      </c>
      <c r="C14580" s="1" t="n">
        <v>45657</v>
      </c>
      <c r="D14580" t="inlineStr">
        <is>
          <t>VÄSTERNORRLANDS LÄN</t>
        </is>
      </c>
      <c r="E14580" t="inlineStr">
        <is>
          <t>ÅNGE</t>
        </is>
      </c>
      <c r="F14580" t="inlineStr">
        <is>
          <t>SCA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35447-2024</t>
        </is>
      </c>
      <c r="B14581" s="1" t="n">
        <v>45531</v>
      </c>
      <c r="C14581" s="1" t="n">
        <v>45657</v>
      </c>
      <c r="D14581" t="inlineStr">
        <is>
          <t>VÄSTERNORRLANDS LÄN</t>
        </is>
      </c>
      <c r="E14581" t="inlineStr">
        <is>
          <t>HÄRNÖSAND</t>
        </is>
      </c>
      <c r="G14581" t="n">
        <v>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35417-2024</t>
        </is>
      </c>
      <c r="B14582" s="1" t="n">
        <v>45531</v>
      </c>
      <c r="C14582" s="1" t="n">
        <v>45657</v>
      </c>
      <c r="D14582" t="inlineStr">
        <is>
          <t>VÄSTERNORRLANDS LÄN</t>
        </is>
      </c>
      <c r="E14582" t="inlineStr">
        <is>
          <t>SOLLEFTEÅ</t>
        </is>
      </c>
      <c r="F14582" t="inlineStr">
        <is>
          <t>SCA</t>
        </is>
      </c>
      <c r="G14582" t="n">
        <v>4.1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35429-2024</t>
        </is>
      </c>
      <c r="B14583" s="1" t="n">
        <v>45531</v>
      </c>
      <c r="C14583" s="1" t="n">
        <v>45657</v>
      </c>
      <c r="D14583" t="inlineStr">
        <is>
          <t>VÄSTERNORRLANDS LÄN</t>
        </is>
      </c>
      <c r="E14583" t="inlineStr">
        <is>
          <t>ÅNGE</t>
        </is>
      </c>
      <c r="F14583" t="inlineStr">
        <is>
          <t>SCA</t>
        </is>
      </c>
      <c r="G14583" t="n">
        <v>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35469-2024</t>
        </is>
      </c>
      <c r="B14584" s="1" t="n">
        <v>45531</v>
      </c>
      <c r="C14584" s="1" t="n">
        <v>45657</v>
      </c>
      <c r="D14584" t="inlineStr">
        <is>
          <t>VÄSTERNORRLANDS LÄN</t>
        </is>
      </c>
      <c r="E14584" t="inlineStr">
        <is>
          <t>SOLLEFTEÅ</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35486-2024</t>
        </is>
      </c>
      <c r="B14585" s="1" t="n">
        <v>45531</v>
      </c>
      <c r="C14585" s="1" t="n">
        <v>45657</v>
      </c>
      <c r="D14585" t="inlineStr">
        <is>
          <t>VÄSTERNORRLANDS LÄN</t>
        </is>
      </c>
      <c r="E14585" t="inlineStr">
        <is>
          <t>KRAMFORS</t>
        </is>
      </c>
      <c r="G14585" t="n">
        <v>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35502-2024</t>
        </is>
      </c>
      <c r="B14586" s="1" t="n">
        <v>45531</v>
      </c>
      <c r="C14586" s="1" t="n">
        <v>45657</v>
      </c>
      <c r="D14586" t="inlineStr">
        <is>
          <t>VÄSTERNORRLANDS LÄN</t>
        </is>
      </c>
      <c r="E14586" t="inlineStr">
        <is>
          <t>SOLLEFTEÅ</t>
        </is>
      </c>
      <c r="F14586" t="inlineStr">
        <is>
          <t>Övriga Aktiebolag</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35553-2024</t>
        </is>
      </c>
      <c r="B14587" s="1" t="n">
        <v>45531</v>
      </c>
      <c r="C14587" s="1" t="n">
        <v>45657</v>
      </c>
      <c r="D14587" t="inlineStr">
        <is>
          <t>VÄSTERNORRLANDS LÄN</t>
        </is>
      </c>
      <c r="E14587" t="inlineStr">
        <is>
          <t>ÖRNSKÖLDSVIK</t>
        </is>
      </c>
      <c r="F14587" t="inlineStr">
        <is>
          <t>Holmen skog AB</t>
        </is>
      </c>
      <c r="G14587" t="n">
        <v>6.5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35388-2024</t>
        </is>
      </c>
      <c r="B14588" s="1" t="n">
        <v>45531</v>
      </c>
      <c r="C14588" s="1" t="n">
        <v>45657</v>
      </c>
      <c r="D14588" t="inlineStr">
        <is>
          <t>VÄSTERNORRLANDS LÄN</t>
        </is>
      </c>
      <c r="E14588" t="inlineStr">
        <is>
          <t>ÖRNSKÖLDSVIK</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35392-2024</t>
        </is>
      </c>
      <c r="B14589" s="1" t="n">
        <v>45531</v>
      </c>
      <c r="C14589" s="1" t="n">
        <v>45657</v>
      </c>
      <c r="D14589" t="inlineStr">
        <is>
          <t>VÄSTERNORRLANDS LÄN</t>
        </is>
      </c>
      <c r="E14589" t="inlineStr">
        <is>
          <t>ÅNGE</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35420-2024</t>
        </is>
      </c>
      <c r="B14590" s="1" t="n">
        <v>45531</v>
      </c>
      <c r="C14590" s="1" t="n">
        <v>45657</v>
      </c>
      <c r="D14590" t="inlineStr">
        <is>
          <t>VÄSTERNORRLANDS LÄN</t>
        </is>
      </c>
      <c r="E14590" t="inlineStr">
        <is>
          <t>SOLLEFTEÅ</t>
        </is>
      </c>
      <c r="F14590" t="inlineStr">
        <is>
          <t>SCA</t>
        </is>
      </c>
      <c r="G14590" t="n">
        <v>9.1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35472-2024</t>
        </is>
      </c>
      <c r="B14591" s="1" t="n">
        <v>45531</v>
      </c>
      <c r="C14591" s="1" t="n">
        <v>45657</v>
      </c>
      <c r="D14591" t="inlineStr">
        <is>
          <t>VÄSTERNORRLANDS LÄN</t>
        </is>
      </c>
      <c r="E14591" t="inlineStr">
        <is>
          <t>ÖRNSKÖLDSVIK</t>
        </is>
      </c>
      <c r="F14591" t="inlineStr">
        <is>
          <t>Holmen skog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35476-2024</t>
        </is>
      </c>
      <c r="B14592" s="1" t="n">
        <v>45531</v>
      </c>
      <c r="C14592" s="1" t="n">
        <v>45657</v>
      </c>
      <c r="D14592" t="inlineStr">
        <is>
          <t>VÄSTERNORRLANDS LÄN</t>
        </is>
      </c>
      <c r="E14592" t="inlineStr">
        <is>
          <t>ÖRNSKÖLDSVIK</t>
        </is>
      </c>
      <c r="F14592" t="inlineStr">
        <is>
          <t>Holmen skog AB</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35485-2024</t>
        </is>
      </c>
      <c r="B14593" s="1" t="n">
        <v>45531</v>
      </c>
      <c r="C14593" s="1" t="n">
        <v>45657</v>
      </c>
      <c r="D14593" t="inlineStr">
        <is>
          <t>VÄSTERNORRLANDS LÄN</t>
        </is>
      </c>
      <c r="E14593" t="inlineStr">
        <is>
          <t>KRAMFORS</t>
        </is>
      </c>
      <c r="G14593" t="n">
        <v>12.8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35509-2024</t>
        </is>
      </c>
      <c r="B14594" s="1" t="n">
        <v>45531</v>
      </c>
      <c r="C14594" s="1" t="n">
        <v>45657</v>
      </c>
      <c r="D14594" t="inlineStr">
        <is>
          <t>VÄSTERNORRLANDS LÄN</t>
        </is>
      </c>
      <c r="E14594" t="inlineStr">
        <is>
          <t>SOLLEFTEÅ</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35513-2024</t>
        </is>
      </c>
      <c r="B14595" s="1" t="n">
        <v>45531</v>
      </c>
      <c r="C14595" s="1" t="n">
        <v>45657</v>
      </c>
      <c r="D14595" t="inlineStr">
        <is>
          <t>VÄSTERNORRLANDS LÄN</t>
        </is>
      </c>
      <c r="E14595" t="inlineStr">
        <is>
          <t>SOLLEFTEÅ</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35527-2024</t>
        </is>
      </c>
      <c r="B14596" s="1" t="n">
        <v>45531</v>
      </c>
      <c r="C14596" s="1" t="n">
        <v>45657</v>
      </c>
      <c r="D14596" t="inlineStr">
        <is>
          <t>VÄSTERNORRLANDS LÄN</t>
        </is>
      </c>
      <c r="E14596" t="inlineStr">
        <is>
          <t>ÖRNSKÖLDSVIK</t>
        </is>
      </c>
      <c r="F14596" t="inlineStr">
        <is>
          <t>Holmen skog AB</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35568-2024</t>
        </is>
      </c>
      <c r="B14597" s="1" t="n">
        <v>45531</v>
      </c>
      <c r="C14597" s="1" t="n">
        <v>45657</v>
      </c>
      <c r="D14597" t="inlineStr">
        <is>
          <t>VÄSTERNORRLANDS LÄN</t>
        </is>
      </c>
      <c r="E14597" t="inlineStr">
        <is>
          <t>ÖRNSKÖLDSVIK</t>
        </is>
      </c>
      <c r="F14597" t="inlineStr">
        <is>
          <t>Holmen skog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35455-2024</t>
        </is>
      </c>
      <c r="B14598" s="1" t="n">
        <v>45531</v>
      </c>
      <c r="C14598" s="1" t="n">
        <v>45657</v>
      </c>
      <c r="D14598" t="inlineStr">
        <is>
          <t>VÄSTERNORRLANDS LÄN</t>
        </is>
      </c>
      <c r="E14598" t="inlineStr">
        <is>
          <t>ÖRNSKÖLDSVIK</t>
        </is>
      </c>
      <c r="F14598" t="inlineStr">
        <is>
          <t>Holmen skog AB</t>
        </is>
      </c>
      <c r="G14598" t="n">
        <v>3.8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35463-2024</t>
        </is>
      </c>
      <c r="B14599" s="1" t="n">
        <v>45531</v>
      </c>
      <c r="C14599" s="1" t="n">
        <v>45657</v>
      </c>
      <c r="D14599" t="inlineStr">
        <is>
          <t>VÄSTERNORRLANDS LÄN</t>
        </is>
      </c>
      <c r="E14599" t="inlineStr">
        <is>
          <t>SOLLEFTEÅ</t>
        </is>
      </c>
      <c r="G14599" t="n">
        <v>5.6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35488-2024</t>
        </is>
      </c>
      <c r="B14600" s="1" t="n">
        <v>45531</v>
      </c>
      <c r="C14600" s="1" t="n">
        <v>45657</v>
      </c>
      <c r="D14600" t="inlineStr">
        <is>
          <t>VÄSTERNORRLANDS LÄN</t>
        </is>
      </c>
      <c r="E14600" t="inlineStr">
        <is>
          <t>ÅNGE</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35508-2024</t>
        </is>
      </c>
      <c r="B14601" s="1" t="n">
        <v>45531</v>
      </c>
      <c r="C14601" s="1" t="n">
        <v>45657</v>
      </c>
      <c r="D14601" t="inlineStr">
        <is>
          <t>VÄSTERNORRLANDS LÄN</t>
        </is>
      </c>
      <c r="E14601" t="inlineStr">
        <is>
          <t>SOLLEFTEÅ</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35551-2024</t>
        </is>
      </c>
      <c r="B14602" s="1" t="n">
        <v>45531</v>
      </c>
      <c r="C14602" s="1" t="n">
        <v>45657</v>
      </c>
      <c r="D14602" t="inlineStr">
        <is>
          <t>VÄSTERNORRLANDS LÄN</t>
        </is>
      </c>
      <c r="E14602" t="inlineStr">
        <is>
          <t>ÖRNSKÖLDSVIK</t>
        </is>
      </c>
      <c r="F14602" t="inlineStr">
        <is>
          <t>Holmen skog AB</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35577-2024</t>
        </is>
      </c>
      <c r="B14603" s="1" t="n">
        <v>45531</v>
      </c>
      <c r="C14603" s="1" t="n">
        <v>45657</v>
      </c>
      <c r="D14603" t="inlineStr">
        <is>
          <t>VÄSTERNORRLANDS LÄN</t>
        </is>
      </c>
      <c r="E14603" t="inlineStr">
        <is>
          <t>ÅNGE</t>
        </is>
      </c>
      <c r="F14603" t="inlineStr">
        <is>
          <t>SCA</t>
        </is>
      </c>
      <c r="G14603" t="n">
        <v>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35581-2024</t>
        </is>
      </c>
      <c r="B14604" s="1" t="n">
        <v>45531</v>
      </c>
      <c r="C14604" s="1" t="n">
        <v>45657</v>
      </c>
      <c r="D14604" t="inlineStr">
        <is>
          <t>VÄSTERNORRLANDS LÄN</t>
        </is>
      </c>
      <c r="E14604" t="inlineStr">
        <is>
          <t>ÅNGE</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35593-2024</t>
        </is>
      </c>
      <c r="B14605" s="1" t="n">
        <v>45531</v>
      </c>
      <c r="C14605" s="1" t="n">
        <v>45657</v>
      </c>
      <c r="D14605" t="inlineStr">
        <is>
          <t>VÄSTERNORRLANDS LÄN</t>
        </is>
      </c>
      <c r="E14605" t="inlineStr">
        <is>
          <t>ÅNGE</t>
        </is>
      </c>
      <c r="G14605" t="n">
        <v>17.6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35579-2024</t>
        </is>
      </c>
      <c r="B14606" s="1" t="n">
        <v>45531</v>
      </c>
      <c r="C14606" s="1" t="n">
        <v>45657</v>
      </c>
      <c r="D14606" t="inlineStr">
        <is>
          <t>VÄSTERNORRLANDS LÄN</t>
        </is>
      </c>
      <c r="E14606" t="inlineStr">
        <is>
          <t>ÅNGE</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35595-2024</t>
        </is>
      </c>
      <c r="B14607" s="1" t="n">
        <v>45531</v>
      </c>
      <c r="C14607" s="1" t="n">
        <v>45657</v>
      </c>
      <c r="D14607" t="inlineStr">
        <is>
          <t>VÄSTERNORRLANDS LÄN</t>
        </is>
      </c>
      <c r="E14607" t="inlineStr">
        <is>
          <t>HÄRNÖSAND</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35619-2024</t>
        </is>
      </c>
      <c r="B14608" s="1" t="n">
        <v>45531</v>
      </c>
      <c r="C14608" s="1" t="n">
        <v>45657</v>
      </c>
      <c r="D14608" t="inlineStr">
        <is>
          <t>VÄSTERNORRLANDS LÄN</t>
        </is>
      </c>
      <c r="E14608" t="inlineStr">
        <is>
          <t>ÖRNSKÖLDSVIK</t>
        </is>
      </c>
      <c r="G14608" t="n">
        <v>14.1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35576-2024</t>
        </is>
      </c>
      <c r="B14609" s="1" t="n">
        <v>45531</v>
      </c>
      <c r="C14609" s="1" t="n">
        <v>45657</v>
      </c>
      <c r="D14609" t="inlineStr">
        <is>
          <t>VÄSTERNORRLANDS LÄN</t>
        </is>
      </c>
      <c r="E14609" t="inlineStr">
        <is>
          <t>ÅNGE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35580-2024</t>
        </is>
      </c>
      <c r="B14610" s="1" t="n">
        <v>45531</v>
      </c>
      <c r="C14610" s="1" t="n">
        <v>45657</v>
      </c>
      <c r="D14610" t="inlineStr">
        <is>
          <t>VÄSTERNORRLANDS LÄN</t>
        </is>
      </c>
      <c r="E14610" t="inlineStr">
        <is>
          <t>ÅNGE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35592-2024</t>
        </is>
      </c>
      <c r="B14611" s="1" t="n">
        <v>45531</v>
      </c>
      <c r="C14611" s="1" t="n">
        <v>45657</v>
      </c>
      <c r="D14611" t="inlineStr">
        <is>
          <t>VÄSTERNORRLANDS LÄN</t>
        </is>
      </c>
      <c r="E14611" t="inlineStr">
        <is>
          <t>ÅNGE</t>
        </is>
      </c>
      <c r="F14611" t="inlineStr">
        <is>
          <t>SCA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35596-2024</t>
        </is>
      </c>
      <c r="B14612" s="1" t="n">
        <v>45531</v>
      </c>
      <c r="C14612" s="1" t="n">
        <v>45657</v>
      </c>
      <c r="D14612" t="inlineStr">
        <is>
          <t>VÄSTERNORRLANDS LÄN</t>
        </is>
      </c>
      <c r="E14612" t="inlineStr">
        <is>
          <t>ÅNGE</t>
        </is>
      </c>
      <c r="F14612" t="inlineStr">
        <is>
          <t>SCA</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35618-2024</t>
        </is>
      </c>
      <c r="B14613" s="1" t="n">
        <v>45531</v>
      </c>
      <c r="C14613" s="1" t="n">
        <v>45657</v>
      </c>
      <c r="D14613" t="inlineStr">
        <is>
          <t>VÄSTERNORRLANDS LÄN</t>
        </is>
      </c>
      <c r="E14613" t="inlineStr">
        <is>
          <t>ÖRNSKÖLDSVIK</t>
        </is>
      </c>
      <c r="G14613" t="n">
        <v>13.1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35674-2024</t>
        </is>
      </c>
      <c r="B14614" s="1" t="n">
        <v>45532</v>
      </c>
      <c r="C14614" s="1" t="n">
        <v>45657</v>
      </c>
      <c r="D14614" t="inlineStr">
        <is>
          <t>VÄSTERNORRLANDS LÄN</t>
        </is>
      </c>
      <c r="E14614" t="inlineStr">
        <is>
          <t>ÅNGE</t>
        </is>
      </c>
      <c r="F14614" t="inlineStr">
        <is>
          <t>SCA</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35682-2024</t>
        </is>
      </c>
      <c r="B14615" s="1" t="n">
        <v>45532</v>
      </c>
      <c r="C14615" s="1" t="n">
        <v>45657</v>
      </c>
      <c r="D14615" t="inlineStr">
        <is>
          <t>VÄSTERNORRLANDS LÄN</t>
        </is>
      </c>
      <c r="E14615" t="inlineStr">
        <is>
          <t>SUNDSVALL</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35650-2024</t>
        </is>
      </c>
      <c r="B14616" s="1" t="n">
        <v>45532</v>
      </c>
      <c r="C14616" s="1" t="n">
        <v>45657</v>
      </c>
      <c r="D14616" t="inlineStr">
        <is>
          <t>VÄSTERNORRLANDS LÄN</t>
        </is>
      </c>
      <c r="E14616" t="inlineStr">
        <is>
          <t>ÅNGE</t>
        </is>
      </c>
      <c r="G14616" t="n">
        <v>3.8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35735-2024</t>
        </is>
      </c>
      <c r="B14617" s="1" t="n">
        <v>45532</v>
      </c>
      <c r="C14617" s="1" t="n">
        <v>45657</v>
      </c>
      <c r="D14617" t="inlineStr">
        <is>
          <t>VÄSTERNORRLANDS LÄN</t>
        </is>
      </c>
      <c r="E14617" t="inlineStr">
        <is>
          <t>SUNDSVALL</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35776-2024</t>
        </is>
      </c>
      <c r="B14618" s="1" t="n">
        <v>45532</v>
      </c>
      <c r="C14618" s="1" t="n">
        <v>45657</v>
      </c>
      <c r="D14618" t="inlineStr">
        <is>
          <t>VÄSTERNORRLANDS LÄN</t>
        </is>
      </c>
      <c r="E14618" t="inlineStr">
        <is>
          <t>ÖRNSKÖLDSVIK</t>
        </is>
      </c>
      <c r="F14618" t="inlineStr">
        <is>
          <t>Holmen skog AB</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35759-2024</t>
        </is>
      </c>
      <c r="B14619" s="1" t="n">
        <v>45532</v>
      </c>
      <c r="C14619" s="1" t="n">
        <v>45657</v>
      </c>
      <c r="D14619" t="inlineStr">
        <is>
          <t>VÄSTERNORRLANDS LÄN</t>
        </is>
      </c>
      <c r="E14619" t="inlineStr">
        <is>
          <t>ÖRNSKÖLDSVIK</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35673-2024</t>
        </is>
      </c>
      <c r="B14620" s="1" t="n">
        <v>45532</v>
      </c>
      <c r="C14620" s="1" t="n">
        <v>45657</v>
      </c>
      <c r="D14620" t="inlineStr">
        <is>
          <t>VÄSTERNORRLANDS LÄN</t>
        </is>
      </c>
      <c r="E14620" t="inlineStr">
        <is>
          <t>SOLLEFTEÅ</t>
        </is>
      </c>
      <c r="F14620" t="inlineStr">
        <is>
          <t>SCA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35758-2024</t>
        </is>
      </c>
      <c r="B14621" s="1" t="n">
        <v>45532</v>
      </c>
      <c r="C14621" s="1" t="n">
        <v>45657</v>
      </c>
      <c r="D14621" t="inlineStr">
        <is>
          <t>VÄSTERNORRLANDS LÄN</t>
        </is>
      </c>
      <c r="E14621" t="inlineStr">
        <is>
          <t>SUNDSVALL</t>
        </is>
      </c>
      <c r="G14621" t="n">
        <v>9.4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35794-2024</t>
        </is>
      </c>
      <c r="B14622" s="1" t="n">
        <v>45532</v>
      </c>
      <c r="C14622" s="1" t="n">
        <v>45657</v>
      </c>
      <c r="D14622" t="inlineStr">
        <is>
          <t>VÄSTERNORRLANDS LÄN</t>
        </is>
      </c>
      <c r="E14622" t="inlineStr">
        <is>
          <t>SOLLEFTEÅ</t>
        </is>
      </c>
      <c r="F14622" t="inlineStr">
        <is>
          <t>SCA</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35795-2024</t>
        </is>
      </c>
      <c r="B14623" s="1" t="n">
        <v>45532</v>
      </c>
      <c r="C14623" s="1" t="n">
        <v>45657</v>
      </c>
      <c r="D14623" t="inlineStr">
        <is>
          <t>VÄSTERNORRLANDS LÄN</t>
        </is>
      </c>
      <c r="E14623" t="inlineStr">
        <is>
          <t>SOLLEFTEÅ</t>
        </is>
      </c>
      <c r="F14623" t="inlineStr">
        <is>
          <t>SCA</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35803-2024</t>
        </is>
      </c>
      <c r="B14624" s="1" t="n">
        <v>45532</v>
      </c>
      <c r="C14624" s="1" t="n">
        <v>45657</v>
      </c>
      <c r="D14624" t="inlineStr">
        <is>
          <t>VÄSTERNORRLANDS LÄN</t>
        </is>
      </c>
      <c r="E14624" t="inlineStr">
        <is>
          <t>SOLLEFTEÅ</t>
        </is>
      </c>
      <c r="F14624" t="inlineStr">
        <is>
          <t>SCA</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35815-2024</t>
        </is>
      </c>
      <c r="B14625" s="1" t="n">
        <v>45532</v>
      </c>
      <c r="C14625" s="1" t="n">
        <v>45657</v>
      </c>
      <c r="D14625" t="inlineStr">
        <is>
          <t>VÄSTERNORRLANDS LÄN</t>
        </is>
      </c>
      <c r="E14625" t="inlineStr">
        <is>
          <t>ÖRNSKÖLDSVIK</t>
        </is>
      </c>
      <c r="G14625" t="n">
        <v>19.7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35823-2024</t>
        </is>
      </c>
      <c r="B14626" s="1" t="n">
        <v>45532</v>
      </c>
      <c r="C14626" s="1" t="n">
        <v>45657</v>
      </c>
      <c r="D14626" t="inlineStr">
        <is>
          <t>VÄSTERNORRLANDS LÄN</t>
        </is>
      </c>
      <c r="E14626" t="inlineStr">
        <is>
          <t>ÖRNSKÖLDSVIK</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35827-2024</t>
        </is>
      </c>
      <c r="B14627" s="1" t="n">
        <v>45532</v>
      </c>
      <c r="C14627" s="1" t="n">
        <v>45657</v>
      </c>
      <c r="D14627" t="inlineStr">
        <is>
          <t>VÄSTERNORRLANDS LÄN</t>
        </is>
      </c>
      <c r="E14627" t="inlineStr">
        <is>
          <t>SOLLEFTEÅ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35824-2024</t>
        </is>
      </c>
      <c r="B14628" s="1" t="n">
        <v>45532</v>
      </c>
      <c r="C14628" s="1" t="n">
        <v>45657</v>
      </c>
      <c r="D14628" t="inlineStr">
        <is>
          <t>VÄSTERNORRLANDS LÄN</t>
        </is>
      </c>
      <c r="E14628" t="inlineStr">
        <is>
          <t>ÖRNSKÖLDSVIK</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35826-2024</t>
        </is>
      </c>
      <c r="B14629" s="1" t="n">
        <v>45532</v>
      </c>
      <c r="C14629" s="1" t="n">
        <v>45657</v>
      </c>
      <c r="D14629" t="inlineStr">
        <is>
          <t>VÄSTERNORRLANDS LÄN</t>
        </is>
      </c>
      <c r="E14629" t="inlineStr">
        <is>
          <t>SUNDSVALL</t>
        </is>
      </c>
      <c r="F14629" t="inlineStr">
        <is>
          <t>SCA</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35672-2024</t>
        </is>
      </c>
      <c r="B14630" s="1" t="n">
        <v>45532</v>
      </c>
      <c r="C14630" s="1" t="n">
        <v>45657</v>
      </c>
      <c r="D14630" t="inlineStr">
        <is>
          <t>VÄSTERNORRLANDS LÄN</t>
        </is>
      </c>
      <c r="E14630" t="inlineStr">
        <is>
          <t>ÅNGE</t>
        </is>
      </c>
      <c r="F14630" t="inlineStr">
        <is>
          <t>SCA</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35761-2024</t>
        </is>
      </c>
      <c r="B14631" s="1" t="n">
        <v>45532</v>
      </c>
      <c r="C14631" s="1" t="n">
        <v>45657</v>
      </c>
      <c r="D14631" t="inlineStr">
        <is>
          <t>VÄSTERNORRLANDS LÄN</t>
        </is>
      </c>
      <c r="E14631" t="inlineStr">
        <is>
          <t>ÖRNSKÖLDSVIK</t>
        </is>
      </c>
      <c r="G14631" t="n">
        <v>0.2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35793-2024</t>
        </is>
      </c>
      <c r="B14632" s="1" t="n">
        <v>45532</v>
      </c>
      <c r="C14632" s="1" t="n">
        <v>45657</v>
      </c>
      <c r="D14632" t="inlineStr">
        <is>
          <t>VÄSTERNORRLANDS LÄN</t>
        </is>
      </c>
      <c r="E14632" t="inlineStr">
        <is>
          <t>SOLLEFTEÅ</t>
        </is>
      </c>
      <c r="F14632" t="inlineStr">
        <is>
          <t>SCA</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35825-2024</t>
        </is>
      </c>
      <c r="B14633" s="1" t="n">
        <v>45532</v>
      </c>
      <c r="C14633" s="1" t="n">
        <v>45657</v>
      </c>
      <c r="D14633" t="inlineStr">
        <is>
          <t>VÄSTERNORRLANDS LÄN</t>
        </is>
      </c>
      <c r="E14633" t="inlineStr">
        <is>
          <t>SUNDSVALL</t>
        </is>
      </c>
      <c r="F14633" t="inlineStr">
        <is>
          <t>SCA</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35873-2024</t>
        </is>
      </c>
      <c r="B14634" s="1" t="n">
        <v>45533</v>
      </c>
      <c r="C14634" s="1" t="n">
        <v>45657</v>
      </c>
      <c r="D14634" t="inlineStr">
        <is>
          <t>VÄSTERNORRLANDS LÄN</t>
        </is>
      </c>
      <c r="E14634" t="inlineStr">
        <is>
          <t>SOLLEFTEÅ</t>
        </is>
      </c>
      <c r="F14634" t="inlineStr">
        <is>
          <t>SCA</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35885-2024</t>
        </is>
      </c>
      <c r="B14635" s="1" t="n">
        <v>45533</v>
      </c>
      <c r="C14635" s="1" t="n">
        <v>45657</v>
      </c>
      <c r="D14635" t="inlineStr">
        <is>
          <t>VÄSTERNORRLANDS LÄN</t>
        </is>
      </c>
      <c r="E14635" t="inlineStr">
        <is>
          <t>SUNDSVALL</t>
        </is>
      </c>
      <c r="G14635" t="n">
        <v>9.199999999999999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35905-2024</t>
        </is>
      </c>
      <c r="B14636" s="1" t="n">
        <v>45533</v>
      </c>
      <c r="C14636" s="1" t="n">
        <v>45657</v>
      </c>
      <c r="D14636" t="inlineStr">
        <is>
          <t>VÄSTERNORRLANDS LÄN</t>
        </is>
      </c>
      <c r="E14636" t="inlineStr">
        <is>
          <t>SOLLEFTEÅ</t>
        </is>
      </c>
      <c r="F14636" t="inlineStr">
        <is>
          <t>SCA</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35872-2024</t>
        </is>
      </c>
      <c r="B14637" s="1" t="n">
        <v>45533</v>
      </c>
      <c r="C14637" s="1" t="n">
        <v>45657</v>
      </c>
      <c r="D14637" t="inlineStr">
        <is>
          <t>VÄSTERNORRLANDS LÄN</t>
        </is>
      </c>
      <c r="E14637" t="inlineStr">
        <is>
          <t>SOLLEFTEÅ</t>
        </is>
      </c>
      <c r="F14637" t="inlineStr">
        <is>
          <t>SCA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35871-2024</t>
        </is>
      </c>
      <c r="B14638" s="1" t="n">
        <v>45533</v>
      </c>
      <c r="C14638" s="1" t="n">
        <v>45657</v>
      </c>
      <c r="D14638" t="inlineStr">
        <is>
          <t>VÄSTERNORRLANDS LÄN</t>
        </is>
      </c>
      <c r="E14638" t="inlineStr">
        <is>
          <t>KRAMFORS</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35875-2024</t>
        </is>
      </c>
      <c r="B14639" s="1" t="n">
        <v>45533</v>
      </c>
      <c r="C14639" s="1" t="n">
        <v>45657</v>
      </c>
      <c r="D14639" t="inlineStr">
        <is>
          <t>VÄSTERNORRLANDS LÄN</t>
        </is>
      </c>
      <c r="E14639" t="inlineStr">
        <is>
          <t>SOLLEFTEÅ</t>
        </is>
      </c>
      <c r="F14639" t="inlineStr">
        <is>
          <t>SCA</t>
        </is>
      </c>
      <c r="G14639" t="n">
        <v>10.4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35898-2024</t>
        </is>
      </c>
      <c r="B14640" s="1" t="n">
        <v>45533</v>
      </c>
      <c r="C14640" s="1" t="n">
        <v>45657</v>
      </c>
      <c r="D14640" t="inlineStr">
        <is>
          <t>VÄSTERNORRLANDS LÄN</t>
        </is>
      </c>
      <c r="E14640" t="inlineStr">
        <is>
          <t>HÄRNÖSAND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35979-2024</t>
        </is>
      </c>
      <c r="B14641" s="1" t="n">
        <v>45533</v>
      </c>
      <c r="C14641" s="1" t="n">
        <v>45657</v>
      </c>
      <c r="D14641" t="inlineStr">
        <is>
          <t>VÄSTERNORRLANDS LÄN</t>
        </is>
      </c>
      <c r="E14641" t="inlineStr">
        <is>
          <t>ÅNGE</t>
        </is>
      </c>
      <c r="F14641" t="inlineStr">
        <is>
          <t>Kyrkan</t>
        </is>
      </c>
      <c r="G14641" t="n">
        <v>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36039-2024</t>
        </is>
      </c>
      <c r="B14642" s="1" t="n">
        <v>45533</v>
      </c>
      <c r="C14642" s="1" t="n">
        <v>45657</v>
      </c>
      <c r="D14642" t="inlineStr">
        <is>
          <t>VÄSTERNORRLANDS LÄN</t>
        </is>
      </c>
      <c r="E14642" t="inlineStr">
        <is>
          <t>SOLLEFTEÅ</t>
        </is>
      </c>
      <c r="F14642" t="inlineStr">
        <is>
          <t>Holmen skog AB</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35941-2024</t>
        </is>
      </c>
      <c r="B14643" s="1" t="n">
        <v>45533</v>
      </c>
      <c r="C14643" s="1" t="n">
        <v>45657</v>
      </c>
      <c r="D14643" t="inlineStr">
        <is>
          <t>VÄSTERNORRLANDS LÄN</t>
        </is>
      </c>
      <c r="E14643" t="inlineStr">
        <is>
          <t>ÖRNSKÖLDSVIK</t>
        </is>
      </c>
      <c r="F14643" t="inlineStr">
        <is>
          <t>Holmen skog AB</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36009-2024</t>
        </is>
      </c>
      <c r="B14644" s="1" t="n">
        <v>45533</v>
      </c>
      <c r="C14644" s="1" t="n">
        <v>45657</v>
      </c>
      <c r="D14644" t="inlineStr">
        <is>
          <t>VÄSTERNORRLANDS LÄN</t>
        </is>
      </c>
      <c r="E14644" t="inlineStr">
        <is>
          <t>SOLLEFTEÅ</t>
        </is>
      </c>
      <c r="F14644" t="inlineStr">
        <is>
          <t>Holmen skog AB</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35945-2024</t>
        </is>
      </c>
      <c r="B14645" s="1" t="n">
        <v>45533</v>
      </c>
      <c r="C14645" s="1" t="n">
        <v>45657</v>
      </c>
      <c r="D14645" t="inlineStr">
        <is>
          <t>VÄSTERNORRLANDS LÄN</t>
        </is>
      </c>
      <c r="E14645" t="inlineStr">
        <is>
          <t>ÖRNSKÖLDSVIK</t>
        </is>
      </c>
      <c r="F14645" t="inlineStr">
        <is>
          <t>Holmen skog AB</t>
        </is>
      </c>
      <c r="G14645" t="n">
        <v>5.9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36004-2024</t>
        </is>
      </c>
      <c r="B14646" s="1" t="n">
        <v>45533</v>
      </c>
      <c r="C14646" s="1" t="n">
        <v>45657</v>
      </c>
      <c r="D14646" t="inlineStr">
        <is>
          <t>VÄSTERNORRLANDS LÄN</t>
        </is>
      </c>
      <c r="E14646" t="inlineStr">
        <is>
          <t>SOLLEFTEÅ</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36044-2024</t>
        </is>
      </c>
      <c r="B14647" s="1" t="n">
        <v>45533</v>
      </c>
      <c r="C14647" s="1" t="n">
        <v>45657</v>
      </c>
      <c r="D14647" t="inlineStr">
        <is>
          <t>VÄSTERNORRLANDS LÄN</t>
        </is>
      </c>
      <c r="E14647" t="inlineStr">
        <is>
          <t>ÖRNSKÖLDSVIK</t>
        </is>
      </c>
      <c r="G14647" t="n">
        <v>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36085-2024</t>
        </is>
      </c>
      <c r="B14648" s="1" t="n">
        <v>45533</v>
      </c>
      <c r="C14648" s="1" t="n">
        <v>45657</v>
      </c>
      <c r="D14648" t="inlineStr">
        <is>
          <t>VÄSTERNORRLANDS LÄN</t>
        </is>
      </c>
      <c r="E14648" t="inlineStr">
        <is>
          <t>ÖRNSKÖLDSVIK</t>
        </is>
      </c>
      <c r="F14648" t="inlineStr">
        <is>
          <t>Holmen skog AB</t>
        </is>
      </c>
      <c r="G14648" t="n">
        <v>8.6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36101-2024</t>
        </is>
      </c>
      <c r="B14649" s="1" t="n">
        <v>45533</v>
      </c>
      <c r="C14649" s="1" t="n">
        <v>45657</v>
      </c>
      <c r="D14649" t="inlineStr">
        <is>
          <t>VÄSTERNORRLANDS LÄN</t>
        </is>
      </c>
      <c r="E14649" t="inlineStr">
        <is>
          <t>SUNDSVALL</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36137-2024</t>
        </is>
      </c>
      <c r="B14650" s="1" t="n">
        <v>45534</v>
      </c>
      <c r="C14650" s="1" t="n">
        <v>45657</v>
      </c>
      <c r="D14650" t="inlineStr">
        <is>
          <t>VÄSTERNORRLANDS LÄN</t>
        </is>
      </c>
      <c r="E14650" t="inlineStr">
        <is>
          <t>SOLLEFTEÅ</t>
        </is>
      </c>
      <c r="G14650" t="n">
        <v>17.9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36141-2024</t>
        </is>
      </c>
      <c r="B14651" s="1" t="n">
        <v>45534</v>
      </c>
      <c r="C14651" s="1" t="n">
        <v>45657</v>
      </c>
      <c r="D14651" t="inlineStr">
        <is>
          <t>VÄSTERNORRLANDS LÄN</t>
        </is>
      </c>
      <c r="E14651" t="inlineStr">
        <is>
          <t>SOLLEFTEÅ</t>
        </is>
      </c>
      <c r="G14651" t="n">
        <v>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36139-2024</t>
        </is>
      </c>
      <c r="B14652" s="1" t="n">
        <v>45534</v>
      </c>
      <c r="C14652" s="1" t="n">
        <v>45657</v>
      </c>
      <c r="D14652" t="inlineStr">
        <is>
          <t>VÄSTERNORRLANDS LÄN</t>
        </is>
      </c>
      <c r="E14652" t="inlineStr">
        <is>
          <t>SOLLEFTEÅ</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36247-2024</t>
        </is>
      </c>
      <c r="B14653" s="1" t="n">
        <v>45534</v>
      </c>
      <c r="C14653" s="1" t="n">
        <v>45657</v>
      </c>
      <c r="D14653" t="inlineStr">
        <is>
          <t>VÄSTERNORRLANDS LÄN</t>
        </is>
      </c>
      <c r="E14653" t="inlineStr">
        <is>
          <t>ÖRNSKÖLDSVIK</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36255-2024</t>
        </is>
      </c>
      <c r="B14654" s="1" t="n">
        <v>45534</v>
      </c>
      <c r="C14654" s="1" t="n">
        <v>45657</v>
      </c>
      <c r="D14654" t="inlineStr">
        <is>
          <t>VÄSTERNORRLANDS LÄN</t>
        </is>
      </c>
      <c r="E14654" t="inlineStr">
        <is>
          <t>ÖRNSKÖLDSVIK</t>
        </is>
      </c>
      <c r="F14654" t="inlineStr">
        <is>
          <t>Holmen skog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36142-2024</t>
        </is>
      </c>
      <c r="B14655" s="1" t="n">
        <v>45534</v>
      </c>
      <c r="C14655" s="1" t="n">
        <v>45657</v>
      </c>
      <c r="D14655" t="inlineStr">
        <is>
          <t>VÄSTERNORRLANDS LÄN</t>
        </is>
      </c>
      <c r="E14655" t="inlineStr">
        <is>
          <t>SOLLEFTEÅ</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36322-2024</t>
        </is>
      </c>
      <c r="B14656" s="1" t="n">
        <v>45534</v>
      </c>
      <c r="C14656" s="1" t="n">
        <v>45657</v>
      </c>
      <c r="D14656" t="inlineStr">
        <is>
          <t>VÄSTERNORRLANDS LÄN</t>
        </is>
      </c>
      <c r="E14656" t="inlineStr">
        <is>
          <t>SOLLEFTEÅ</t>
        </is>
      </c>
      <c r="F14656" t="inlineStr">
        <is>
          <t>SCA</t>
        </is>
      </c>
      <c r="G14656" t="n">
        <v>4.3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36178-2024</t>
        </is>
      </c>
      <c r="B14657" s="1" t="n">
        <v>45534</v>
      </c>
      <c r="C14657" s="1" t="n">
        <v>45657</v>
      </c>
      <c r="D14657" t="inlineStr">
        <is>
          <t>VÄSTERNORRLANDS LÄN</t>
        </is>
      </c>
      <c r="E14657" t="inlineStr">
        <is>
          <t>KRAMFORS</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36198-2024</t>
        </is>
      </c>
      <c r="B14658" s="1" t="n">
        <v>45534</v>
      </c>
      <c r="C14658" s="1" t="n">
        <v>45657</v>
      </c>
      <c r="D14658" t="inlineStr">
        <is>
          <t>VÄSTERNORRLANDS LÄN</t>
        </is>
      </c>
      <c r="E14658" t="inlineStr">
        <is>
          <t>ÖRNSKÖLDSVIK</t>
        </is>
      </c>
      <c r="F14658" t="inlineStr">
        <is>
          <t>Holmen skog AB</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36234-2024</t>
        </is>
      </c>
      <c r="B14659" s="1" t="n">
        <v>45534</v>
      </c>
      <c r="C14659" s="1" t="n">
        <v>45657</v>
      </c>
      <c r="D14659" t="inlineStr">
        <is>
          <t>VÄSTERNORRLANDS LÄN</t>
        </is>
      </c>
      <c r="E14659" t="inlineStr">
        <is>
          <t>ÖRNSKÖLDSVIK</t>
        </is>
      </c>
      <c r="F14659" t="inlineStr">
        <is>
          <t>Holmen skog AB</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36144-2024</t>
        </is>
      </c>
      <c r="B14660" s="1" t="n">
        <v>45534</v>
      </c>
      <c r="C14660" s="1" t="n">
        <v>45657</v>
      </c>
      <c r="D14660" t="inlineStr">
        <is>
          <t>VÄSTERNORRLANDS LÄN</t>
        </is>
      </c>
      <c r="E14660" t="inlineStr">
        <is>
          <t>SOLLEFTEÅ</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36321-2024</t>
        </is>
      </c>
      <c r="B14661" s="1" t="n">
        <v>45534</v>
      </c>
      <c r="C14661" s="1" t="n">
        <v>45657</v>
      </c>
      <c r="D14661" t="inlineStr">
        <is>
          <t>VÄSTERNORRLANDS LÄN</t>
        </is>
      </c>
      <c r="E14661" t="inlineStr">
        <is>
          <t>ÅNGE</t>
        </is>
      </c>
      <c r="F14661" t="inlineStr">
        <is>
          <t>SCA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36337-2024</t>
        </is>
      </c>
      <c r="B14662" s="1" t="n">
        <v>45534</v>
      </c>
      <c r="C14662" s="1" t="n">
        <v>45657</v>
      </c>
      <c r="D14662" t="inlineStr">
        <is>
          <t>VÄSTERNORRLANDS LÄN</t>
        </is>
      </c>
      <c r="E14662" t="inlineStr">
        <is>
          <t>SOLLEFTEÅ</t>
        </is>
      </c>
      <c r="F14662" t="inlineStr">
        <is>
          <t>SCA</t>
        </is>
      </c>
      <c r="G14662" t="n">
        <v>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36341-2024</t>
        </is>
      </c>
      <c r="B14663" s="1" t="n">
        <v>45534</v>
      </c>
      <c r="C14663" s="1" t="n">
        <v>45657</v>
      </c>
      <c r="D14663" t="inlineStr">
        <is>
          <t>VÄSTERNORRLANDS LÄN</t>
        </is>
      </c>
      <c r="E14663" t="inlineStr">
        <is>
          <t>SOLLEFTEÅ</t>
        </is>
      </c>
      <c r="F14663" t="inlineStr">
        <is>
          <t>SCA</t>
        </is>
      </c>
      <c r="G14663" t="n">
        <v>9.6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36319-2024</t>
        </is>
      </c>
      <c r="B14664" s="1" t="n">
        <v>45534</v>
      </c>
      <c r="C14664" s="1" t="n">
        <v>45657</v>
      </c>
      <c r="D14664" t="inlineStr">
        <is>
          <t>VÄSTERNORRLANDS LÄN</t>
        </is>
      </c>
      <c r="E14664" t="inlineStr">
        <is>
          <t>SOLLEFTEÅ</t>
        </is>
      </c>
      <c r="F14664" t="inlineStr">
        <is>
          <t>SCA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36342-2024</t>
        </is>
      </c>
      <c r="B14665" s="1" t="n">
        <v>45534</v>
      </c>
      <c r="C14665" s="1" t="n">
        <v>45657</v>
      </c>
      <c r="D14665" t="inlineStr">
        <is>
          <t>VÄSTERNORRLANDS LÄN</t>
        </is>
      </c>
      <c r="E14665" t="inlineStr">
        <is>
          <t>ÅNGE</t>
        </is>
      </c>
      <c r="F14665" t="inlineStr">
        <is>
          <t>SCA</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36353-2024</t>
        </is>
      </c>
      <c r="B14666" s="1" t="n">
        <v>45534</v>
      </c>
      <c r="C14666" s="1" t="n">
        <v>45657</v>
      </c>
      <c r="D14666" t="inlineStr">
        <is>
          <t>VÄSTERNORRLANDS LÄN</t>
        </is>
      </c>
      <c r="E14666" t="inlineStr">
        <is>
          <t>HÄRNÖSAND</t>
        </is>
      </c>
      <c r="F14666" t="inlineStr">
        <is>
          <t>SCA</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36352-2024</t>
        </is>
      </c>
      <c r="B14667" s="1" t="n">
        <v>45534</v>
      </c>
      <c r="C14667" s="1" t="n">
        <v>45657</v>
      </c>
      <c r="D14667" t="inlineStr">
        <is>
          <t>VÄSTERNORRLANDS LÄN</t>
        </is>
      </c>
      <c r="E14667" t="inlineStr">
        <is>
          <t>SOLLEFTEÅ</t>
        </is>
      </c>
      <c r="F14667" t="inlineStr">
        <is>
          <t>SCA</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36368-2024</t>
        </is>
      </c>
      <c r="B14668" s="1" t="n">
        <v>45534</v>
      </c>
      <c r="C14668" s="1" t="n">
        <v>45657</v>
      </c>
      <c r="D14668" t="inlineStr">
        <is>
          <t>VÄSTERNORRLANDS LÄN</t>
        </is>
      </c>
      <c r="E14668" t="inlineStr">
        <is>
          <t>ÖRNSKÖLDSVIK</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36358-2024</t>
        </is>
      </c>
      <c r="B14669" s="1" t="n">
        <v>45534</v>
      </c>
      <c r="C14669" s="1" t="n">
        <v>45657</v>
      </c>
      <c r="D14669" t="inlineStr">
        <is>
          <t>VÄSTERNORRLANDS LÄN</t>
        </is>
      </c>
      <c r="E14669" t="inlineStr">
        <is>
          <t>HÄRNÖSAND</t>
        </is>
      </c>
      <c r="F14669" t="inlineStr">
        <is>
          <t>SCA</t>
        </is>
      </c>
      <c r="G14669" t="n">
        <v>7.8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36466-2024</t>
        </is>
      </c>
      <c r="B14670" s="1" t="n">
        <v>45537</v>
      </c>
      <c r="C14670" s="1" t="n">
        <v>45657</v>
      </c>
      <c r="D14670" t="inlineStr">
        <is>
          <t>VÄSTERNORRLANDS LÄN</t>
        </is>
      </c>
      <c r="E14670" t="inlineStr">
        <is>
          <t>ÅNGE</t>
        </is>
      </c>
      <c r="F14670" t="inlineStr">
        <is>
          <t>SCA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36474-2024</t>
        </is>
      </c>
      <c r="B14671" s="1" t="n">
        <v>45537</v>
      </c>
      <c r="C14671" s="1" t="n">
        <v>45657</v>
      </c>
      <c r="D14671" t="inlineStr">
        <is>
          <t>VÄSTERNORRLANDS LÄN</t>
        </is>
      </c>
      <c r="E14671" t="inlineStr">
        <is>
          <t>ÖRNSKÖLDSVIK</t>
        </is>
      </c>
      <c r="F14671" t="inlineStr">
        <is>
          <t>Holmen skog AB</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36550-2024</t>
        </is>
      </c>
      <c r="B14672" s="1" t="n">
        <v>45537</v>
      </c>
      <c r="C14672" s="1" t="n">
        <v>45657</v>
      </c>
      <c r="D14672" t="inlineStr">
        <is>
          <t>VÄSTERNORRLANDS LÄN</t>
        </is>
      </c>
      <c r="E14672" t="inlineStr">
        <is>
          <t>SUNDSVALL</t>
        </is>
      </c>
      <c r="F14672" t="inlineStr">
        <is>
          <t>SCA</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36610-2024</t>
        </is>
      </c>
      <c r="B14673" s="1" t="n">
        <v>45537</v>
      </c>
      <c r="C14673" s="1" t="n">
        <v>45657</v>
      </c>
      <c r="D14673" t="inlineStr">
        <is>
          <t>VÄSTERNORRLANDS LÄN</t>
        </is>
      </c>
      <c r="E14673" t="inlineStr">
        <is>
          <t>ÖRNSKÖLDSVIK</t>
        </is>
      </c>
      <c r="F14673" t="inlineStr">
        <is>
          <t>Holmen skog AB</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36618-2024</t>
        </is>
      </c>
      <c r="B14674" s="1" t="n">
        <v>45537</v>
      </c>
      <c r="C14674" s="1" t="n">
        <v>45657</v>
      </c>
      <c r="D14674" t="inlineStr">
        <is>
          <t>VÄSTERNORRLANDS LÄN</t>
        </is>
      </c>
      <c r="E14674" t="inlineStr">
        <is>
          <t>SUNDSVALL</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36634-2024</t>
        </is>
      </c>
      <c r="B14675" s="1" t="n">
        <v>45537</v>
      </c>
      <c r="C14675" s="1" t="n">
        <v>45657</v>
      </c>
      <c r="D14675" t="inlineStr">
        <is>
          <t>VÄSTERNORRLANDS LÄN</t>
        </is>
      </c>
      <c r="E14675" t="inlineStr">
        <is>
          <t>SUNDSVALL</t>
        </is>
      </c>
      <c r="F14675" t="inlineStr">
        <is>
          <t>SCA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36460-2024</t>
        </is>
      </c>
      <c r="B14676" s="1" t="n">
        <v>45537</v>
      </c>
      <c r="C14676" s="1" t="n">
        <v>45657</v>
      </c>
      <c r="D14676" t="inlineStr">
        <is>
          <t>VÄSTERNORRLANDS LÄN</t>
        </is>
      </c>
      <c r="E14676" t="inlineStr">
        <is>
          <t>ÖRNSKÖLDSVIK</t>
        </is>
      </c>
      <c r="F14676" t="inlineStr">
        <is>
          <t>Holmen skog AB</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36468-2024</t>
        </is>
      </c>
      <c r="B14677" s="1" t="n">
        <v>45537</v>
      </c>
      <c r="C14677" s="1" t="n">
        <v>45657</v>
      </c>
      <c r="D14677" t="inlineStr">
        <is>
          <t>VÄSTERNORRLANDS LÄN</t>
        </is>
      </c>
      <c r="E14677" t="inlineStr">
        <is>
          <t>ÅNGE</t>
        </is>
      </c>
      <c r="F14677" t="inlineStr">
        <is>
          <t>SCA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36512-2024</t>
        </is>
      </c>
      <c r="B14678" s="1" t="n">
        <v>45537</v>
      </c>
      <c r="C14678" s="1" t="n">
        <v>45657</v>
      </c>
      <c r="D14678" t="inlineStr">
        <is>
          <t>VÄSTERNORRLANDS LÄN</t>
        </is>
      </c>
      <c r="E14678" t="inlineStr">
        <is>
          <t>SUNDSVALL</t>
        </is>
      </c>
      <c r="F14678" t="inlineStr">
        <is>
          <t>SCA</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36524-2024</t>
        </is>
      </c>
      <c r="B14679" s="1" t="n">
        <v>45537</v>
      </c>
      <c r="C14679" s="1" t="n">
        <v>45657</v>
      </c>
      <c r="D14679" t="inlineStr">
        <is>
          <t>VÄSTERNORRLANDS LÄN</t>
        </is>
      </c>
      <c r="E14679" t="inlineStr">
        <is>
          <t>ÖRNSKÖLDSVIK</t>
        </is>
      </c>
      <c r="G14679" t="n">
        <v>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36572-2024</t>
        </is>
      </c>
      <c r="B14680" s="1" t="n">
        <v>45537</v>
      </c>
      <c r="C14680" s="1" t="n">
        <v>45657</v>
      </c>
      <c r="D14680" t="inlineStr">
        <is>
          <t>VÄSTERNORRLANDS LÄN</t>
        </is>
      </c>
      <c r="E14680" t="inlineStr">
        <is>
          <t>ÖRNSKÖLDSVIK</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36620-2024</t>
        </is>
      </c>
      <c r="B14681" s="1" t="n">
        <v>45537</v>
      </c>
      <c r="C14681" s="1" t="n">
        <v>45657</v>
      </c>
      <c r="D14681" t="inlineStr">
        <is>
          <t>VÄSTERNORRLANDS LÄN</t>
        </is>
      </c>
      <c r="E14681" t="inlineStr">
        <is>
          <t>ÖRNSKÖLDSVIK</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36624-2024</t>
        </is>
      </c>
      <c r="B14682" s="1" t="n">
        <v>45537</v>
      </c>
      <c r="C14682" s="1" t="n">
        <v>45657</v>
      </c>
      <c r="D14682" t="inlineStr">
        <is>
          <t>VÄSTERNORRLANDS LÄN</t>
        </is>
      </c>
      <c r="E14682" t="inlineStr">
        <is>
          <t>SUNDSVALL</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36632-2024</t>
        </is>
      </c>
      <c r="B14683" s="1" t="n">
        <v>45537</v>
      </c>
      <c r="C14683" s="1" t="n">
        <v>45657</v>
      </c>
      <c r="D14683" t="inlineStr">
        <is>
          <t>VÄSTERNORRLANDS LÄN</t>
        </is>
      </c>
      <c r="E14683" t="inlineStr">
        <is>
          <t>SUNDSVALL</t>
        </is>
      </c>
      <c r="F14683" t="inlineStr">
        <is>
          <t>SCA</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36661-2024</t>
        </is>
      </c>
      <c r="B14684" s="1" t="n">
        <v>45537</v>
      </c>
      <c r="C14684" s="1" t="n">
        <v>45657</v>
      </c>
      <c r="D14684" t="inlineStr">
        <is>
          <t>VÄSTERNORRLANDS LÄN</t>
        </is>
      </c>
      <c r="E14684" t="inlineStr">
        <is>
          <t>ÖRNSKÖLDSVIK</t>
        </is>
      </c>
      <c r="F14684" t="inlineStr">
        <is>
          <t>Holmen skog AB</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36633-2024</t>
        </is>
      </c>
      <c r="B14685" s="1" t="n">
        <v>45537</v>
      </c>
      <c r="C14685" s="1" t="n">
        <v>45657</v>
      </c>
      <c r="D14685" t="inlineStr">
        <is>
          <t>VÄSTERNORRLANDS LÄN</t>
        </is>
      </c>
      <c r="E14685" t="inlineStr">
        <is>
          <t>SUNDSVALL</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36436-2024</t>
        </is>
      </c>
      <c r="B14686" s="1" t="n">
        <v>45537</v>
      </c>
      <c r="C14686" s="1" t="n">
        <v>45657</v>
      </c>
      <c r="D14686" t="inlineStr">
        <is>
          <t>VÄSTERNORRLANDS LÄN</t>
        </is>
      </c>
      <c r="E14686" t="inlineStr">
        <is>
          <t>ÖRNSKÖLDSVIK</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36463-2024</t>
        </is>
      </c>
      <c r="B14687" s="1" t="n">
        <v>45537</v>
      </c>
      <c r="C14687" s="1" t="n">
        <v>45657</v>
      </c>
      <c r="D14687" t="inlineStr">
        <is>
          <t>VÄSTERNORRLANDS LÄN</t>
        </is>
      </c>
      <c r="E14687" t="inlineStr">
        <is>
          <t>SOLLEFTEÅ</t>
        </is>
      </c>
      <c r="F14687" t="inlineStr">
        <is>
          <t>SCA</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36471-2024</t>
        </is>
      </c>
      <c r="B14688" s="1" t="n">
        <v>45537</v>
      </c>
      <c r="C14688" s="1" t="n">
        <v>45657</v>
      </c>
      <c r="D14688" t="inlineStr">
        <is>
          <t>VÄSTERNORRLANDS LÄN</t>
        </is>
      </c>
      <c r="E14688" t="inlineStr">
        <is>
          <t>SOLLEFTEÅ</t>
        </is>
      </c>
      <c r="F14688" t="inlineStr">
        <is>
          <t>SCA</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36487-2024</t>
        </is>
      </c>
      <c r="B14689" s="1" t="n">
        <v>45537</v>
      </c>
      <c r="C14689" s="1" t="n">
        <v>45657</v>
      </c>
      <c r="D14689" t="inlineStr">
        <is>
          <t>VÄSTERNORRLANDS LÄN</t>
        </is>
      </c>
      <c r="E14689" t="inlineStr">
        <is>
          <t>ÖRNSKÖLDSVIK</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36535-2024</t>
        </is>
      </c>
      <c r="B14690" s="1" t="n">
        <v>45537</v>
      </c>
      <c r="C14690" s="1" t="n">
        <v>45657</v>
      </c>
      <c r="D14690" t="inlineStr">
        <is>
          <t>VÄSTERNORRLANDS LÄN</t>
        </is>
      </c>
      <c r="E14690" t="inlineStr">
        <is>
          <t>SUNDSVALL</t>
        </is>
      </c>
      <c r="F14690" t="inlineStr">
        <is>
          <t>Holmen skog AB</t>
        </is>
      </c>
      <c r="G14690" t="n">
        <v>4.6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36611-2024</t>
        </is>
      </c>
      <c r="B14691" s="1" t="n">
        <v>45537</v>
      </c>
      <c r="C14691" s="1" t="n">
        <v>45657</v>
      </c>
      <c r="D14691" t="inlineStr">
        <is>
          <t>VÄSTERNORRLANDS LÄN</t>
        </is>
      </c>
      <c r="E14691" t="inlineStr">
        <is>
          <t>SUNDSVALL</t>
        </is>
      </c>
      <c r="F14691" t="inlineStr">
        <is>
          <t>Holmen skog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36635-2024</t>
        </is>
      </c>
      <c r="B14692" s="1" t="n">
        <v>45537</v>
      </c>
      <c r="C14692" s="1" t="n">
        <v>45657</v>
      </c>
      <c r="D14692" t="inlineStr">
        <is>
          <t>VÄSTERNORRLANDS LÄN</t>
        </is>
      </c>
      <c r="E14692" t="inlineStr">
        <is>
          <t>SUNDSVALL</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36704-2024</t>
        </is>
      </c>
      <c r="B14693" s="1" t="n">
        <v>45537</v>
      </c>
      <c r="C14693" s="1" t="n">
        <v>45657</v>
      </c>
      <c r="D14693" t="inlineStr">
        <is>
          <t>VÄSTERNORRLANDS LÄN</t>
        </is>
      </c>
      <c r="E14693" t="inlineStr">
        <is>
          <t>ÖRNSKÖLDSVIK</t>
        </is>
      </c>
      <c r="F14693" t="inlineStr">
        <is>
          <t>Holmen skog AB</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36685-2024</t>
        </is>
      </c>
      <c r="B14694" s="1" t="n">
        <v>45537</v>
      </c>
      <c r="C14694" s="1" t="n">
        <v>45657</v>
      </c>
      <c r="D14694" t="inlineStr">
        <is>
          <t>VÄSTERNORRLANDS LÄN</t>
        </is>
      </c>
      <c r="E14694" t="inlineStr">
        <is>
          <t>SOLLEFTEÅ</t>
        </is>
      </c>
      <c r="F14694" t="inlineStr">
        <is>
          <t>Holmen skog AB</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36678-2024</t>
        </is>
      </c>
      <c r="B14695" s="1" t="n">
        <v>45537</v>
      </c>
      <c r="C14695" s="1" t="n">
        <v>45657</v>
      </c>
      <c r="D14695" t="inlineStr">
        <is>
          <t>VÄSTERNORRLANDS LÄN</t>
        </is>
      </c>
      <c r="E14695" t="inlineStr">
        <is>
          <t>ÖRNSKÖLDSVIK</t>
        </is>
      </c>
      <c r="F14695" t="inlineStr">
        <is>
          <t>Holmen skog AB</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36667-2024</t>
        </is>
      </c>
      <c r="B14696" s="1" t="n">
        <v>45537</v>
      </c>
      <c r="C14696" s="1" t="n">
        <v>45657</v>
      </c>
      <c r="D14696" t="inlineStr">
        <is>
          <t>VÄSTERNORRLANDS LÄN</t>
        </is>
      </c>
      <c r="E14696" t="inlineStr">
        <is>
          <t>ÖRNSKÖLDSVIK</t>
        </is>
      </c>
      <c r="F14696" t="inlineStr">
        <is>
          <t>Holmen skog AB</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36786-2024</t>
        </is>
      </c>
      <c r="B14697" s="1" t="n">
        <v>45538</v>
      </c>
      <c r="C14697" s="1" t="n">
        <v>45657</v>
      </c>
      <c r="D14697" t="inlineStr">
        <is>
          <t>VÄSTERNORRLANDS LÄN</t>
        </is>
      </c>
      <c r="E14697" t="inlineStr">
        <is>
          <t>ÅNGE</t>
        </is>
      </c>
      <c r="F14697" t="inlineStr">
        <is>
          <t>SCA</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36787-2024</t>
        </is>
      </c>
      <c r="B14698" s="1" t="n">
        <v>45538</v>
      </c>
      <c r="C14698" s="1" t="n">
        <v>45657</v>
      </c>
      <c r="D14698" t="inlineStr">
        <is>
          <t>VÄSTERNORRLANDS LÄN</t>
        </is>
      </c>
      <c r="E14698" t="inlineStr">
        <is>
          <t>ÅNGE</t>
        </is>
      </c>
      <c r="F14698" t="inlineStr">
        <is>
          <t>SCA</t>
        </is>
      </c>
      <c r="G14698" t="n">
        <v>6.4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36784-2024</t>
        </is>
      </c>
      <c r="B14699" s="1" t="n">
        <v>45538</v>
      </c>
      <c r="C14699" s="1" t="n">
        <v>45657</v>
      </c>
      <c r="D14699" t="inlineStr">
        <is>
          <t>VÄSTERNORRLANDS LÄN</t>
        </is>
      </c>
      <c r="E14699" t="inlineStr">
        <is>
          <t>SUNDSVALL</t>
        </is>
      </c>
      <c r="F14699" t="inlineStr">
        <is>
          <t>SCA</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36793-2024</t>
        </is>
      </c>
      <c r="B14700" s="1" t="n">
        <v>45538</v>
      </c>
      <c r="C14700" s="1" t="n">
        <v>45657</v>
      </c>
      <c r="D14700" t="inlineStr">
        <is>
          <t>VÄSTERNORRLANDS LÄN</t>
        </is>
      </c>
      <c r="E14700" t="inlineStr">
        <is>
          <t>ÖRNSKÖLDSVIK</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36877-2024</t>
        </is>
      </c>
      <c r="B14701" s="1" t="n">
        <v>45538</v>
      </c>
      <c r="C14701" s="1" t="n">
        <v>45657</v>
      </c>
      <c r="D14701" t="inlineStr">
        <is>
          <t>VÄSTERNORRLANDS LÄN</t>
        </is>
      </c>
      <c r="E14701" t="inlineStr">
        <is>
          <t>ÅNGE</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36876-2024</t>
        </is>
      </c>
      <c r="B14702" s="1" t="n">
        <v>45538</v>
      </c>
      <c r="C14702" s="1" t="n">
        <v>45657</v>
      </c>
      <c r="D14702" t="inlineStr">
        <is>
          <t>VÄSTERNORRLANDS LÄN</t>
        </is>
      </c>
      <c r="E14702" t="inlineStr">
        <is>
          <t>ÅNGE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36875-2024</t>
        </is>
      </c>
      <c r="B14703" s="1" t="n">
        <v>45538</v>
      </c>
      <c r="C14703" s="1" t="n">
        <v>45657</v>
      </c>
      <c r="D14703" t="inlineStr">
        <is>
          <t>VÄSTERNORRLANDS LÄN</t>
        </is>
      </c>
      <c r="E14703" t="inlineStr">
        <is>
          <t>ÅNGE</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36907-2024</t>
        </is>
      </c>
      <c r="B14704" s="1" t="n">
        <v>45538</v>
      </c>
      <c r="C14704" s="1" t="n">
        <v>45657</v>
      </c>
      <c r="D14704" t="inlineStr">
        <is>
          <t>VÄSTERNORRLANDS LÄN</t>
        </is>
      </c>
      <c r="E14704" t="inlineStr">
        <is>
          <t>ÖRNSKÖLDSVIK</t>
        </is>
      </c>
      <c r="F14704" t="inlineStr">
        <is>
          <t>Holmen skog AB</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36915-2024</t>
        </is>
      </c>
      <c r="B14705" s="1" t="n">
        <v>45538</v>
      </c>
      <c r="C14705" s="1" t="n">
        <v>45657</v>
      </c>
      <c r="D14705" t="inlineStr">
        <is>
          <t>VÄSTERNORRLANDS LÄN</t>
        </is>
      </c>
      <c r="E14705" t="inlineStr">
        <is>
          <t>ÖRNSKÖLDSVIK</t>
        </is>
      </c>
      <c r="F14705" t="inlineStr">
        <is>
          <t>Holmen skog AB</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36896-2024</t>
        </is>
      </c>
      <c r="B14706" s="1" t="n">
        <v>45538</v>
      </c>
      <c r="C14706" s="1" t="n">
        <v>45657</v>
      </c>
      <c r="D14706" t="inlineStr">
        <is>
          <t>VÄSTERNORRLANDS LÄN</t>
        </is>
      </c>
      <c r="E14706" t="inlineStr">
        <is>
          <t>KRAMFORS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36985-2024</t>
        </is>
      </c>
      <c r="B14707" s="1" t="n">
        <v>45539</v>
      </c>
      <c r="C14707" s="1" t="n">
        <v>45657</v>
      </c>
      <c r="D14707" t="inlineStr">
        <is>
          <t>VÄSTERNORRLANDS LÄN</t>
        </is>
      </c>
      <c r="E14707" t="inlineStr">
        <is>
          <t>ÖRNSKÖLDSVIK</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37000-2024</t>
        </is>
      </c>
      <c r="B14708" s="1" t="n">
        <v>45539</v>
      </c>
      <c r="C14708" s="1" t="n">
        <v>45657</v>
      </c>
      <c r="D14708" t="inlineStr">
        <is>
          <t>VÄSTERNORRLANDS LÄN</t>
        </is>
      </c>
      <c r="E14708" t="inlineStr">
        <is>
          <t>ÅNGE</t>
        </is>
      </c>
      <c r="F14708" t="inlineStr">
        <is>
          <t>SCA</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37057-2024</t>
        </is>
      </c>
      <c r="B14709" s="1" t="n">
        <v>45539</v>
      </c>
      <c r="C14709" s="1" t="n">
        <v>45657</v>
      </c>
      <c r="D14709" t="inlineStr">
        <is>
          <t>VÄSTERNORRLANDS LÄN</t>
        </is>
      </c>
      <c r="E14709" t="inlineStr">
        <is>
          <t>ÖRNSKÖLDSVIK</t>
        </is>
      </c>
      <c r="G14709" t="n">
        <v>7.8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37081-2024</t>
        </is>
      </c>
      <c r="B14710" s="1" t="n">
        <v>45539</v>
      </c>
      <c r="C14710" s="1" t="n">
        <v>45657</v>
      </c>
      <c r="D14710" t="inlineStr">
        <is>
          <t>VÄSTERNORRLANDS LÄN</t>
        </is>
      </c>
      <c r="E14710" t="inlineStr">
        <is>
          <t>ÖRNSKÖLDSVIK</t>
        </is>
      </c>
      <c r="F14710" t="inlineStr">
        <is>
          <t>Holmen skog AB</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37133-2024</t>
        </is>
      </c>
      <c r="B14711" s="1" t="n">
        <v>45539</v>
      </c>
      <c r="C14711" s="1" t="n">
        <v>45657</v>
      </c>
      <c r="D14711" t="inlineStr">
        <is>
          <t>VÄSTERNORRLANDS LÄN</t>
        </is>
      </c>
      <c r="E14711" t="inlineStr">
        <is>
          <t>ÖRNSKÖLDSVIK</t>
        </is>
      </c>
      <c r="F14711" t="inlineStr">
        <is>
          <t>Holmen skog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37154-2024</t>
        </is>
      </c>
      <c r="B14712" s="1" t="n">
        <v>45539</v>
      </c>
      <c r="C14712" s="1" t="n">
        <v>45657</v>
      </c>
      <c r="D14712" t="inlineStr">
        <is>
          <t>VÄSTERNORRLANDS LÄN</t>
        </is>
      </c>
      <c r="E14712" t="inlineStr">
        <is>
          <t>ÖRNSKÖLDSVIK</t>
        </is>
      </c>
      <c r="G14712" t="n">
        <v>8.800000000000001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37156-2024</t>
        </is>
      </c>
      <c r="B14713" s="1" t="n">
        <v>45539</v>
      </c>
      <c r="C14713" s="1" t="n">
        <v>45657</v>
      </c>
      <c r="D14713" t="inlineStr">
        <is>
          <t>VÄSTERNORRLANDS LÄN</t>
        </is>
      </c>
      <c r="E14713" t="inlineStr">
        <is>
          <t>ÖRNSKÖLDSVIK</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37177-2024</t>
        </is>
      </c>
      <c r="B14714" s="1" t="n">
        <v>45539</v>
      </c>
      <c r="C14714" s="1" t="n">
        <v>45657</v>
      </c>
      <c r="D14714" t="inlineStr">
        <is>
          <t>VÄSTERNORRLANDS LÄN</t>
        </is>
      </c>
      <c r="E14714" t="inlineStr">
        <is>
          <t>ÖRNSKÖLDSVIK</t>
        </is>
      </c>
      <c r="G14714" t="n">
        <v>5.8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37197-2024</t>
        </is>
      </c>
      <c r="B14715" s="1" t="n">
        <v>45539</v>
      </c>
      <c r="C14715" s="1" t="n">
        <v>45657</v>
      </c>
      <c r="D14715" t="inlineStr">
        <is>
          <t>VÄSTERNORRLANDS LÄN</t>
        </is>
      </c>
      <c r="E14715" t="inlineStr">
        <is>
          <t>SOLLEFTEÅ</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37201-2024</t>
        </is>
      </c>
      <c r="B14716" s="1" t="n">
        <v>45539</v>
      </c>
      <c r="C14716" s="1" t="n">
        <v>45657</v>
      </c>
      <c r="D14716" t="inlineStr">
        <is>
          <t>VÄSTERNORRLANDS LÄN</t>
        </is>
      </c>
      <c r="E14716" t="inlineStr">
        <is>
          <t>SOLLEFTEÅ</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37209-2024</t>
        </is>
      </c>
      <c r="B14717" s="1" t="n">
        <v>45539</v>
      </c>
      <c r="C14717" s="1" t="n">
        <v>45657</v>
      </c>
      <c r="D14717" t="inlineStr">
        <is>
          <t>VÄSTERNORRLANDS LÄN</t>
        </is>
      </c>
      <c r="E14717" t="inlineStr">
        <is>
          <t>SUNDSVALL</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37046-2024</t>
        </is>
      </c>
      <c r="B14718" s="1" t="n">
        <v>45539</v>
      </c>
      <c r="C14718" s="1" t="n">
        <v>45657</v>
      </c>
      <c r="D14718" t="inlineStr">
        <is>
          <t>VÄSTERNORRLANDS LÄN</t>
        </is>
      </c>
      <c r="E14718" t="inlineStr">
        <is>
          <t>SOLLEFTEÅ</t>
        </is>
      </c>
      <c r="F14718" t="inlineStr">
        <is>
          <t>SCA</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37009-2024</t>
        </is>
      </c>
      <c r="B14719" s="1" t="n">
        <v>45539</v>
      </c>
      <c r="C14719" s="1" t="n">
        <v>45657</v>
      </c>
      <c r="D14719" t="inlineStr">
        <is>
          <t>VÄSTERNORRLANDS LÄN</t>
        </is>
      </c>
      <c r="E14719" t="inlineStr">
        <is>
          <t>ÅNGE</t>
        </is>
      </c>
      <c r="F14719" t="inlineStr">
        <is>
          <t>SCA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37001-2024</t>
        </is>
      </c>
      <c r="B14720" s="1" t="n">
        <v>45539</v>
      </c>
      <c r="C14720" s="1" t="n">
        <v>45657</v>
      </c>
      <c r="D14720" t="inlineStr">
        <is>
          <t>VÄSTERNORRLANDS LÄN</t>
        </is>
      </c>
      <c r="E14720" t="inlineStr">
        <is>
          <t>ÖRNSKÖLDSVIK</t>
        </is>
      </c>
      <c r="F14720" t="inlineStr">
        <is>
          <t>Holmen skog AB</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37038-2024</t>
        </is>
      </c>
      <c r="B14721" s="1" t="n">
        <v>45539</v>
      </c>
      <c r="C14721" s="1" t="n">
        <v>45657</v>
      </c>
      <c r="D14721" t="inlineStr">
        <is>
          <t>VÄSTERNORRLANDS LÄN</t>
        </is>
      </c>
      <c r="E14721" t="inlineStr">
        <is>
          <t>ÅNGE</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37010-2024</t>
        </is>
      </c>
      <c r="B14722" s="1" t="n">
        <v>45539</v>
      </c>
      <c r="C14722" s="1" t="n">
        <v>45657</v>
      </c>
      <c r="D14722" t="inlineStr">
        <is>
          <t>VÄSTERNORRLANDS LÄN</t>
        </is>
      </c>
      <c r="E14722" t="inlineStr">
        <is>
          <t>ÅNGE</t>
        </is>
      </c>
      <c r="F14722" t="inlineStr">
        <is>
          <t>SCA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37048-2024</t>
        </is>
      </c>
      <c r="B14723" s="1" t="n">
        <v>45539</v>
      </c>
      <c r="C14723" s="1" t="n">
        <v>45657</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36999-2024</t>
        </is>
      </c>
      <c r="B14724" s="1" t="n">
        <v>45539</v>
      </c>
      <c r="C14724" s="1" t="n">
        <v>45657</v>
      </c>
      <c r="D14724" t="inlineStr">
        <is>
          <t>VÄSTERNORRLANDS LÄN</t>
        </is>
      </c>
      <c r="E14724" t="inlineStr">
        <is>
          <t>ÅNGE</t>
        </is>
      </c>
      <c r="F14724" t="inlineStr">
        <is>
          <t>SCA</t>
        </is>
      </c>
      <c r="G14724" t="n">
        <v>9.300000000000001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37269-2024</t>
        </is>
      </c>
      <c r="B14725" s="1" t="n">
        <v>45540</v>
      </c>
      <c r="C14725" s="1" t="n">
        <v>45657</v>
      </c>
      <c r="D14725" t="inlineStr">
        <is>
          <t>VÄSTERNORRLANDS LÄN</t>
        </is>
      </c>
      <c r="E14725" t="inlineStr">
        <is>
          <t>SOLLEFTEÅ</t>
        </is>
      </c>
      <c r="F14725" t="inlineStr">
        <is>
          <t>SCA</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37368-2024</t>
        </is>
      </c>
      <c r="B14726" s="1" t="n">
        <v>45540</v>
      </c>
      <c r="C14726" s="1" t="n">
        <v>45657</v>
      </c>
      <c r="D14726" t="inlineStr">
        <is>
          <t>VÄSTERNORRLANDS LÄN</t>
        </is>
      </c>
      <c r="E14726" t="inlineStr">
        <is>
          <t>ÖRNSKÖLDSVIK</t>
        </is>
      </c>
      <c r="F14726" t="inlineStr">
        <is>
          <t>Holmen skog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37384-2024</t>
        </is>
      </c>
      <c r="B14727" s="1" t="n">
        <v>45540</v>
      </c>
      <c r="C14727" s="1" t="n">
        <v>45657</v>
      </c>
      <c r="D14727" t="inlineStr">
        <is>
          <t>VÄSTERNORRLANDS LÄN</t>
        </is>
      </c>
      <c r="E14727" t="inlineStr">
        <is>
          <t>ÖRNSKÖLDSVIK</t>
        </is>
      </c>
      <c r="F14727" t="inlineStr">
        <is>
          <t>Holmen skog AB</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37416-2024</t>
        </is>
      </c>
      <c r="B14728" s="1" t="n">
        <v>45540</v>
      </c>
      <c r="C14728" s="1" t="n">
        <v>45657</v>
      </c>
      <c r="D14728" t="inlineStr">
        <is>
          <t>VÄSTERNORRLANDS LÄN</t>
        </is>
      </c>
      <c r="E14728" t="inlineStr">
        <is>
          <t>SUNDSVALL</t>
        </is>
      </c>
      <c r="G14728" t="n">
        <v>7.3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37333-2024</t>
        </is>
      </c>
      <c r="B14729" s="1" t="n">
        <v>45540</v>
      </c>
      <c r="C14729" s="1" t="n">
        <v>45657</v>
      </c>
      <c r="D14729" t="inlineStr">
        <is>
          <t>VÄSTERNORRLANDS LÄN</t>
        </is>
      </c>
      <c r="E14729" t="inlineStr">
        <is>
          <t>ÖRNSKÖLDSVIK</t>
        </is>
      </c>
      <c r="F14729" t="inlineStr">
        <is>
          <t>Holmen skog AB</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37354-2024</t>
        </is>
      </c>
      <c r="B14730" s="1" t="n">
        <v>45540</v>
      </c>
      <c r="C14730" s="1" t="n">
        <v>45657</v>
      </c>
      <c r="D14730" t="inlineStr">
        <is>
          <t>VÄSTERNORRLANDS LÄN</t>
        </is>
      </c>
      <c r="E14730" t="inlineStr">
        <is>
          <t>SOLLEFTEÅ</t>
        </is>
      </c>
      <c r="F14730" t="inlineStr">
        <is>
          <t>Holmen skog AB</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37374-2024</t>
        </is>
      </c>
      <c r="B14731" s="1" t="n">
        <v>45540</v>
      </c>
      <c r="C14731" s="1" t="n">
        <v>45657</v>
      </c>
      <c r="D14731" t="inlineStr">
        <is>
          <t>VÄSTERNORRLANDS LÄN</t>
        </is>
      </c>
      <c r="E14731" t="inlineStr">
        <is>
          <t>ÖRNSKÖLDSVIK</t>
        </is>
      </c>
      <c r="F14731" t="inlineStr">
        <is>
          <t>Holmen skog AB</t>
        </is>
      </c>
      <c r="G14731" t="n">
        <v>9.300000000000001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37378-2024</t>
        </is>
      </c>
      <c r="B14732" s="1" t="n">
        <v>45540</v>
      </c>
      <c r="C14732" s="1" t="n">
        <v>45657</v>
      </c>
      <c r="D14732" t="inlineStr">
        <is>
          <t>VÄSTERNORRLANDS LÄN</t>
        </is>
      </c>
      <c r="E14732" t="inlineStr">
        <is>
          <t>HÄRNÖSAND</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37390-2024</t>
        </is>
      </c>
      <c r="B14733" s="1" t="n">
        <v>45540</v>
      </c>
      <c r="C14733" s="1" t="n">
        <v>45657</v>
      </c>
      <c r="D14733" t="inlineStr">
        <is>
          <t>VÄSTERNORRLANDS LÄN</t>
        </is>
      </c>
      <c r="E14733" t="inlineStr">
        <is>
          <t>ÖRNSKÖLDSVIK</t>
        </is>
      </c>
      <c r="F14733" t="inlineStr">
        <is>
          <t>Holmen skog AB</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37402-2024</t>
        </is>
      </c>
      <c r="B14734" s="1" t="n">
        <v>45540</v>
      </c>
      <c r="C14734" s="1" t="n">
        <v>45657</v>
      </c>
      <c r="D14734" t="inlineStr">
        <is>
          <t>VÄSTERNORRLANDS LÄN</t>
        </is>
      </c>
      <c r="E14734" t="inlineStr">
        <is>
          <t>ÖRNSKÖLDSVIK</t>
        </is>
      </c>
      <c r="F14734" t="inlineStr">
        <is>
          <t>Holmen skog AB</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37524-2024</t>
        </is>
      </c>
      <c r="B14735" s="1" t="n">
        <v>45541</v>
      </c>
      <c r="C14735" s="1" t="n">
        <v>45657</v>
      </c>
      <c r="D14735" t="inlineStr">
        <is>
          <t>VÄSTERNORRLANDS LÄN</t>
        </is>
      </c>
      <c r="E14735" t="inlineStr">
        <is>
          <t>ÖRNSKÖLDSVIK</t>
        </is>
      </c>
      <c r="F14735" t="inlineStr">
        <is>
          <t>Holmen skog AB</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37540-2024</t>
        </is>
      </c>
      <c r="B14736" s="1" t="n">
        <v>45541</v>
      </c>
      <c r="C14736" s="1" t="n">
        <v>45657</v>
      </c>
      <c r="D14736" t="inlineStr">
        <is>
          <t>VÄSTERNORRLANDS LÄN</t>
        </is>
      </c>
      <c r="E14736" t="inlineStr">
        <is>
          <t>ÅNGE</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37488-2024</t>
        </is>
      </c>
      <c r="B14737" s="1" t="n">
        <v>45541</v>
      </c>
      <c r="C14737" s="1" t="n">
        <v>45657</v>
      </c>
      <c r="D14737" t="inlineStr">
        <is>
          <t>VÄSTERNORRLANDS LÄN</t>
        </is>
      </c>
      <c r="E14737" t="inlineStr">
        <is>
          <t>ÖRNSKÖLDSVIK</t>
        </is>
      </c>
      <c r="F14737" t="inlineStr">
        <is>
          <t>Holmen skog AB</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37523-2024</t>
        </is>
      </c>
      <c r="B14738" s="1" t="n">
        <v>45541</v>
      </c>
      <c r="C14738" s="1" t="n">
        <v>45657</v>
      </c>
      <c r="D14738" t="inlineStr">
        <is>
          <t>VÄSTERNORRLANDS LÄN</t>
        </is>
      </c>
      <c r="E14738" t="inlineStr">
        <is>
          <t>ÖRNSKÖLDSVIK</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37584-2024</t>
        </is>
      </c>
      <c r="B14739" s="1" t="n">
        <v>45541</v>
      </c>
      <c r="C14739" s="1" t="n">
        <v>45657</v>
      </c>
      <c r="D14739" t="inlineStr">
        <is>
          <t>VÄSTERNORRLANDS LÄN</t>
        </is>
      </c>
      <c r="E14739" t="inlineStr">
        <is>
          <t>SUNDSVALL</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37605-2024</t>
        </is>
      </c>
      <c r="B14740" s="1" t="n">
        <v>45541</v>
      </c>
      <c r="C14740" s="1" t="n">
        <v>45657</v>
      </c>
      <c r="D14740" t="inlineStr">
        <is>
          <t>VÄSTERNORRLANDS LÄN</t>
        </is>
      </c>
      <c r="E14740" t="inlineStr">
        <is>
          <t>SUNDSVALL</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37637-2024</t>
        </is>
      </c>
      <c r="B14741" s="1" t="n">
        <v>45541</v>
      </c>
      <c r="C14741" s="1" t="n">
        <v>45657</v>
      </c>
      <c r="D14741" t="inlineStr">
        <is>
          <t>VÄSTERNORRLANDS LÄN</t>
        </is>
      </c>
      <c r="E14741" t="inlineStr">
        <is>
          <t>ÖRNSKÖLDSVIK</t>
        </is>
      </c>
      <c r="F14741" t="inlineStr">
        <is>
          <t>Holmen skog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37674-2024</t>
        </is>
      </c>
      <c r="B14742" s="1" t="n">
        <v>45541</v>
      </c>
      <c r="C14742" s="1" t="n">
        <v>45657</v>
      </c>
      <c r="D14742" t="inlineStr">
        <is>
          <t>VÄSTERNORRLANDS LÄN</t>
        </is>
      </c>
      <c r="E14742" t="inlineStr">
        <is>
          <t>KRAMFORS</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37682-2024</t>
        </is>
      </c>
      <c r="B14743" s="1" t="n">
        <v>45541</v>
      </c>
      <c r="C14743" s="1" t="n">
        <v>45657</v>
      </c>
      <c r="D14743" t="inlineStr">
        <is>
          <t>VÄSTERNORRLANDS LÄN</t>
        </is>
      </c>
      <c r="E14743" t="inlineStr">
        <is>
          <t>ÖRNSKÖLDSVIK</t>
        </is>
      </c>
      <c r="F14743" t="inlineStr">
        <is>
          <t>Holmen skog AB</t>
        </is>
      </c>
      <c r="G14743" t="n">
        <v>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37577-2024</t>
        </is>
      </c>
      <c r="B14744" s="1" t="n">
        <v>45541</v>
      </c>
      <c r="C14744" s="1" t="n">
        <v>45657</v>
      </c>
      <c r="D14744" t="inlineStr">
        <is>
          <t>VÄSTERNORRLANDS LÄN</t>
        </is>
      </c>
      <c r="E14744" t="inlineStr">
        <is>
          <t>ÅNGE</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37679-2024</t>
        </is>
      </c>
      <c r="B14745" s="1" t="n">
        <v>45541</v>
      </c>
      <c r="C14745" s="1" t="n">
        <v>45657</v>
      </c>
      <c r="D14745" t="inlineStr">
        <is>
          <t>VÄSTERNORRLANDS LÄN</t>
        </is>
      </c>
      <c r="E14745" t="inlineStr">
        <is>
          <t>HÄRNÖSAND</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37509-2024</t>
        </is>
      </c>
      <c r="B14746" s="1" t="n">
        <v>45541</v>
      </c>
      <c r="C14746" s="1" t="n">
        <v>45657</v>
      </c>
      <c r="D14746" t="inlineStr">
        <is>
          <t>VÄSTERNORRLANDS LÄN</t>
        </is>
      </c>
      <c r="E14746" t="inlineStr">
        <is>
          <t>ÖRNSKÖLDSVIK</t>
        </is>
      </c>
      <c r="F14746" t="inlineStr">
        <is>
          <t>Holmen skog AB</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37517-2024</t>
        </is>
      </c>
      <c r="B14747" s="1" t="n">
        <v>45541</v>
      </c>
      <c r="C14747" s="1" t="n">
        <v>45657</v>
      </c>
      <c r="D14747" t="inlineStr">
        <is>
          <t>VÄSTERNORRLANDS LÄN</t>
        </is>
      </c>
      <c r="E14747" t="inlineStr">
        <is>
          <t>KRAMFORS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37530-2024</t>
        </is>
      </c>
      <c r="B14748" s="1" t="n">
        <v>45541</v>
      </c>
      <c r="C14748" s="1" t="n">
        <v>45657</v>
      </c>
      <c r="D14748" t="inlineStr">
        <is>
          <t>VÄSTERNORRLANDS LÄN</t>
        </is>
      </c>
      <c r="E14748" t="inlineStr">
        <is>
          <t>KRAMFORS</t>
        </is>
      </c>
      <c r="G14748" t="n">
        <v>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37516-2024</t>
        </is>
      </c>
      <c r="B14749" s="1" t="n">
        <v>45541</v>
      </c>
      <c r="C14749" s="1" t="n">
        <v>45657</v>
      </c>
      <c r="D14749" t="inlineStr">
        <is>
          <t>VÄSTERNORRLANDS LÄN</t>
        </is>
      </c>
      <c r="E14749" t="inlineStr">
        <is>
          <t>KRAMFORS</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37660-2024</t>
        </is>
      </c>
      <c r="B14750" s="1" t="n">
        <v>45541</v>
      </c>
      <c r="C14750" s="1" t="n">
        <v>45657</v>
      </c>
      <c r="D14750" t="inlineStr">
        <is>
          <t>VÄSTERNORRLANDS LÄN</t>
        </is>
      </c>
      <c r="E14750" t="inlineStr">
        <is>
          <t>ÖRNSKÖLDSVIK</t>
        </is>
      </c>
      <c r="F14750" t="inlineStr">
        <is>
          <t>Holmen skog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37545-2024</t>
        </is>
      </c>
      <c r="B14751" s="1" t="n">
        <v>45541</v>
      </c>
      <c r="C14751" s="1" t="n">
        <v>45657</v>
      </c>
      <c r="D14751" t="inlineStr">
        <is>
          <t>VÄSTERNORRLANDS LÄN</t>
        </is>
      </c>
      <c r="E14751" t="inlineStr">
        <is>
          <t>SUNDSVALL</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37607-2024</t>
        </is>
      </c>
      <c r="B14752" s="1" t="n">
        <v>45541</v>
      </c>
      <c r="C14752" s="1" t="n">
        <v>45657</v>
      </c>
      <c r="D14752" t="inlineStr">
        <is>
          <t>VÄSTERNORRLANDS LÄN</t>
        </is>
      </c>
      <c r="E14752" t="inlineStr">
        <is>
          <t>ÖRNSKÖLDSVIK</t>
        </is>
      </c>
      <c r="F14752" t="inlineStr">
        <is>
          <t>Holmen skog AB</t>
        </is>
      </c>
      <c r="G14752" t="n">
        <v>16.4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37623-2024</t>
        </is>
      </c>
      <c r="B14753" s="1" t="n">
        <v>45541</v>
      </c>
      <c r="C14753" s="1" t="n">
        <v>45657</v>
      </c>
      <c r="D14753" t="inlineStr">
        <is>
          <t>VÄSTERNORRLANDS LÄN</t>
        </is>
      </c>
      <c r="E14753" t="inlineStr">
        <is>
          <t>ÖRNSKÖLDSVIK</t>
        </is>
      </c>
      <c r="F14753" t="inlineStr">
        <is>
          <t>Holmen skog AB</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37627-2024</t>
        </is>
      </c>
      <c r="B14754" s="1" t="n">
        <v>45541</v>
      </c>
      <c r="C14754" s="1" t="n">
        <v>45657</v>
      </c>
      <c r="D14754" t="inlineStr">
        <is>
          <t>VÄSTERNORRLANDS LÄN</t>
        </is>
      </c>
      <c r="E14754" t="inlineStr">
        <is>
          <t>ÖRNSKÖLDSVIK</t>
        </is>
      </c>
      <c r="F14754" t="inlineStr">
        <is>
          <t>Holmen skog AB</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37659-2024</t>
        </is>
      </c>
      <c r="B14755" s="1" t="n">
        <v>45541</v>
      </c>
      <c r="C14755" s="1" t="n">
        <v>45657</v>
      </c>
      <c r="D14755" t="inlineStr">
        <is>
          <t>VÄSTERNORRLANDS LÄN</t>
        </is>
      </c>
      <c r="E14755" t="inlineStr">
        <is>
          <t>ÖRNSKÖLDSVIK</t>
        </is>
      </c>
      <c r="F14755" t="inlineStr">
        <is>
          <t>Holmen skog AB</t>
        </is>
      </c>
      <c r="G14755" t="n">
        <v>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37676-2024</t>
        </is>
      </c>
      <c r="B14756" s="1" t="n">
        <v>45541</v>
      </c>
      <c r="C14756" s="1" t="n">
        <v>45657</v>
      </c>
      <c r="D14756" t="inlineStr">
        <is>
          <t>VÄSTERNORRLANDS LÄN</t>
        </is>
      </c>
      <c r="E14756" t="inlineStr">
        <is>
          <t>TIMRÅ</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37720-2024</t>
        </is>
      </c>
      <c r="B14757" s="1" t="n">
        <v>45541</v>
      </c>
      <c r="C14757" s="1" t="n">
        <v>45657</v>
      </c>
      <c r="D14757" t="inlineStr">
        <is>
          <t>VÄSTERNORRLANDS LÄN</t>
        </is>
      </c>
      <c r="E14757" t="inlineStr">
        <is>
          <t>ÖRNSKÖLDSVIK</t>
        </is>
      </c>
      <c r="F14757" t="inlineStr">
        <is>
          <t>Holmen skog AB</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37724-2024</t>
        </is>
      </c>
      <c r="B14758" s="1" t="n">
        <v>45541</v>
      </c>
      <c r="C14758" s="1" t="n">
        <v>45657</v>
      </c>
      <c r="D14758" t="inlineStr">
        <is>
          <t>VÄSTERNORRLANDS LÄN</t>
        </is>
      </c>
      <c r="E14758" t="inlineStr">
        <is>
          <t>ÖRNSKÖLDSVIK</t>
        </is>
      </c>
      <c r="F14758" t="inlineStr">
        <is>
          <t>Holmen skog AB</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37734-2024</t>
        </is>
      </c>
      <c r="B14759" s="1" t="n">
        <v>45541</v>
      </c>
      <c r="C14759" s="1" t="n">
        <v>45657</v>
      </c>
      <c r="D14759" t="inlineStr">
        <is>
          <t>VÄSTERNORRLANDS LÄN</t>
        </is>
      </c>
      <c r="E14759" t="inlineStr">
        <is>
          <t>ÖRNSKÖLDSVIK</t>
        </is>
      </c>
      <c r="F14759" t="inlineStr">
        <is>
          <t>Holmen skog AB</t>
        </is>
      </c>
      <c r="G14759" t="n">
        <v>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37793-2024</t>
        </is>
      </c>
      <c r="B14760" s="1" t="n">
        <v>45543</v>
      </c>
      <c r="C14760" s="1" t="n">
        <v>45657</v>
      </c>
      <c r="D14760" t="inlineStr">
        <is>
          <t>VÄSTERNORRLANDS LÄN</t>
        </is>
      </c>
      <c r="E14760" t="inlineStr">
        <is>
          <t>HÄRNÖSAND</t>
        </is>
      </c>
      <c r="F14760" t="inlineStr">
        <is>
          <t>SCA</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37795-2024</t>
        </is>
      </c>
      <c r="B14761" s="1" t="n">
        <v>45543</v>
      </c>
      <c r="C14761" s="1" t="n">
        <v>45657</v>
      </c>
      <c r="D14761" t="inlineStr">
        <is>
          <t>VÄSTERNORRLANDS LÄN</t>
        </is>
      </c>
      <c r="E14761" t="inlineStr">
        <is>
          <t>HÄRNÖSAND</t>
        </is>
      </c>
      <c r="F14761" t="inlineStr">
        <is>
          <t>SCA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37792-2024</t>
        </is>
      </c>
      <c r="B14762" s="1" t="n">
        <v>45543</v>
      </c>
      <c r="C14762" s="1" t="n">
        <v>45657</v>
      </c>
      <c r="D14762" t="inlineStr">
        <is>
          <t>VÄSTERNORRLANDS LÄN</t>
        </is>
      </c>
      <c r="E14762" t="inlineStr">
        <is>
          <t>ÖRNSKÖLDSVIK</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37864-2024</t>
        </is>
      </c>
      <c r="B14763" s="1" t="n">
        <v>45544</v>
      </c>
      <c r="C14763" s="1" t="n">
        <v>45657</v>
      </c>
      <c r="D14763" t="inlineStr">
        <is>
          <t>VÄSTERNORRLANDS LÄN</t>
        </is>
      </c>
      <c r="E14763" t="inlineStr">
        <is>
          <t>ÖRNSKÖLDSVIK</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37924-2024</t>
        </is>
      </c>
      <c r="B14764" s="1" t="n">
        <v>45544</v>
      </c>
      <c r="C14764" s="1" t="n">
        <v>45657</v>
      </c>
      <c r="D14764" t="inlineStr">
        <is>
          <t>VÄSTERNORRLANDS LÄN</t>
        </is>
      </c>
      <c r="E14764" t="inlineStr">
        <is>
          <t>ÖRNSKÖLDSVIK</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37851-2024</t>
        </is>
      </c>
      <c r="B14765" s="1" t="n">
        <v>45544</v>
      </c>
      <c r="C14765" s="1" t="n">
        <v>45657</v>
      </c>
      <c r="D14765" t="inlineStr">
        <is>
          <t>VÄSTERNORRLANDS LÄN</t>
        </is>
      </c>
      <c r="E14765" t="inlineStr">
        <is>
          <t>ÖRNSKÖLDSVIK</t>
        </is>
      </c>
      <c r="F14765" t="inlineStr">
        <is>
          <t>Holmen skog AB</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37855-2024</t>
        </is>
      </c>
      <c r="B14766" s="1" t="n">
        <v>45544</v>
      </c>
      <c r="C14766" s="1" t="n">
        <v>45657</v>
      </c>
      <c r="D14766" t="inlineStr">
        <is>
          <t>VÄSTERNORRLANDS LÄN</t>
        </is>
      </c>
      <c r="E14766" t="inlineStr">
        <is>
          <t>ÖRNSKÖLDSVIK</t>
        </is>
      </c>
      <c r="F14766" t="inlineStr">
        <is>
          <t>Holmen skog AB</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37867-2024</t>
        </is>
      </c>
      <c r="B14767" s="1" t="n">
        <v>45544</v>
      </c>
      <c r="C14767" s="1" t="n">
        <v>45657</v>
      </c>
      <c r="D14767" t="inlineStr">
        <is>
          <t>VÄSTERNORRLANDS LÄN</t>
        </is>
      </c>
      <c r="E14767" t="inlineStr">
        <is>
          <t>KRAMFORS</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37871-2024</t>
        </is>
      </c>
      <c r="B14768" s="1" t="n">
        <v>45544</v>
      </c>
      <c r="C14768" s="1" t="n">
        <v>45657</v>
      </c>
      <c r="D14768" t="inlineStr">
        <is>
          <t>VÄSTERNORRLANDS LÄN</t>
        </is>
      </c>
      <c r="E14768" t="inlineStr">
        <is>
          <t>ÖRNSKÖLDSVIK</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37887-2024</t>
        </is>
      </c>
      <c r="B14769" s="1" t="n">
        <v>45544</v>
      </c>
      <c r="C14769" s="1" t="n">
        <v>45657</v>
      </c>
      <c r="D14769" t="inlineStr">
        <is>
          <t>VÄSTERNORRLANDS LÄN</t>
        </is>
      </c>
      <c r="E14769" t="inlineStr">
        <is>
          <t>SUNDSVALL</t>
        </is>
      </c>
      <c r="F14769" t="inlineStr">
        <is>
          <t>SCA</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37911-2024</t>
        </is>
      </c>
      <c r="B14770" s="1" t="n">
        <v>45544</v>
      </c>
      <c r="C14770" s="1" t="n">
        <v>45657</v>
      </c>
      <c r="D14770" t="inlineStr">
        <is>
          <t>VÄSTERNORRLANDS LÄN</t>
        </is>
      </c>
      <c r="E14770" t="inlineStr">
        <is>
          <t>ÖRNSKÖLDSVIK</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37939-2024</t>
        </is>
      </c>
      <c r="B14771" s="1" t="n">
        <v>45544</v>
      </c>
      <c r="C14771" s="1" t="n">
        <v>45657</v>
      </c>
      <c r="D14771" t="inlineStr">
        <is>
          <t>VÄSTERNORRLANDS LÄN</t>
        </is>
      </c>
      <c r="E14771" t="inlineStr">
        <is>
          <t>ÖRNSKÖLDSVIK</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37841-2024</t>
        </is>
      </c>
      <c r="B14772" s="1" t="n">
        <v>45544</v>
      </c>
      <c r="C14772" s="1" t="n">
        <v>45657</v>
      </c>
      <c r="D14772" t="inlineStr">
        <is>
          <t>VÄSTERNORRLANDS LÄN</t>
        </is>
      </c>
      <c r="E14772" t="inlineStr">
        <is>
          <t>TIMRÅ</t>
        </is>
      </c>
      <c r="F14772" t="inlineStr">
        <is>
          <t>SCA</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37992-2024</t>
        </is>
      </c>
      <c r="B14773" s="1" t="n">
        <v>45544</v>
      </c>
      <c r="C14773" s="1" t="n">
        <v>45657</v>
      </c>
      <c r="D14773" t="inlineStr">
        <is>
          <t>VÄSTERNORRLANDS LÄN</t>
        </is>
      </c>
      <c r="E14773" t="inlineStr">
        <is>
          <t>ÅNGE</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37861-2024</t>
        </is>
      </c>
      <c r="B14774" s="1" t="n">
        <v>45544</v>
      </c>
      <c r="C14774" s="1" t="n">
        <v>45657</v>
      </c>
      <c r="D14774" t="inlineStr">
        <is>
          <t>VÄSTERNORRLANDS LÄN</t>
        </is>
      </c>
      <c r="E14774" t="inlineStr">
        <is>
          <t>TIMRÅ</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37873-2024</t>
        </is>
      </c>
      <c r="B14775" s="1" t="n">
        <v>45544</v>
      </c>
      <c r="C14775" s="1" t="n">
        <v>45657</v>
      </c>
      <c r="D14775" t="inlineStr">
        <is>
          <t>VÄSTERNORRLANDS LÄN</t>
        </is>
      </c>
      <c r="E14775" t="inlineStr">
        <is>
          <t>ÖRNSKÖLDSVIK</t>
        </is>
      </c>
      <c r="G14775" t="n">
        <v>12.3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38021-2024</t>
        </is>
      </c>
      <c r="B14776" s="1" t="n">
        <v>45544</v>
      </c>
      <c r="C14776" s="1" t="n">
        <v>45657</v>
      </c>
      <c r="D14776" t="inlineStr">
        <is>
          <t>VÄSTERNORRLANDS LÄN</t>
        </is>
      </c>
      <c r="E14776" t="inlineStr">
        <is>
          <t>ÖRNSKÖLDSVIK</t>
        </is>
      </c>
      <c r="F14776" t="inlineStr">
        <is>
          <t>Holmen skog AB</t>
        </is>
      </c>
      <c r="G14776" t="n">
        <v>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37862-2024</t>
        </is>
      </c>
      <c r="B14777" s="1" t="n">
        <v>45544</v>
      </c>
      <c r="C14777" s="1" t="n">
        <v>45657</v>
      </c>
      <c r="D14777" t="inlineStr">
        <is>
          <t>VÄSTERNORRLANDS LÄN</t>
        </is>
      </c>
      <c r="E14777" t="inlineStr">
        <is>
          <t>TIMRÅ</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37886-2024</t>
        </is>
      </c>
      <c r="B14778" s="1" t="n">
        <v>45544</v>
      </c>
      <c r="C14778" s="1" t="n">
        <v>45657</v>
      </c>
      <c r="D14778" t="inlineStr">
        <is>
          <t>VÄSTERNORRLANDS LÄN</t>
        </is>
      </c>
      <c r="E14778" t="inlineStr">
        <is>
          <t>SUNDSVALL</t>
        </is>
      </c>
      <c r="F14778" t="inlineStr">
        <is>
          <t>SCA</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37898-2024</t>
        </is>
      </c>
      <c r="B14779" s="1" t="n">
        <v>45544</v>
      </c>
      <c r="C14779" s="1" t="n">
        <v>45657</v>
      </c>
      <c r="D14779" t="inlineStr">
        <is>
          <t>VÄSTERNORRLANDS LÄN</t>
        </is>
      </c>
      <c r="E14779" t="inlineStr">
        <is>
          <t>ÖRNSKÖLDSVIK</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37902-2024</t>
        </is>
      </c>
      <c r="B14780" s="1" t="n">
        <v>45544</v>
      </c>
      <c r="C14780" s="1" t="n">
        <v>45657</v>
      </c>
      <c r="D14780" t="inlineStr">
        <is>
          <t>VÄSTERNORRLANDS LÄN</t>
        </is>
      </c>
      <c r="E14780" t="inlineStr">
        <is>
          <t>SUNDSVALL</t>
        </is>
      </c>
      <c r="G14780" t="n">
        <v>13.7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37926-2024</t>
        </is>
      </c>
      <c r="B14781" s="1" t="n">
        <v>45544</v>
      </c>
      <c r="C14781" s="1" t="n">
        <v>45657</v>
      </c>
      <c r="D14781" t="inlineStr">
        <is>
          <t>VÄSTERNORRLANDS LÄN</t>
        </is>
      </c>
      <c r="E14781" t="inlineStr">
        <is>
          <t>ÖRNSKÖLDSVIK</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37930-2024</t>
        </is>
      </c>
      <c r="B14782" s="1" t="n">
        <v>45544</v>
      </c>
      <c r="C14782" s="1" t="n">
        <v>45657</v>
      </c>
      <c r="D14782" t="inlineStr">
        <is>
          <t>VÄSTERNORRLANDS LÄN</t>
        </is>
      </c>
      <c r="E14782" t="inlineStr">
        <is>
          <t>ÖRNSKÖLDSVIK</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37938-2024</t>
        </is>
      </c>
      <c r="B14783" s="1" t="n">
        <v>45544</v>
      </c>
      <c r="C14783" s="1" t="n">
        <v>45657</v>
      </c>
      <c r="D14783" t="inlineStr">
        <is>
          <t>VÄSTERNORRLANDS LÄN</t>
        </is>
      </c>
      <c r="E14783" t="inlineStr">
        <is>
          <t>ÖRNSKÖLDSVIK</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37991-2024</t>
        </is>
      </c>
      <c r="B14784" s="1" t="n">
        <v>45544</v>
      </c>
      <c r="C14784" s="1" t="n">
        <v>45657</v>
      </c>
      <c r="D14784" t="inlineStr">
        <is>
          <t>VÄSTERNORRLANDS LÄN</t>
        </is>
      </c>
      <c r="E14784" t="inlineStr">
        <is>
          <t>ÅNGE</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38002-2024</t>
        </is>
      </c>
      <c r="B14785" s="1" t="n">
        <v>45544</v>
      </c>
      <c r="C14785" s="1" t="n">
        <v>45657</v>
      </c>
      <c r="D14785" t="inlineStr">
        <is>
          <t>VÄSTERNORRLANDS LÄN</t>
        </is>
      </c>
      <c r="E14785" t="inlineStr">
        <is>
          <t>ÅNGE</t>
        </is>
      </c>
      <c r="F14785" t="inlineStr">
        <is>
          <t>SCA</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38033-2024</t>
        </is>
      </c>
      <c r="B14786" s="1" t="n">
        <v>45544</v>
      </c>
      <c r="C14786" s="1" t="n">
        <v>45657</v>
      </c>
      <c r="D14786" t="inlineStr">
        <is>
          <t>VÄSTERNORRLANDS LÄN</t>
        </is>
      </c>
      <c r="E14786" t="inlineStr">
        <is>
          <t>ÖRNSKÖLDSVIK</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38037-2024</t>
        </is>
      </c>
      <c r="B14787" s="1" t="n">
        <v>45544</v>
      </c>
      <c r="C14787" s="1" t="n">
        <v>45657</v>
      </c>
      <c r="D14787" t="inlineStr">
        <is>
          <t>VÄSTERNORRLANDS LÄN</t>
        </is>
      </c>
      <c r="E14787" t="inlineStr">
        <is>
          <t>ÖRNSKÖLDSVIK</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38054-2024</t>
        </is>
      </c>
      <c r="B14788" s="1" t="n">
        <v>45544</v>
      </c>
      <c r="C14788" s="1" t="n">
        <v>45657</v>
      </c>
      <c r="D14788" t="inlineStr">
        <is>
          <t>VÄSTERNORRLANDS LÄN</t>
        </is>
      </c>
      <c r="E14788" t="inlineStr">
        <is>
          <t>SOLLEFTEÅ</t>
        </is>
      </c>
      <c r="F14788" t="inlineStr">
        <is>
          <t>SCA</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38053-2024</t>
        </is>
      </c>
      <c r="B14789" s="1" t="n">
        <v>45544</v>
      </c>
      <c r="C14789" s="1" t="n">
        <v>45657</v>
      </c>
      <c r="D14789" t="inlineStr">
        <is>
          <t>VÄSTERNORRLANDS LÄN</t>
        </is>
      </c>
      <c r="E14789" t="inlineStr">
        <is>
          <t>SOLLEFTEÅ</t>
        </is>
      </c>
      <c r="F14789" t="inlineStr">
        <is>
          <t>SCA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38095-2024</t>
        </is>
      </c>
      <c r="B14790" s="1" t="n">
        <v>45545</v>
      </c>
      <c r="C14790" s="1" t="n">
        <v>45657</v>
      </c>
      <c r="D14790" t="inlineStr">
        <is>
          <t>VÄSTERNORRLANDS LÄN</t>
        </is>
      </c>
      <c r="E14790" t="inlineStr">
        <is>
          <t>SOLLEFTEÅ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38099-2024</t>
        </is>
      </c>
      <c r="B14791" s="1" t="n">
        <v>45545</v>
      </c>
      <c r="C14791" s="1" t="n">
        <v>45657</v>
      </c>
      <c r="D14791" t="inlineStr">
        <is>
          <t>VÄSTERNORRLANDS LÄN</t>
        </is>
      </c>
      <c r="E14791" t="inlineStr">
        <is>
          <t>ÅNGE</t>
        </is>
      </c>
      <c r="F14791" t="inlineStr">
        <is>
          <t>Holmen skog AB</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38146-2024</t>
        </is>
      </c>
      <c r="B14792" s="1" t="n">
        <v>45545</v>
      </c>
      <c r="C14792" s="1" t="n">
        <v>45657</v>
      </c>
      <c r="D14792" t="inlineStr">
        <is>
          <t>VÄSTERNORRLANDS LÄN</t>
        </is>
      </c>
      <c r="E14792" t="inlineStr">
        <is>
          <t>HÄRNÖSAND</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38118-2024</t>
        </is>
      </c>
      <c r="B14793" s="1" t="n">
        <v>45545</v>
      </c>
      <c r="C14793" s="1" t="n">
        <v>45657</v>
      </c>
      <c r="D14793" t="inlineStr">
        <is>
          <t>VÄSTERNORRLANDS LÄN</t>
        </is>
      </c>
      <c r="E14793" t="inlineStr">
        <is>
          <t>ÖRNSKÖLDSVIK</t>
        </is>
      </c>
      <c r="F14793" t="inlineStr">
        <is>
          <t>Holmen skog AB</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38231-2024</t>
        </is>
      </c>
      <c r="B14794" s="1" t="n">
        <v>45545</v>
      </c>
      <c r="C14794" s="1" t="n">
        <v>45657</v>
      </c>
      <c r="D14794" t="inlineStr">
        <is>
          <t>VÄSTERNORRLANDS LÄN</t>
        </is>
      </c>
      <c r="E14794" t="inlineStr">
        <is>
          <t>SOLLEFTEÅ</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38235-2024</t>
        </is>
      </c>
      <c r="B14795" s="1" t="n">
        <v>45545</v>
      </c>
      <c r="C14795" s="1" t="n">
        <v>45657</v>
      </c>
      <c r="D14795" t="inlineStr">
        <is>
          <t>VÄSTERNORRLANDS LÄN</t>
        </is>
      </c>
      <c r="E14795" t="inlineStr">
        <is>
          <t>ÖRNSKÖLDSVIK</t>
        </is>
      </c>
      <c r="F14795" t="inlineStr">
        <is>
          <t>Holmen skog AB</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38247-2024</t>
        </is>
      </c>
      <c r="B14796" s="1" t="n">
        <v>45545</v>
      </c>
      <c r="C14796" s="1" t="n">
        <v>45657</v>
      </c>
      <c r="D14796" t="inlineStr">
        <is>
          <t>VÄSTERNORRLANDS LÄN</t>
        </is>
      </c>
      <c r="E14796" t="inlineStr">
        <is>
          <t>KRAMFORS</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38177-2024</t>
        </is>
      </c>
      <c r="B14797" s="1" t="n">
        <v>45545</v>
      </c>
      <c r="C14797" s="1" t="n">
        <v>45657</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38245-2024</t>
        </is>
      </c>
      <c r="B14798" s="1" t="n">
        <v>45545</v>
      </c>
      <c r="C14798" s="1" t="n">
        <v>45657</v>
      </c>
      <c r="D14798" t="inlineStr">
        <is>
          <t>VÄSTERNORRLANDS LÄN</t>
        </is>
      </c>
      <c r="E14798" t="inlineStr">
        <is>
          <t>SOLLEFTEÅ</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38087-2024</t>
        </is>
      </c>
      <c r="B14799" s="1" t="n">
        <v>45545</v>
      </c>
      <c r="C14799" s="1" t="n">
        <v>45657</v>
      </c>
      <c r="D14799" t="inlineStr">
        <is>
          <t>VÄSTERNORRLANDS LÄN</t>
        </is>
      </c>
      <c r="E14799" t="inlineStr">
        <is>
          <t>ÖRNSKÖLDSVIK</t>
        </is>
      </c>
      <c r="G14799" t="n">
        <v>13.3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38249-2024</t>
        </is>
      </c>
      <c r="B14800" s="1" t="n">
        <v>45545</v>
      </c>
      <c r="C14800" s="1" t="n">
        <v>45657</v>
      </c>
      <c r="D14800" t="inlineStr">
        <is>
          <t>VÄSTERNORRLANDS LÄN</t>
        </is>
      </c>
      <c r="E14800" t="inlineStr">
        <is>
          <t>ÖRNSKÖLDSVIK</t>
        </is>
      </c>
      <c r="F14800" t="inlineStr">
        <is>
          <t>Holmen skog AB</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38273-2024</t>
        </is>
      </c>
      <c r="B14801" s="1" t="n">
        <v>45545</v>
      </c>
      <c r="C14801" s="1" t="n">
        <v>45657</v>
      </c>
      <c r="D14801" t="inlineStr">
        <is>
          <t>VÄSTERNORRLANDS LÄN</t>
        </is>
      </c>
      <c r="E14801" t="inlineStr">
        <is>
          <t>SOLLEFTEÅ</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38289-2024</t>
        </is>
      </c>
      <c r="B14802" s="1" t="n">
        <v>45545</v>
      </c>
      <c r="C14802" s="1" t="n">
        <v>45657</v>
      </c>
      <c r="D14802" t="inlineStr">
        <is>
          <t>VÄSTERNORRLANDS LÄN</t>
        </is>
      </c>
      <c r="E14802" t="inlineStr">
        <is>
          <t>ÖRNSKÖLDSVIK</t>
        </is>
      </c>
      <c r="F14802" t="inlineStr">
        <is>
          <t>Holmen skog AB</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38234-2024</t>
        </is>
      </c>
      <c r="B14803" s="1" t="n">
        <v>45545</v>
      </c>
      <c r="C14803" s="1" t="n">
        <v>45657</v>
      </c>
      <c r="D14803" t="inlineStr">
        <is>
          <t>VÄSTERNORRLANDS LÄN</t>
        </is>
      </c>
      <c r="E14803" t="inlineStr">
        <is>
          <t>SOLLEFTEÅ</t>
        </is>
      </c>
      <c r="F14803" t="inlineStr">
        <is>
          <t>Holmen skog AB</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38246-2024</t>
        </is>
      </c>
      <c r="B14804" s="1" t="n">
        <v>45545</v>
      </c>
      <c r="C14804" s="1" t="n">
        <v>45657</v>
      </c>
      <c r="D14804" t="inlineStr">
        <is>
          <t>VÄSTERNORRLANDS LÄN</t>
        </is>
      </c>
      <c r="E14804" t="inlineStr">
        <is>
          <t>ÅNGE</t>
        </is>
      </c>
      <c r="F14804" t="inlineStr">
        <is>
          <t>SCA</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38250-2024</t>
        </is>
      </c>
      <c r="B14805" s="1" t="n">
        <v>45545</v>
      </c>
      <c r="C14805" s="1" t="n">
        <v>45657</v>
      </c>
      <c r="D14805" t="inlineStr">
        <is>
          <t>VÄSTERNORRLANDS LÄN</t>
        </is>
      </c>
      <c r="E14805" t="inlineStr">
        <is>
          <t>SOLLEFTEÅ</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38262-2024</t>
        </is>
      </c>
      <c r="B14806" s="1" t="n">
        <v>45545</v>
      </c>
      <c r="C14806" s="1" t="n">
        <v>45657</v>
      </c>
      <c r="D14806" t="inlineStr">
        <is>
          <t>VÄSTERNORRLANDS LÄN</t>
        </is>
      </c>
      <c r="E14806" t="inlineStr">
        <is>
          <t>ÅNGE</t>
        </is>
      </c>
      <c r="F14806" t="inlineStr">
        <is>
          <t>SCA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38286-2024</t>
        </is>
      </c>
      <c r="B14807" s="1" t="n">
        <v>45545</v>
      </c>
      <c r="C14807" s="1" t="n">
        <v>45657</v>
      </c>
      <c r="D14807" t="inlineStr">
        <is>
          <t>VÄSTERNORRLANDS LÄN</t>
        </is>
      </c>
      <c r="E14807" t="inlineStr">
        <is>
          <t>TIMRÅ</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38314-2024</t>
        </is>
      </c>
      <c r="B14808" s="1" t="n">
        <v>45545</v>
      </c>
      <c r="C14808" s="1" t="n">
        <v>45657</v>
      </c>
      <c r="D14808" t="inlineStr">
        <is>
          <t>VÄSTERNORRLANDS LÄN</t>
        </is>
      </c>
      <c r="E14808" t="inlineStr">
        <is>
          <t>ÖRNSKÖLDSVIK</t>
        </is>
      </c>
      <c r="F14808" t="inlineStr">
        <is>
          <t>Holmen skog AB</t>
        </is>
      </c>
      <c r="G14808" t="n">
        <v>9.1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38275-2024</t>
        </is>
      </c>
      <c r="B14809" s="1" t="n">
        <v>45545</v>
      </c>
      <c r="C14809" s="1" t="n">
        <v>45657</v>
      </c>
      <c r="D14809" t="inlineStr">
        <is>
          <t>VÄSTERNORRLANDS LÄN</t>
        </is>
      </c>
      <c r="E14809" t="inlineStr">
        <is>
          <t>SOLLEFTEÅ</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38287-2024</t>
        </is>
      </c>
      <c r="B14810" s="1" t="n">
        <v>45545</v>
      </c>
      <c r="C14810" s="1" t="n">
        <v>45657</v>
      </c>
      <c r="D14810" t="inlineStr">
        <is>
          <t>VÄSTERNORRLANDS LÄN</t>
        </is>
      </c>
      <c r="E14810" t="inlineStr">
        <is>
          <t>SUNDSVALL</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38291-2024</t>
        </is>
      </c>
      <c r="B14811" s="1" t="n">
        <v>45545</v>
      </c>
      <c r="C14811" s="1" t="n">
        <v>45657</v>
      </c>
      <c r="D14811" t="inlineStr">
        <is>
          <t>VÄSTERNORRLANDS LÄN</t>
        </is>
      </c>
      <c r="E14811" t="inlineStr">
        <is>
          <t>ÖRNSKÖLDSVIK</t>
        </is>
      </c>
      <c r="F14811" t="inlineStr">
        <is>
          <t>Holmen skog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38303-2024</t>
        </is>
      </c>
      <c r="B14812" s="1" t="n">
        <v>45545</v>
      </c>
      <c r="C14812" s="1" t="n">
        <v>45657</v>
      </c>
      <c r="D14812" t="inlineStr">
        <is>
          <t>VÄSTERNORRLANDS LÄN</t>
        </is>
      </c>
      <c r="E14812" t="inlineStr">
        <is>
          <t>SUNDSVALL</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38307-2024</t>
        </is>
      </c>
      <c r="B14813" s="1" t="n">
        <v>45545</v>
      </c>
      <c r="C14813" s="1" t="n">
        <v>45657</v>
      </c>
      <c r="D14813" t="inlineStr">
        <is>
          <t>VÄSTERNORRLANDS LÄN</t>
        </is>
      </c>
      <c r="E14813" t="inlineStr">
        <is>
          <t>ÖRNSKÖLDSVIK</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38331-2024</t>
        </is>
      </c>
      <c r="B14814" s="1" t="n">
        <v>45545</v>
      </c>
      <c r="C14814" s="1" t="n">
        <v>45657</v>
      </c>
      <c r="D14814" t="inlineStr">
        <is>
          <t>VÄSTERNORRLANDS LÄN</t>
        </is>
      </c>
      <c r="E14814" t="inlineStr">
        <is>
          <t>ÖRNSKÖLDSVIK</t>
        </is>
      </c>
      <c r="F14814" t="inlineStr">
        <is>
          <t>Holmen skog AB</t>
        </is>
      </c>
      <c r="G14814" t="n">
        <v>9.4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38334-2024</t>
        </is>
      </c>
      <c r="B14815" s="1" t="n">
        <v>45545</v>
      </c>
      <c r="C14815" s="1" t="n">
        <v>45657</v>
      </c>
      <c r="D14815" t="inlineStr">
        <is>
          <t>VÄSTERNORRLANDS LÄN</t>
        </is>
      </c>
      <c r="E14815" t="inlineStr">
        <is>
          <t>ÖRNSKÖLDSVIK</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38329-2024</t>
        </is>
      </c>
      <c r="B14816" s="1" t="n">
        <v>45545</v>
      </c>
      <c r="C14816" s="1" t="n">
        <v>45657</v>
      </c>
      <c r="D14816" t="inlineStr">
        <is>
          <t>VÄSTERNORRLANDS LÄN</t>
        </is>
      </c>
      <c r="E14816" t="inlineStr">
        <is>
          <t>ÖRNSKÖLDSVIK</t>
        </is>
      </c>
      <c r="G14816" t="n">
        <v>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38264-2024</t>
        </is>
      </c>
      <c r="B14817" s="1" t="n">
        <v>45545</v>
      </c>
      <c r="C14817" s="1" t="n">
        <v>45657</v>
      </c>
      <c r="D14817" t="inlineStr">
        <is>
          <t>VÄSTERNORRLANDS LÄN</t>
        </is>
      </c>
      <c r="E14817" t="inlineStr">
        <is>
          <t>ÖRNSKÖLDSVIK</t>
        </is>
      </c>
      <c r="F14817" t="inlineStr">
        <is>
          <t>Holmen skog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38272-2024</t>
        </is>
      </c>
      <c r="B14818" s="1" t="n">
        <v>45545</v>
      </c>
      <c r="C14818" s="1" t="n">
        <v>45657</v>
      </c>
      <c r="D14818" t="inlineStr">
        <is>
          <t>VÄSTERNORRLANDS LÄN</t>
        </is>
      </c>
      <c r="E14818" t="inlineStr">
        <is>
          <t>ÅNGE</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38288-2024</t>
        </is>
      </c>
      <c r="B14819" s="1" t="n">
        <v>45545</v>
      </c>
      <c r="C14819" s="1" t="n">
        <v>45657</v>
      </c>
      <c r="D14819" t="inlineStr">
        <is>
          <t>VÄSTERNORRLANDS LÄN</t>
        </is>
      </c>
      <c r="E14819" t="inlineStr">
        <is>
          <t>TIMRÅ</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38292-2024</t>
        </is>
      </c>
      <c r="B14820" s="1" t="n">
        <v>45545</v>
      </c>
      <c r="C14820" s="1" t="n">
        <v>45657</v>
      </c>
      <c r="D14820" t="inlineStr">
        <is>
          <t>VÄSTERNORRLANDS LÄN</t>
        </is>
      </c>
      <c r="E14820" t="inlineStr">
        <is>
          <t>ÖRNSKÖLDSVIK</t>
        </is>
      </c>
      <c r="F14820" t="inlineStr">
        <is>
          <t>Holmen skog AB</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38296-2024</t>
        </is>
      </c>
      <c r="B14821" s="1" t="n">
        <v>45545</v>
      </c>
      <c r="C14821" s="1" t="n">
        <v>45657</v>
      </c>
      <c r="D14821" t="inlineStr">
        <is>
          <t>VÄSTERNORRLANDS LÄN</t>
        </is>
      </c>
      <c r="E14821" t="inlineStr">
        <is>
          <t>ÖRNSKÖLDSVIK</t>
        </is>
      </c>
      <c r="F14821" t="inlineStr">
        <is>
          <t>Holmen skog AB</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38492-2024</t>
        </is>
      </c>
      <c r="B14822" s="1" t="n">
        <v>45546</v>
      </c>
      <c r="C14822" s="1" t="n">
        <v>45657</v>
      </c>
      <c r="D14822" t="inlineStr">
        <is>
          <t>VÄSTERNORRLANDS LÄN</t>
        </is>
      </c>
      <c r="E14822" t="inlineStr">
        <is>
          <t>KRAMFORS</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38510-2024</t>
        </is>
      </c>
      <c r="B14823" s="1" t="n">
        <v>45546</v>
      </c>
      <c r="C14823" s="1" t="n">
        <v>45657</v>
      </c>
      <c r="D14823" t="inlineStr">
        <is>
          <t>VÄSTERNORRLANDS LÄN</t>
        </is>
      </c>
      <c r="E14823" t="inlineStr">
        <is>
          <t>ÅNGE</t>
        </is>
      </c>
      <c r="F14823" t="inlineStr">
        <is>
          <t>SCA</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38403-2024</t>
        </is>
      </c>
      <c r="B14824" s="1" t="n">
        <v>45546</v>
      </c>
      <c r="C14824" s="1" t="n">
        <v>45657</v>
      </c>
      <c r="D14824" t="inlineStr">
        <is>
          <t>VÄSTERNORRLANDS LÄN</t>
        </is>
      </c>
      <c r="E14824" t="inlineStr">
        <is>
          <t>ÅNGE</t>
        </is>
      </c>
      <c r="F14824" t="inlineStr">
        <is>
          <t>SCA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38584-2024</t>
        </is>
      </c>
      <c r="B14825" s="1" t="n">
        <v>45546</v>
      </c>
      <c r="C14825" s="1" t="n">
        <v>45657</v>
      </c>
      <c r="D14825" t="inlineStr">
        <is>
          <t>VÄSTERNORRLANDS LÄN</t>
        </is>
      </c>
      <c r="E14825" t="inlineStr">
        <is>
          <t>ÖRNSKÖLDSVIK</t>
        </is>
      </c>
      <c r="F14825" t="inlineStr">
        <is>
          <t>Holmen skog AB</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38592-2024</t>
        </is>
      </c>
      <c r="B14826" s="1" t="n">
        <v>45546</v>
      </c>
      <c r="C14826" s="1" t="n">
        <v>45657</v>
      </c>
      <c r="D14826" t="inlineStr">
        <is>
          <t>VÄSTERNORRLANDS LÄN</t>
        </is>
      </c>
      <c r="E14826" t="inlineStr">
        <is>
          <t>SOLLEFTEÅ</t>
        </is>
      </c>
      <c r="F14826" t="inlineStr">
        <is>
          <t>SCA</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38604-2024</t>
        </is>
      </c>
      <c r="B14827" s="1" t="n">
        <v>45546</v>
      </c>
      <c r="C14827" s="1" t="n">
        <v>45657</v>
      </c>
      <c r="D14827" t="inlineStr">
        <is>
          <t>VÄSTERNORRLANDS LÄN</t>
        </is>
      </c>
      <c r="E14827" t="inlineStr">
        <is>
          <t>ÅNGE</t>
        </is>
      </c>
      <c r="F14827" t="inlineStr">
        <is>
          <t>SCA</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38553-2024</t>
        </is>
      </c>
      <c r="B14828" s="1" t="n">
        <v>45546</v>
      </c>
      <c r="C14828" s="1" t="n">
        <v>45657</v>
      </c>
      <c r="D14828" t="inlineStr">
        <is>
          <t>VÄSTERNORRLANDS LÄN</t>
        </is>
      </c>
      <c r="E14828" t="inlineStr">
        <is>
          <t>KRAMFORS</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38607-2024</t>
        </is>
      </c>
      <c r="B14829" s="1" t="n">
        <v>45546</v>
      </c>
      <c r="C14829" s="1" t="n">
        <v>45657</v>
      </c>
      <c r="D14829" t="inlineStr">
        <is>
          <t>VÄSTERNORRLANDS LÄN</t>
        </is>
      </c>
      <c r="E14829" t="inlineStr">
        <is>
          <t>ÅNGE</t>
        </is>
      </c>
      <c r="F14829" t="inlineStr">
        <is>
          <t>SCA</t>
        </is>
      </c>
      <c r="G14829" t="n">
        <v>1.5</v>
      </c>
      <c r="H14829" t="n">
        <v>0</v>
      </c>
      <c r="I14829" t="n">
        <v>0</v>
      </c>
      <c r="J14829" t="n">
        <v>0</v>
      </c>
      <c r="K14829" t="n">
        <v>0</v>
      </c>
      <c r="L14829" t="n">
        <v>0</v>
      </c>
      <c r="M14829" t="n">
        <v>0</v>
      </c>
      <c r="N14829" t="n">
        <v>0</v>
      </c>
      <c r="O14829" t="n">
        <v>0</v>
      </c>
      <c r="P14829" t="n">
        <v>0</v>
      </c>
      <c r="Q14829" t="n">
        <v>0</v>
      </c>
      <c r="R14829" s="2" t="inlineStr"/>
      <c r="U14829">
        <f>HYPERLINK("https://klasma.github.io/Logging_2260/knärot/A 38607-2024 karta knärot.png", "A 38607-2024")</f>
        <v/>
      </c>
      <c r="V14829">
        <f>HYPERLINK("https://klasma.github.io/Logging_2260/klagomål/A 38607-2024 FSC-klagomål.docx", "A 38607-2024")</f>
        <v/>
      </c>
      <c r="W14829">
        <f>HYPERLINK("https://klasma.github.io/Logging_2260/klagomålsmail/A 38607-2024 FSC-klagomål mail.docx", "A 38607-2024")</f>
        <v/>
      </c>
      <c r="X14829">
        <f>HYPERLINK("https://klasma.github.io/Logging_2260/tillsyn/A 38607-2024 tillsynsbegäran.docx", "A 38607-2024")</f>
        <v/>
      </c>
      <c r="Y14829">
        <f>HYPERLINK("https://klasma.github.io/Logging_2260/tillsynsmail/A 38607-2024 tillsynsbegäran mail.docx", "A 38607-2024")</f>
        <v/>
      </c>
    </row>
    <row r="14830" ht="15" customHeight="1">
      <c r="A14830" t="inlineStr">
        <is>
          <t>A 41170-2024</t>
        </is>
      </c>
      <c r="B14830" s="1" t="n">
        <v>45546</v>
      </c>
      <c r="C14830" s="1" t="n">
        <v>45657</v>
      </c>
      <c r="D14830" t="inlineStr">
        <is>
          <t>VÄSTERNORRLANDS LÄN</t>
        </is>
      </c>
      <c r="E14830" t="inlineStr">
        <is>
          <t>SOLLEFTEÅ</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38684-2024</t>
        </is>
      </c>
      <c r="B14831" s="1" t="n">
        <v>45547</v>
      </c>
      <c r="C14831" s="1" t="n">
        <v>45657</v>
      </c>
      <c r="D14831" t="inlineStr">
        <is>
          <t>VÄSTERNORRLANDS LÄN</t>
        </is>
      </c>
      <c r="E14831" t="inlineStr">
        <is>
          <t>TIMRÅ</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38688-2024</t>
        </is>
      </c>
      <c r="B14832" s="1" t="n">
        <v>45547</v>
      </c>
      <c r="C14832" s="1" t="n">
        <v>45657</v>
      </c>
      <c r="D14832" t="inlineStr">
        <is>
          <t>VÄSTERNORRLANDS LÄN</t>
        </is>
      </c>
      <c r="E14832" t="inlineStr">
        <is>
          <t>ÅNGE</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38714-2024</t>
        </is>
      </c>
      <c r="B14833" s="1" t="n">
        <v>45547</v>
      </c>
      <c r="C14833" s="1" t="n">
        <v>45657</v>
      </c>
      <c r="D14833" t="inlineStr">
        <is>
          <t>VÄSTERNORRLANDS LÄN</t>
        </is>
      </c>
      <c r="E14833" t="inlineStr">
        <is>
          <t>ÖRNSKÖLDSVIK</t>
        </is>
      </c>
      <c r="F14833" t="inlineStr">
        <is>
          <t>Holmen skog AB</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38709-2024</t>
        </is>
      </c>
      <c r="B14834" s="1" t="n">
        <v>45547</v>
      </c>
      <c r="C14834" s="1" t="n">
        <v>45657</v>
      </c>
      <c r="D14834" t="inlineStr">
        <is>
          <t>VÄSTERNORRLANDS LÄN</t>
        </is>
      </c>
      <c r="E14834" t="inlineStr">
        <is>
          <t>ÖRNSKÖLDSVIK</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38746-2024</t>
        </is>
      </c>
      <c r="B14835" s="1" t="n">
        <v>45547</v>
      </c>
      <c r="C14835" s="1" t="n">
        <v>45657</v>
      </c>
      <c r="D14835" t="inlineStr">
        <is>
          <t>VÄSTERNORRLANDS LÄN</t>
        </is>
      </c>
      <c r="E14835" t="inlineStr">
        <is>
          <t>ÖRNSKÖLDSVIK</t>
        </is>
      </c>
      <c r="G14835" t="n">
        <v>9.4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38745-2024</t>
        </is>
      </c>
      <c r="B14836" s="1" t="n">
        <v>45547</v>
      </c>
      <c r="C14836" s="1" t="n">
        <v>45657</v>
      </c>
      <c r="D14836" t="inlineStr">
        <is>
          <t>VÄSTERNORRLANDS LÄN</t>
        </is>
      </c>
      <c r="E14836" t="inlineStr">
        <is>
          <t>ÖRNSKÖLDSVIK</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38749-2024</t>
        </is>
      </c>
      <c r="B14837" s="1" t="n">
        <v>45547</v>
      </c>
      <c r="C14837" s="1" t="n">
        <v>45657</v>
      </c>
      <c r="D14837" t="inlineStr">
        <is>
          <t>VÄSTERNORRLANDS LÄN</t>
        </is>
      </c>
      <c r="E14837" t="inlineStr">
        <is>
          <t>SOLLEFTEÅ</t>
        </is>
      </c>
      <c r="F14837" t="inlineStr">
        <is>
          <t>SCA</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38768-2024</t>
        </is>
      </c>
      <c r="B14838" s="1" t="n">
        <v>45547</v>
      </c>
      <c r="C14838" s="1" t="n">
        <v>45657</v>
      </c>
      <c r="D14838" t="inlineStr">
        <is>
          <t>VÄSTERNORRLANDS LÄN</t>
        </is>
      </c>
      <c r="E14838" t="inlineStr">
        <is>
          <t>SOLLEFTEÅ</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38753-2024</t>
        </is>
      </c>
      <c r="B14839" s="1" t="n">
        <v>45547</v>
      </c>
      <c r="C14839" s="1" t="n">
        <v>45657</v>
      </c>
      <c r="D14839" t="inlineStr">
        <is>
          <t>VÄSTERNORRLANDS LÄN</t>
        </is>
      </c>
      <c r="E14839" t="inlineStr">
        <is>
          <t>ÖRNSKÖLDSVIK</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38765-2024</t>
        </is>
      </c>
      <c r="B14840" s="1" t="n">
        <v>45547</v>
      </c>
      <c r="C14840" s="1" t="n">
        <v>45657</v>
      </c>
      <c r="D14840" t="inlineStr">
        <is>
          <t>VÄSTERNORRLANDS LÄN</t>
        </is>
      </c>
      <c r="E14840" t="inlineStr">
        <is>
          <t>ÖRNSKÖLDSVIK</t>
        </is>
      </c>
      <c r="F14840" t="inlineStr">
        <is>
          <t>Holmen skog AB</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38769-2024</t>
        </is>
      </c>
      <c r="B14841" s="1" t="n">
        <v>45547</v>
      </c>
      <c r="C14841" s="1" t="n">
        <v>45657</v>
      </c>
      <c r="D14841" t="inlineStr">
        <is>
          <t>VÄSTERNORRLANDS LÄN</t>
        </is>
      </c>
      <c r="E14841" t="inlineStr">
        <is>
          <t>SOLLEFTEÅ</t>
        </is>
      </c>
      <c r="F14841" t="inlineStr">
        <is>
          <t>SCA</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38780-2024</t>
        </is>
      </c>
      <c r="B14842" s="1" t="n">
        <v>45547</v>
      </c>
      <c r="C14842" s="1" t="n">
        <v>45657</v>
      </c>
      <c r="D14842" t="inlineStr">
        <is>
          <t>VÄSTERNORRLANDS LÄN</t>
        </is>
      </c>
      <c r="E14842" t="inlineStr">
        <is>
          <t>KRAMFORS</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38800-2024</t>
        </is>
      </c>
      <c r="B14843" s="1" t="n">
        <v>45547</v>
      </c>
      <c r="C14843" s="1" t="n">
        <v>45657</v>
      </c>
      <c r="D14843" t="inlineStr">
        <is>
          <t>VÄSTERNORRLANDS LÄN</t>
        </is>
      </c>
      <c r="E14843" t="inlineStr">
        <is>
          <t>ÅNGE</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38750-2024</t>
        </is>
      </c>
      <c r="B14844" s="1" t="n">
        <v>45547</v>
      </c>
      <c r="C14844" s="1" t="n">
        <v>45657</v>
      </c>
      <c r="D14844" t="inlineStr">
        <is>
          <t>VÄSTERNORRLANDS LÄN</t>
        </is>
      </c>
      <c r="E14844" t="inlineStr">
        <is>
          <t>ÖRNSKÖLDSVIK</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38766-2024</t>
        </is>
      </c>
      <c r="B14845" s="1" t="n">
        <v>45547</v>
      </c>
      <c r="C14845" s="1" t="n">
        <v>45657</v>
      </c>
      <c r="D14845" t="inlineStr">
        <is>
          <t>VÄSTERNORRLANDS LÄN</t>
        </is>
      </c>
      <c r="E14845" t="inlineStr">
        <is>
          <t>SOLLEFTEÅ</t>
        </is>
      </c>
      <c r="F14845" t="inlineStr">
        <is>
          <t>SCA</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38661-2024</t>
        </is>
      </c>
      <c r="B14846" s="1" t="n">
        <v>45547</v>
      </c>
      <c r="C14846" s="1" t="n">
        <v>45657</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38767-2024</t>
        </is>
      </c>
      <c r="B14847" s="1" t="n">
        <v>45547</v>
      </c>
      <c r="C14847" s="1" t="n">
        <v>45657</v>
      </c>
      <c r="D14847" t="inlineStr">
        <is>
          <t>VÄSTERNORRLANDS LÄN</t>
        </is>
      </c>
      <c r="E14847" t="inlineStr">
        <is>
          <t>SOLLEFTEÅ</t>
        </is>
      </c>
      <c r="F14847" t="inlineStr">
        <is>
          <t>SCA</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38830-2024</t>
        </is>
      </c>
      <c r="B14848" s="1" t="n">
        <v>45547</v>
      </c>
      <c r="C14848" s="1" t="n">
        <v>45657</v>
      </c>
      <c r="D14848" t="inlineStr">
        <is>
          <t>VÄSTERNORRLANDS LÄN</t>
        </is>
      </c>
      <c r="E14848" t="inlineStr">
        <is>
          <t>KRAMFORS</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38807-2024</t>
        </is>
      </c>
      <c r="B14849" s="1" t="n">
        <v>45547</v>
      </c>
      <c r="C14849" s="1" t="n">
        <v>45657</v>
      </c>
      <c r="D14849" t="inlineStr">
        <is>
          <t>VÄSTERNORRLANDS LÄN</t>
        </is>
      </c>
      <c r="E14849" t="inlineStr">
        <is>
          <t>SUNDSVALL</t>
        </is>
      </c>
      <c r="F14849" t="inlineStr">
        <is>
          <t>Holmen skog AB</t>
        </is>
      </c>
      <c r="G14849" t="n">
        <v>6.6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38864-2024</t>
        </is>
      </c>
      <c r="B14850" s="1" t="n">
        <v>45547</v>
      </c>
      <c r="C14850" s="1" t="n">
        <v>45657</v>
      </c>
      <c r="D14850" t="inlineStr">
        <is>
          <t>VÄSTERNORRLANDS LÄN</t>
        </is>
      </c>
      <c r="E14850" t="inlineStr">
        <is>
          <t>SUNDSVALL</t>
        </is>
      </c>
      <c r="F14850" t="inlineStr">
        <is>
          <t>Holmen skog AB</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38867-2024</t>
        </is>
      </c>
      <c r="B14851" s="1" t="n">
        <v>45547</v>
      </c>
      <c r="C14851" s="1" t="n">
        <v>45657</v>
      </c>
      <c r="D14851" t="inlineStr">
        <is>
          <t>VÄSTERNORRLANDS LÄN</t>
        </is>
      </c>
      <c r="E14851" t="inlineStr">
        <is>
          <t>ÖRNSKÖLDSVIK</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38894-2024</t>
        </is>
      </c>
      <c r="B14852" s="1" t="n">
        <v>45547</v>
      </c>
      <c r="C14852" s="1" t="n">
        <v>45657</v>
      </c>
      <c r="D14852" t="inlineStr">
        <is>
          <t>VÄSTERNORRLANDS LÄN</t>
        </is>
      </c>
      <c r="E14852" t="inlineStr">
        <is>
          <t>ÖRNSKÖLDSVIK</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38888-2024</t>
        </is>
      </c>
      <c r="B14853" s="1" t="n">
        <v>45547</v>
      </c>
      <c r="C14853" s="1" t="n">
        <v>45657</v>
      </c>
      <c r="D14853" t="inlineStr">
        <is>
          <t>VÄSTERNORRLANDS LÄN</t>
        </is>
      </c>
      <c r="E14853" t="inlineStr">
        <is>
          <t>ÖRNSKÖLDSVIK</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38942-2024</t>
        </is>
      </c>
      <c r="B14854" s="1" t="n">
        <v>45548</v>
      </c>
      <c r="C14854" s="1" t="n">
        <v>45657</v>
      </c>
      <c r="D14854" t="inlineStr">
        <is>
          <t>VÄSTERNORRLANDS LÄN</t>
        </is>
      </c>
      <c r="E14854" t="inlineStr">
        <is>
          <t>SUNDSVALL</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38945-2024</t>
        </is>
      </c>
      <c r="B14855" s="1" t="n">
        <v>45548</v>
      </c>
      <c r="C14855" s="1" t="n">
        <v>45657</v>
      </c>
      <c r="D14855" t="inlineStr">
        <is>
          <t>VÄSTERNORRLANDS LÄN</t>
        </is>
      </c>
      <c r="E14855" t="inlineStr">
        <is>
          <t>HÄRNÖSAND</t>
        </is>
      </c>
      <c r="F14855" t="inlineStr">
        <is>
          <t>SCA</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38939-2024</t>
        </is>
      </c>
      <c r="B14856" s="1" t="n">
        <v>45548</v>
      </c>
      <c r="C14856" s="1" t="n">
        <v>45657</v>
      </c>
      <c r="D14856" t="inlineStr">
        <is>
          <t>VÄSTERNORRLANDS LÄN</t>
        </is>
      </c>
      <c r="E14856" t="inlineStr">
        <is>
          <t>SUNDSVALL</t>
        </is>
      </c>
      <c r="F14856" t="inlineStr">
        <is>
          <t>SCA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38966-2024</t>
        </is>
      </c>
      <c r="B14857" s="1" t="n">
        <v>45548</v>
      </c>
      <c r="C14857" s="1" t="n">
        <v>45657</v>
      </c>
      <c r="D14857" t="inlineStr">
        <is>
          <t>VÄSTERNORRLANDS LÄN</t>
        </is>
      </c>
      <c r="E14857" t="inlineStr">
        <is>
          <t>ÖRNSKÖLDSVIK</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39094-2024</t>
        </is>
      </c>
      <c r="B14858" s="1" t="n">
        <v>45548</v>
      </c>
      <c r="C14858" s="1" t="n">
        <v>45657</v>
      </c>
      <c r="D14858" t="inlineStr">
        <is>
          <t>VÄSTERNORRLANDS LÄN</t>
        </is>
      </c>
      <c r="E14858" t="inlineStr">
        <is>
          <t>TIMRÅ</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39110-2024</t>
        </is>
      </c>
      <c r="B14859" s="1" t="n">
        <v>45548</v>
      </c>
      <c r="C14859" s="1" t="n">
        <v>45657</v>
      </c>
      <c r="D14859" t="inlineStr">
        <is>
          <t>VÄSTERNORRLANDS LÄN</t>
        </is>
      </c>
      <c r="E14859" t="inlineStr">
        <is>
          <t>TIMRÅ</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38990-2024</t>
        </is>
      </c>
      <c r="B14860" s="1" t="n">
        <v>45548</v>
      </c>
      <c r="C14860" s="1" t="n">
        <v>45657</v>
      </c>
      <c r="D14860" t="inlineStr">
        <is>
          <t>VÄSTERNORRLANDS LÄN</t>
        </is>
      </c>
      <c r="E14860" t="inlineStr">
        <is>
          <t>ÅNGE</t>
        </is>
      </c>
      <c r="F14860" t="inlineStr">
        <is>
          <t>SCA</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39142-2024</t>
        </is>
      </c>
      <c r="B14861" s="1" t="n">
        <v>45548</v>
      </c>
      <c r="C14861" s="1" t="n">
        <v>45657</v>
      </c>
      <c r="D14861" t="inlineStr">
        <is>
          <t>VÄSTERNORRLANDS LÄN</t>
        </is>
      </c>
      <c r="E14861" t="inlineStr">
        <is>
          <t>SOLLEFTEÅ</t>
        </is>
      </c>
      <c r="F14861" t="inlineStr">
        <is>
          <t>SCA</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39005-2024</t>
        </is>
      </c>
      <c r="B14862" s="1" t="n">
        <v>45548</v>
      </c>
      <c r="C14862" s="1" t="n">
        <v>45657</v>
      </c>
      <c r="D14862" t="inlineStr">
        <is>
          <t>VÄSTERNORRLANDS LÄN</t>
        </is>
      </c>
      <c r="E14862" t="inlineStr">
        <is>
          <t>ÅNGE</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39013-2024</t>
        </is>
      </c>
      <c r="B14863" s="1" t="n">
        <v>45548</v>
      </c>
      <c r="C14863" s="1" t="n">
        <v>45657</v>
      </c>
      <c r="D14863" t="inlineStr">
        <is>
          <t>VÄSTERNORRLANDS LÄN</t>
        </is>
      </c>
      <c r="E14863" t="inlineStr">
        <is>
          <t>SUNDSVALL</t>
        </is>
      </c>
      <c r="G14863" t="n">
        <v>12.8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39021-2024</t>
        </is>
      </c>
      <c r="B14864" s="1" t="n">
        <v>45548</v>
      </c>
      <c r="C14864" s="1" t="n">
        <v>45657</v>
      </c>
      <c r="D14864" t="inlineStr">
        <is>
          <t>VÄSTERNORRLANDS LÄN</t>
        </is>
      </c>
      <c r="E14864" t="inlineStr">
        <is>
          <t>ÅNGE</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39037-2024</t>
        </is>
      </c>
      <c r="B14865" s="1" t="n">
        <v>45548</v>
      </c>
      <c r="C14865" s="1" t="n">
        <v>45657</v>
      </c>
      <c r="D14865" t="inlineStr">
        <is>
          <t>VÄSTERNORRLANDS LÄN</t>
        </is>
      </c>
      <c r="E14865" t="inlineStr">
        <is>
          <t>SUNDSVALL</t>
        </is>
      </c>
      <c r="F14865" t="inlineStr">
        <is>
          <t>SCA</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39088-2024</t>
        </is>
      </c>
      <c r="B14866" s="1" t="n">
        <v>45548</v>
      </c>
      <c r="C14866" s="1" t="n">
        <v>45657</v>
      </c>
      <c r="D14866" t="inlineStr">
        <is>
          <t>VÄSTERNORRLANDS LÄN</t>
        </is>
      </c>
      <c r="E14866" t="inlineStr">
        <is>
          <t>ÖRNSKÖLDSVIK</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38992-2024</t>
        </is>
      </c>
      <c r="B14867" s="1" t="n">
        <v>45548</v>
      </c>
      <c r="C14867" s="1" t="n">
        <v>45657</v>
      </c>
      <c r="D14867" t="inlineStr">
        <is>
          <t>VÄSTERNORRLANDS LÄN</t>
        </is>
      </c>
      <c r="E14867" t="inlineStr">
        <is>
          <t>TIMRÅ</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38996-2024</t>
        </is>
      </c>
      <c r="B14868" s="1" t="n">
        <v>45548</v>
      </c>
      <c r="C14868" s="1" t="n">
        <v>45657</v>
      </c>
      <c r="D14868" t="inlineStr">
        <is>
          <t>VÄSTERNORRLANDS LÄN</t>
        </is>
      </c>
      <c r="E14868" t="inlineStr">
        <is>
          <t>TIMRÅ</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39004-2024</t>
        </is>
      </c>
      <c r="B14869" s="1" t="n">
        <v>45548</v>
      </c>
      <c r="C14869" s="1" t="n">
        <v>45657</v>
      </c>
      <c r="D14869" t="inlineStr">
        <is>
          <t>VÄSTERNORRLANDS LÄN</t>
        </is>
      </c>
      <c r="E14869" t="inlineStr">
        <is>
          <t>SUNDSVALL</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39016-2024</t>
        </is>
      </c>
      <c r="B14870" s="1" t="n">
        <v>45548</v>
      </c>
      <c r="C14870" s="1" t="n">
        <v>45657</v>
      </c>
      <c r="D14870" t="inlineStr">
        <is>
          <t>VÄSTERNORRLANDS LÄN</t>
        </is>
      </c>
      <c r="E14870" t="inlineStr">
        <is>
          <t>ÖRNSKÖLDSVIK</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39119-2024</t>
        </is>
      </c>
      <c r="B14871" s="1" t="n">
        <v>45548</v>
      </c>
      <c r="C14871" s="1" t="n">
        <v>45657</v>
      </c>
      <c r="D14871" t="inlineStr">
        <is>
          <t>VÄSTERNORRLANDS LÄN</t>
        </is>
      </c>
      <c r="E14871" t="inlineStr">
        <is>
          <t>ÅNGE</t>
        </is>
      </c>
      <c r="G14871" t="n">
        <v>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39123-2024</t>
        </is>
      </c>
      <c r="B14872" s="1" t="n">
        <v>45548</v>
      </c>
      <c r="C14872" s="1" t="n">
        <v>45657</v>
      </c>
      <c r="D14872" t="inlineStr">
        <is>
          <t>VÄSTERNORRLANDS LÄN</t>
        </is>
      </c>
      <c r="E14872" t="inlineStr">
        <is>
          <t>HÄRNÖSAND</t>
        </is>
      </c>
      <c r="F14872" t="inlineStr">
        <is>
          <t>SCA</t>
        </is>
      </c>
      <c r="G14872" t="n">
        <v>11.5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39127-2024</t>
        </is>
      </c>
      <c r="B14873" s="1" t="n">
        <v>45548</v>
      </c>
      <c r="C14873" s="1" t="n">
        <v>45657</v>
      </c>
      <c r="D14873" t="inlineStr">
        <is>
          <t>VÄSTERNORRLANDS LÄN</t>
        </is>
      </c>
      <c r="E14873" t="inlineStr">
        <is>
          <t>TIMRÅ</t>
        </is>
      </c>
      <c r="G14873" t="n">
        <v>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39174-2024</t>
        </is>
      </c>
      <c r="B14874" s="1" t="n">
        <v>45548</v>
      </c>
      <c r="C14874" s="1" t="n">
        <v>45657</v>
      </c>
      <c r="D14874" t="inlineStr">
        <is>
          <t>VÄSTERNORRLANDS LÄN</t>
        </is>
      </c>
      <c r="E14874" t="inlineStr">
        <is>
          <t>ÅNGE</t>
        </is>
      </c>
      <c r="F14874" t="inlineStr">
        <is>
          <t>SCA</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39178-2024</t>
        </is>
      </c>
      <c r="B14875" s="1" t="n">
        <v>45548</v>
      </c>
      <c r="C14875" s="1" t="n">
        <v>45657</v>
      </c>
      <c r="D14875" t="inlineStr">
        <is>
          <t>VÄSTERNORRLANDS LÄN</t>
        </is>
      </c>
      <c r="E14875" t="inlineStr">
        <is>
          <t>ÅNGE</t>
        </is>
      </c>
      <c r="F14875" t="inlineStr">
        <is>
          <t>SCA</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39177-2024</t>
        </is>
      </c>
      <c r="B14876" s="1" t="n">
        <v>45548</v>
      </c>
      <c r="C14876" s="1" t="n">
        <v>45657</v>
      </c>
      <c r="D14876" t="inlineStr">
        <is>
          <t>VÄSTERNORRLANDS LÄN</t>
        </is>
      </c>
      <c r="E14876" t="inlineStr">
        <is>
          <t>SOLLEFTEÅ</t>
        </is>
      </c>
      <c r="F14876" t="inlineStr">
        <is>
          <t>SCA</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39162-2024</t>
        </is>
      </c>
      <c r="B14877" s="1" t="n">
        <v>45548</v>
      </c>
      <c r="C14877" s="1" t="n">
        <v>45657</v>
      </c>
      <c r="D14877" t="inlineStr">
        <is>
          <t>VÄSTERNORRLANDS LÄN</t>
        </is>
      </c>
      <c r="E14877" t="inlineStr">
        <is>
          <t>SUNDSVALL</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39317-2024</t>
        </is>
      </c>
      <c r="B14878" s="1" t="n">
        <v>45551</v>
      </c>
      <c r="C14878" s="1" t="n">
        <v>45657</v>
      </c>
      <c r="D14878" t="inlineStr">
        <is>
          <t>VÄSTERNORRLANDS LÄN</t>
        </is>
      </c>
      <c r="E14878" t="inlineStr">
        <is>
          <t>ÖRNSKÖLDSVIK</t>
        </is>
      </c>
      <c r="F14878" t="inlineStr">
        <is>
          <t>Holmen skog AB</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39271-2024</t>
        </is>
      </c>
      <c r="B14879" s="1" t="n">
        <v>45551</v>
      </c>
      <c r="C14879" s="1" t="n">
        <v>45657</v>
      </c>
      <c r="D14879" t="inlineStr">
        <is>
          <t>VÄSTERNORRLANDS LÄN</t>
        </is>
      </c>
      <c r="E14879" t="inlineStr">
        <is>
          <t>SOLLEFTEÅ</t>
        </is>
      </c>
      <c r="F14879" t="inlineStr">
        <is>
          <t>SCA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39300-2024</t>
        </is>
      </c>
      <c r="B14880" s="1" t="n">
        <v>45551</v>
      </c>
      <c r="C14880" s="1" t="n">
        <v>45657</v>
      </c>
      <c r="D14880" t="inlineStr">
        <is>
          <t>VÄSTERNORRLANDS LÄN</t>
        </is>
      </c>
      <c r="E14880" t="inlineStr">
        <is>
          <t>HÄRNÖSAND</t>
        </is>
      </c>
      <c r="G14880" t="n">
        <v>3.9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39331-2024</t>
        </is>
      </c>
      <c r="B14881" s="1" t="n">
        <v>45551</v>
      </c>
      <c r="C14881" s="1" t="n">
        <v>45657</v>
      </c>
      <c r="D14881" t="inlineStr">
        <is>
          <t>VÄSTERNORRLANDS LÄN</t>
        </is>
      </c>
      <c r="E14881" t="inlineStr">
        <is>
          <t>ÖRNSKÖLDSVIK</t>
        </is>
      </c>
      <c r="F14881" t="inlineStr">
        <is>
          <t>Holmen skog AB</t>
        </is>
      </c>
      <c r="G14881" t="n">
        <v>9.800000000000001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39347-2024</t>
        </is>
      </c>
      <c r="B14882" s="1" t="n">
        <v>45551</v>
      </c>
      <c r="C14882" s="1" t="n">
        <v>45657</v>
      </c>
      <c r="D14882" t="inlineStr">
        <is>
          <t>VÄSTERNORRLANDS LÄN</t>
        </is>
      </c>
      <c r="E14882" t="inlineStr">
        <is>
          <t>SUNDSVALL</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39375-2024</t>
        </is>
      </c>
      <c r="B14883" s="1" t="n">
        <v>45551</v>
      </c>
      <c r="C14883" s="1" t="n">
        <v>45657</v>
      </c>
      <c r="D14883" t="inlineStr">
        <is>
          <t>VÄSTERNORRLANDS LÄN</t>
        </is>
      </c>
      <c r="E14883" t="inlineStr">
        <is>
          <t>ÖRNSKÖLDSVIK</t>
        </is>
      </c>
      <c r="F14883" t="inlineStr">
        <is>
          <t>Holmen skog AB</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39379-2024</t>
        </is>
      </c>
      <c r="B14884" s="1" t="n">
        <v>45551</v>
      </c>
      <c r="C14884" s="1" t="n">
        <v>45657</v>
      </c>
      <c r="D14884" t="inlineStr">
        <is>
          <t>VÄSTERNORRLANDS LÄN</t>
        </is>
      </c>
      <c r="E14884" t="inlineStr">
        <is>
          <t>ÖRNSKÖLDSVIK</t>
        </is>
      </c>
      <c r="F14884" t="inlineStr">
        <is>
          <t>Holmen skog AB</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39384-2024</t>
        </is>
      </c>
      <c r="B14885" s="1" t="n">
        <v>45551</v>
      </c>
      <c r="C14885" s="1" t="n">
        <v>45657</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39452-2024</t>
        </is>
      </c>
      <c r="B14886" s="1" t="n">
        <v>45551</v>
      </c>
      <c r="C14886" s="1" t="n">
        <v>45657</v>
      </c>
      <c r="D14886" t="inlineStr">
        <is>
          <t>VÄSTERNORRLANDS LÄN</t>
        </is>
      </c>
      <c r="E14886" t="inlineStr">
        <is>
          <t>ÖRNSKÖLDSVIK</t>
        </is>
      </c>
      <c r="F14886" t="inlineStr">
        <is>
          <t>Holmen skog AB</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39312-2024</t>
        </is>
      </c>
      <c r="B14887" s="1" t="n">
        <v>45551</v>
      </c>
      <c r="C14887" s="1" t="n">
        <v>45657</v>
      </c>
      <c r="D14887" t="inlineStr">
        <is>
          <t>VÄSTERNORRLANDS LÄN</t>
        </is>
      </c>
      <c r="E14887" t="inlineStr">
        <is>
          <t>ÖRNSKÖLDSVIK</t>
        </is>
      </c>
      <c r="F14887" t="inlineStr">
        <is>
          <t>Holmen skog AB</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39324-2024</t>
        </is>
      </c>
      <c r="B14888" s="1" t="n">
        <v>45551</v>
      </c>
      <c r="C14888" s="1" t="n">
        <v>45657</v>
      </c>
      <c r="D14888" t="inlineStr">
        <is>
          <t>VÄSTERNORRLANDS LÄN</t>
        </is>
      </c>
      <c r="E14888" t="inlineStr">
        <is>
          <t>ÖRNSKÖLDSVIK</t>
        </is>
      </c>
      <c r="F14888" t="inlineStr">
        <is>
          <t>Holmen skog AB</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39352-2024</t>
        </is>
      </c>
      <c r="B14889" s="1" t="n">
        <v>45551</v>
      </c>
      <c r="C14889" s="1" t="n">
        <v>45657</v>
      </c>
      <c r="D14889" t="inlineStr">
        <is>
          <t>VÄSTERNORRLANDS LÄN</t>
        </is>
      </c>
      <c r="E14889" t="inlineStr">
        <is>
          <t>ÖRNSKÖLDSVIK</t>
        </is>
      </c>
      <c r="F14889" t="inlineStr">
        <is>
          <t>Holmen skog AB</t>
        </is>
      </c>
      <c r="G14889" t="n">
        <v>9.300000000000001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39372-2024</t>
        </is>
      </c>
      <c r="B14890" s="1" t="n">
        <v>45551</v>
      </c>
      <c r="C14890" s="1" t="n">
        <v>45657</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39429-2024</t>
        </is>
      </c>
      <c r="B14891" s="1" t="n">
        <v>45551</v>
      </c>
      <c r="C14891" s="1" t="n">
        <v>45657</v>
      </c>
      <c r="D14891" t="inlineStr">
        <is>
          <t>VÄSTERNORRLANDS LÄN</t>
        </is>
      </c>
      <c r="E14891" t="inlineStr">
        <is>
          <t>SOLLEFTEÅ</t>
        </is>
      </c>
      <c r="F14891" t="inlineStr">
        <is>
          <t>SCA</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39449-2024</t>
        </is>
      </c>
      <c r="B14892" s="1" t="n">
        <v>45551</v>
      </c>
      <c r="C14892" s="1" t="n">
        <v>45657</v>
      </c>
      <c r="D14892" t="inlineStr">
        <is>
          <t>VÄSTERNORRLANDS LÄN</t>
        </is>
      </c>
      <c r="E14892" t="inlineStr">
        <is>
          <t>SOLLEFTEÅ</t>
        </is>
      </c>
      <c r="F14892" t="inlineStr">
        <is>
          <t>SCA</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39310-2024</t>
        </is>
      </c>
      <c r="B14893" s="1" t="n">
        <v>45551</v>
      </c>
      <c r="C14893" s="1" t="n">
        <v>45657</v>
      </c>
      <c r="D14893" t="inlineStr">
        <is>
          <t>VÄSTERNORRLANDS LÄN</t>
        </is>
      </c>
      <c r="E14893" t="inlineStr">
        <is>
          <t>ÖRNSKÖLDSVIK</t>
        </is>
      </c>
      <c r="F14893" t="inlineStr">
        <is>
          <t>Holmen skog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39345-2024</t>
        </is>
      </c>
      <c r="B14894" s="1" t="n">
        <v>45551</v>
      </c>
      <c r="C14894" s="1" t="n">
        <v>45657</v>
      </c>
      <c r="D14894" t="inlineStr">
        <is>
          <t>VÄSTERNORRLANDS LÄN</t>
        </is>
      </c>
      <c r="E14894" t="inlineStr">
        <is>
          <t>KRAMFORS</t>
        </is>
      </c>
      <c r="G14894" t="n">
        <v>10.2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39469-2024</t>
        </is>
      </c>
      <c r="B14895" s="1" t="n">
        <v>45551</v>
      </c>
      <c r="C14895" s="1" t="n">
        <v>45657</v>
      </c>
      <c r="D14895" t="inlineStr">
        <is>
          <t>VÄSTERNORRLANDS LÄN</t>
        </is>
      </c>
      <c r="E14895" t="inlineStr">
        <is>
          <t>SOLLEFTEÅ</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39386-2024</t>
        </is>
      </c>
      <c r="B14896" s="1" t="n">
        <v>45551</v>
      </c>
      <c r="C14896" s="1" t="n">
        <v>45657</v>
      </c>
      <c r="D14896" t="inlineStr">
        <is>
          <t>VÄSTERNORRLANDS LÄN</t>
        </is>
      </c>
      <c r="E14896" t="inlineStr">
        <is>
          <t>KRAMFORS</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39413-2024</t>
        </is>
      </c>
      <c r="B14897" s="1" t="n">
        <v>45551</v>
      </c>
      <c r="C14897" s="1" t="n">
        <v>45657</v>
      </c>
      <c r="D14897" t="inlineStr">
        <is>
          <t>VÄSTERNORRLANDS LÄN</t>
        </is>
      </c>
      <c r="E14897" t="inlineStr">
        <is>
          <t>ÖRNSKÖLDSVIK</t>
        </is>
      </c>
      <c r="F14897" t="inlineStr">
        <is>
          <t>Holmen skog AB</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39434-2024</t>
        </is>
      </c>
      <c r="B14898" s="1" t="n">
        <v>45551</v>
      </c>
      <c r="C14898" s="1" t="n">
        <v>45657</v>
      </c>
      <c r="D14898" t="inlineStr">
        <is>
          <t>VÄSTERNORRLANDS LÄN</t>
        </is>
      </c>
      <c r="E14898" t="inlineStr">
        <is>
          <t>ÖRNSKÖLDSVIK</t>
        </is>
      </c>
      <c r="F14898" t="inlineStr">
        <is>
          <t>Holmen skog AB</t>
        </is>
      </c>
      <c r="G14898" t="n">
        <v>8.6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39446-2024</t>
        </is>
      </c>
      <c r="B14899" s="1" t="n">
        <v>45551</v>
      </c>
      <c r="C14899" s="1" t="n">
        <v>45657</v>
      </c>
      <c r="D14899" t="inlineStr">
        <is>
          <t>VÄSTERNORRLANDS LÄN</t>
        </is>
      </c>
      <c r="E14899" t="inlineStr">
        <is>
          <t>SOLLEFTEÅ</t>
        </is>
      </c>
      <c r="F14899" t="inlineStr">
        <is>
          <t>SCA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39366-2024</t>
        </is>
      </c>
      <c r="B14900" s="1" t="n">
        <v>45551</v>
      </c>
      <c r="C14900" s="1" t="n">
        <v>45657</v>
      </c>
      <c r="D14900" t="inlineStr">
        <is>
          <t>VÄSTERNORRLANDS LÄN</t>
        </is>
      </c>
      <c r="E14900" t="inlineStr">
        <is>
          <t>KRAMFORS</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39370-2024</t>
        </is>
      </c>
      <c r="B14901" s="1" t="n">
        <v>45551</v>
      </c>
      <c r="C14901" s="1" t="n">
        <v>45657</v>
      </c>
      <c r="D14901" t="inlineStr">
        <is>
          <t>VÄSTERNORRLANDS LÄN</t>
        </is>
      </c>
      <c r="E14901" t="inlineStr">
        <is>
          <t>SUNDSVALL</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39479-2024</t>
        </is>
      </c>
      <c r="B14902" s="1" t="n">
        <v>45551</v>
      </c>
      <c r="C14902" s="1" t="n">
        <v>45657</v>
      </c>
      <c r="D14902" t="inlineStr">
        <is>
          <t>VÄSTERNORRLANDS LÄN</t>
        </is>
      </c>
      <c r="E14902" t="inlineStr">
        <is>
          <t>KRAMFORS</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39500-2024</t>
        </is>
      </c>
      <c r="B14903" s="1" t="n">
        <v>45551</v>
      </c>
      <c r="C14903" s="1" t="n">
        <v>45657</v>
      </c>
      <c r="D14903" t="inlineStr">
        <is>
          <t>VÄSTERNORRLANDS LÄN</t>
        </is>
      </c>
      <c r="E14903" t="inlineStr">
        <is>
          <t>SOLLEFTEÅ</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39499-2024</t>
        </is>
      </c>
      <c r="B14904" s="1" t="n">
        <v>45551</v>
      </c>
      <c r="C14904" s="1" t="n">
        <v>45657</v>
      </c>
      <c r="D14904" t="inlineStr">
        <is>
          <t>VÄSTERNORRLANDS LÄN</t>
        </is>
      </c>
      <c r="E14904" t="inlineStr">
        <is>
          <t>ÖRNSKÖLDSVIK</t>
        </is>
      </c>
      <c r="F14904" t="inlineStr">
        <is>
          <t>Holmen skog AB</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39492-2024</t>
        </is>
      </c>
      <c r="B14905" s="1" t="n">
        <v>45551</v>
      </c>
      <c r="C14905" s="1" t="n">
        <v>45657</v>
      </c>
      <c r="D14905" t="inlineStr">
        <is>
          <t>VÄSTERNORRLANDS LÄN</t>
        </is>
      </c>
      <c r="E14905" t="inlineStr">
        <is>
          <t>KRAMFORS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39550-2024</t>
        </is>
      </c>
      <c r="B14906" s="1" t="n">
        <v>45552</v>
      </c>
      <c r="C14906" s="1" t="n">
        <v>45657</v>
      </c>
      <c r="D14906" t="inlineStr">
        <is>
          <t>VÄSTERNORRLANDS LÄN</t>
        </is>
      </c>
      <c r="E14906" t="inlineStr">
        <is>
          <t>ÖRNSKÖLDSVIK</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39566-2024</t>
        </is>
      </c>
      <c r="B14907" s="1" t="n">
        <v>45552</v>
      </c>
      <c r="C14907" s="1" t="n">
        <v>45657</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39571-2024</t>
        </is>
      </c>
      <c r="B14908" s="1" t="n">
        <v>45552</v>
      </c>
      <c r="C14908" s="1" t="n">
        <v>45657</v>
      </c>
      <c r="D14908" t="inlineStr">
        <is>
          <t>VÄSTERNORRLANDS LÄN</t>
        </is>
      </c>
      <c r="E14908" t="inlineStr">
        <is>
          <t>ÖRNSKÖLDSVIK</t>
        </is>
      </c>
      <c r="F14908" t="inlineStr">
        <is>
          <t>Holmen skog AB</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39579-2024</t>
        </is>
      </c>
      <c r="B14909" s="1" t="n">
        <v>45552</v>
      </c>
      <c r="C14909" s="1" t="n">
        <v>45657</v>
      </c>
      <c r="D14909" t="inlineStr">
        <is>
          <t>VÄSTERNORRLANDS LÄN</t>
        </is>
      </c>
      <c r="E14909" t="inlineStr">
        <is>
          <t>ÖRNSKÖLDSVIK</t>
        </is>
      </c>
      <c r="F14909" t="inlineStr">
        <is>
          <t>SCA</t>
        </is>
      </c>
      <c r="G14909" t="n">
        <v>27.3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39603-2024</t>
        </is>
      </c>
      <c r="B14910" s="1" t="n">
        <v>45552</v>
      </c>
      <c r="C14910" s="1" t="n">
        <v>45657</v>
      </c>
      <c r="D14910" t="inlineStr">
        <is>
          <t>VÄSTERNORRLANDS LÄN</t>
        </is>
      </c>
      <c r="E14910" t="inlineStr">
        <is>
          <t>ÅNGE</t>
        </is>
      </c>
      <c r="F14910" t="inlineStr">
        <is>
          <t>SCA</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39625-2024</t>
        </is>
      </c>
      <c r="B14911" s="1" t="n">
        <v>45552</v>
      </c>
      <c r="C14911" s="1" t="n">
        <v>45657</v>
      </c>
      <c r="D14911" t="inlineStr">
        <is>
          <t>VÄSTERNORRLANDS LÄN</t>
        </is>
      </c>
      <c r="E14911" t="inlineStr">
        <is>
          <t>KRAMFORS</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39619-2024</t>
        </is>
      </c>
      <c r="B14912" s="1" t="n">
        <v>45552</v>
      </c>
      <c r="C14912" s="1" t="n">
        <v>45657</v>
      </c>
      <c r="D14912" t="inlineStr">
        <is>
          <t>VÄSTERNORRLANDS LÄN</t>
        </is>
      </c>
      <c r="E14912" t="inlineStr">
        <is>
          <t>ÅNGE</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39627-2024</t>
        </is>
      </c>
      <c r="B14913" s="1" t="n">
        <v>45552</v>
      </c>
      <c r="C14913" s="1" t="n">
        <v>45657</v>
      </c>
      <c r="D14913" t="inlineStr">
        <is>
          <t>VÄSTERNORRLANDS LÄN</t>
        </is>
      </c>
      <c r="E14913" t="inlineStr">
        <is>
          <t>KRAMFORS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39637-2024</t>
        </is>
      </c>
      <c r="B14914" s="1" t="n">
        <v>45552</v>
      </c>
      <c r="C14914" s="1" t="n">
        <v>45657</v>
      </c>
      <c r="D14914" t="inlineStr">
        <is>
          <t>VÄSTERNORRLANDS LÄN</t>
        </is>
      </c>
      <c r="E14914" t="inlineStr">
        <is>
          <t>ÖRNSKÖLDSVIK</t>
        </is>
      </c>
      <c r="F14914" t="inlineStr">
        <is>
          <t>SCA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39635-2024</t>
        </is>
      </c>
      <c r="B14915" s="1" t="n">
        <v>45552</v>
      </c>
      <c r="C14915" s="1" t="n">
        <v>45657</v>
      </c>
      <c r="D14915" t="inlineStr">
        <is>
          <t>VÄSTERNORRLANDS LÄN</t>
        </is>
      </c>
      <c r="E14915" t="inlineStr">
        <is>
          <t>ÖRNSKÖLDSVIK</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39559-2024</t>
        </is>
      </c>
      <c r="B14916" s="1" t="n">
        <v>45552</v>
      </c>
      <c r="C14916" s="1" t="n">
        <v>45657</v>
      </c>
      <c r="D14916" t="inlineStr">
        <is>
          <t>VÄSTERNORRLANDS LÄN</t>
        </is>
      </c>
      <c r="E14916" t="inlineStr">
        <is>
          <t>SUNDSVALL</t>
        </is>
      </c>
      <c r="F14916" t="inlineStr">
        <is>
          <t>Naturvårdsverket</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39713-2024</t>
        </is>
      </c>
      <c r="B14917" s="1" t="n">
        <v>45552</v>
      </c>
      <c r="C14917" s="1" t="n">
        <v>45657</v>
      </c>
      <c r="D14917" t="inlineStr">
        <is>
          <t>VÄSTERNORRLANDS LÄN</t>
        </is>
      </c>
      <c r="E14917" t="inlineStr">
        <is>
          <t>SUNDSVALL</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39707-2024</t>
        </is>
      </c>
      <c r="B14918" s="1" t="n">
        <v>45552</v>
      </c>
      <c r="C14918" s="1" t="n">
        <v>45657</v>
      </c>
      <c r="D14918" t="inlineStr">
        <is>
          <t>VÄSTERNORRLANDS LÄN</t>
        </is>
      </c>
      <c r="E14918" t="inlineStr">
        <is>
          <t>ÅNGE</t>
        </is>
      </c>
      <c r="G14918" t="n">
        <v>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39711-2024</t>
        </is>
      </c>
      <c r="B14919" s="1" t="n">
        <v>45552</v>
      </c>
      <c r="C14919" s="1" t="n">
        <v>45657</v>
      </c>
      <c r="D14919" t="inlineStr">
        <is>
          <t>VÄSTERNORRLANDS LÄN</t>
        </is>
      </c>
      <c r="E14919" t="inlineStr">
        <is>
          <t>SUNDSVALL</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39723-2024</t>
        </is>
      </c>
      <c r="B14920" s="1" t="n">
        <v>45552</v>
      </c>
      <c r="C14920" s="1" t="n">
        <v>45657</v>
      </c>
      <c r="D14920" t="inlineStr">
        <is>
          <t>VÄSTERNORRLANDS LÄN</t>
        </is>
      </c>
      <c r="E14920" t="inlineStr">
        <is>
          <t>ÖRNSKÖLDSVIK</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39755-2024</t>
        </is>
      </c>
      <c r="B14921" s="1" t="n">
        <v>45552</v>
      </c>
      <c r="C14921" s="1" t="n">
        <v>45657</v>
      </c>
      <c r="D14921" t="inlineStr">
        <is>
          <t>VÄSTERNORRLANDS LÄN</t>
        </is>
      </c>
      <c r="E14921" t="inlineStr">
        <is>
          <t>SOLLEFTEÅ</t>
        </is>
      </c>
      <c r="F14921" t="inlineStr">
        <is>
          <t>SCA</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39636-2024</t>
        </is>
      </c>
      <c r="B14922" s="1" t="n">
        <v>45552</v>
      </c>
      <c r="C14922" s="1" t="n">
        <v>45657</v>
      </c>
      <c r="D14922" t="inlineStr">
        <is>
          <t>VÄSTERNORRLANDS LÄN</t>
        </is>
      </c>
      <c r="E14922" t="inlineStr">
        <is>
          <t>ÖRNSKÖLDSVIK</t>
        </is>
      </c>
      <c r="F14922" t="inlineStr">
        <is>
          <t>SCA</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39649-2024</t>
        </is>
      </c>
      <c r="B14923" s="1" t="n">
        <v>45552</v>
      </c>
      <c r="C14923" s="1" t="n">
        <v>45657</v>
      </c>
      <c r="D14923" t="inlineStr">
        <is>
          <t>VÄSTERNORRLANDS LÄN</t>
        </is>
      </c>
      <c r="E14923" t="inlineStr">
        <is>
          <t>KRAMFORS</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39682-2024</t>
        </is>
      </c>
      <c r="B14924" s="1" t="n">
        <v>45552</v>
      </c>
      <c r="C14924" s="1" t="n">
        <v>45657</v>
      </c>
      <c r="D14924" t="inlineStr">
        <is>
          <t>VÄSTERNORRLANDS LÄN</t>
        </is>
      </c>
      <c r="E14924" t="inlineStr">
        <is>
          <t>ÅNGE</t>
        </is>
      </c>
      <c r="G14924" t="n">
        <v>35.4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39700-2024</t>
        </is>
      </c>
      <c r="B14925" s="1" t="n">
        <v>45552</v>
      </c>
      <c r="C14925" s="1" t="n">
        <v>45657</v>
      </c>
      <c r="D14925" t="inlineStr">
        <is>
          <t>VÄSTERNORRLANDS LÄN</t>
        </is>
      </c>
      <c r="E14925" t="inlineStr">
        <is>
          <t>ÖRNSKÖLDSVIK</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39732-2024</t>
        </is>
      </c>
      <c r="B14926" s="1" t="n">
        <v>45552</v>
      </c>
      <c r="C14926" s="1" t="n">
        <v>45657</v>
      </c>
      <c r="D14926" t="inlineStr">
        <is>
          <t>VÄSTERNORRLANDS LÄN</t>
        </is>
      </c>
      <c r="E14926" t="inlineStr">
        <is>
          <t>ÖRNSKÖLDSVIK</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39744-2024</t>
        </is>
      </c>
      <c r="B14927" s="1" t="n">
        <v>45552</v>
      </c>
      <c r="C14927" s="1" t="n">
        <v>45657</v>
      </c>
      <c r="D14927" t="inlineStr">
        <is>
          <t>VÄSTERNORRLANDS LÄN</t>
        </is>
      </c>
      <c r="E14927" t="inlineStr">
        <is>
          <t>SOLLEFTEÅ</t>
        </is>
      </c>
      <c r="F14927" t="inlineStr">
        <is>
          <t>SCA</t>
        </is>
      </c>
      <c r="G14927" t="n">
        <v>13.6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39764-2024</t>
        </is>
      </c>
      <c r="B14928" s="1" t="n">
        <v>45552</v>
      </c>
      <c r="C14928" s="1" t="n">
        <v>45657</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39602-2024</t>
        </is>
      </c>
      <c r="B14929" s="1" t="n">
        <v>45552</v>
      </c>
      <c r="C14929" s="1" t="n">
        <v>45657</v>
      </c>
      <c r="D14929" t="inlineStr">
        <is>
          <t>VÄSTERNORRLANDS LÄN</t>
        </is>
      </c>
      <c r="E14929" t="inlineStr">
        <is>
          <t>ÖRNSKÖLDSVIK</t>
        </is>
      </c>
      <c r="F14929" t="inlineStr">
        <is>
          <t>Holmen skog AB</t>
        </is>
      </c>
      <c r="G14929" t="n">
        <v>10.7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39622-2024</t>
        </is>
      </c>
      <c r="B14930" s="1" t="n">
        <v>45552</v>
      </c>
      <c r="C14930" s="1" t="n">
        <v>45657</v>
      </c>
      <c r="D14930" t="inlineStr">
        <is>
          <t>VÄSTERNORRLANDS LÄN</t>
        </is>
      </c>
      <c r="E14930" t="inlineStr">
        <is>
          <t>KRAMFORS</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39664-2024</t>
        </is>
      </c>
      <c r="B14931" s="1" t="n">
        <v>45552</v>
      </c>
      <c r="C14931" s="1" t="n">
        <v>45657</v>
      </c>
      <c r="D14931" t="inlineStr">
        <is>
          <t>VÄSTERNORRLANDS LÄN</t>
        </is>
      </c>
      <c r="E14931" t="inlineStr">
        <is>
          <t>KRAMFORS</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39710-2024</t>
        </is>
      </c>
      <c r="B14932" s="1" t="n">
        <v>45552</v>
      </c>
      <c r="C14932" s="1" t="n">
        <v>45657</v>
      </c>
      <c r="D14932" t="inlineStr">
        <is>
          <t>VÄSTERNORRLANDS LÄN</t>
        </is>
      </c>
      <c r="E14932" t="inlineStr">
        <is>
          <t>SUNDSVALL</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39730-2024</t>
        </is>
      </c>
      <c r="B14933" s="1" t="n">
        <v>45552</v>
      </c>
      <c r="C14933" s="1" t="n">
        <v>45657</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39754-2024</t>
        </is>
      </c>
      <c r="B14934" s="1" t="n">
        <v>45552</v>
      </c>
      <c r="C14934" s="1" t="n">
        <v>45657</v>
      </c>
      <c r="D14934" t="inlineStr">
        <is>
          <t>VÄSTERNORRLANDS LÄN</t>
        </is>
      </c>
      <c r="E14934" t="inlineStr">
        <is>
          <t>SUNDSVALL</t>
        </is>
      </c>
      <c r="F14934" t="inlineStr">
        <is>
          <t>SCA</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39801-2024</t>
        </is>
      </c>
      <c r="B14935" s="1" t="n">
        <v>45553</v>
      </c>
      <c r="C14935" s="1" t="n">
        <v>45657</v>
      </c>
      <c r="D14935" t="inlineStr">
        <is>
          <t>VÄSTERNORRLANDS LÄN</t>
        </is>
      </c>
      <c r="E14935" t="inlineStr">
        <is>
          <t>SOLLEFTEÅ</t>
        </is>
      </c>
      <c r="F14935" t="inlineStr">
        <is>
          <t>SCA</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39831-2024</t>
        </is>
      </c>
      <c r="B14936" s="1" t="n">
        <v>45553</v>
      </c>
      <c r="C14936" s="1" t="n">
        <v>45657</v>
      </c>
      <c r="D14936" t="inlineStr">
        <is>
          <t>VÄSTERNORRLANDS LÄN</t>
        </is>
      </c>
      <c r="E14936" t="inlineStr">
        <is>
          <t>ÖRNSKÖLDSVIK</t>
        </is>
      </c>
      <c r="F14936" t="inlineStr">
        <is>
          <t>Holmen skog AB</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39799-2024</t>
        </is>
      </c>
      <c r="B14937" s="1" t="n">
        <v>45553</v>
      </c>
      <c r="C14937" s="1" t="n">
        <v>45657</v>
      </c>
      <c r="D14937" t="inlineStr">
        <is>
          <t>VÄSTERNORRLANDS LÄN</t>
        </is>
      </c>
      <c r="E14937" t="inlineStr">
        <is>
          <t>SOLLEFTEÅ</t>
        </is>
      </c>
      <c r="F14937" t="inlineStr">
        <is>
          <t>SCA</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39811-2024</t>
        </is>
      </c>
      <c r="B14938" s="1" t="n">
        <v>45553</v>
      </c>
      <c r="C14938" s="1" t="n">
        <v>45657</v>
      </c>
      <c r="D14938" t="inlineStr">
        <is>
          <t>VÄSTERNORRLANDS LÄN</t>
        </is>
      </c>
      <c r="E14938" t="inlineStr">
        <is>
          <t>ÖRNSKÖLDSVIK</t>
        </is>
      </c>
      <c r="F14938" t="inlineStr">
        <is>
          <t>Holmen skog AB</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39833-2024</t>
        </is>
      </c>
      <c r="B14939" s="1" t="n">
        <v>45553</v>
      </c>
      <c r="C14939" s="1" t="n">
        <v>45657</v>
      </c>
      <c r="D14939" t="inlineStr">
        <is>
          <t>VÄSTERNORRLANDS LÄN</t>
        </is>
      </c>
      <c r="E14939" t="inlineStr">
        <is>
          <t>ÖRNSKÖLDSVIK</t>
        </is>
      </c>
      <c r="F14939" t="inlineStr">
        <is>
          <t>Holmen skog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39846-2024</t>
        </is>
      </c>
      <c r="B14940" s="1" t="n">
        <v>45553</v>
      </c>
      <c r="C14940" s="1" t="n">
        <v>45657</v>
      </c>
      <c r="D14940" t="inlineStr">
        <is>
          <t>VÄSTERNORRLANDS LÄN</t>
        </is>
      </c>
      <c r="E14940" t="inlineStr">
        <is>
          <t>KRAMFORS</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39802-2024</t>
        </is>
      </c>
      <c r="B14941" s="1" t="n">
        <v>45553</v>
      </c>
      <c r="C14941" s="1" t="n">
        <v>45657</v>
      </c>
      <c r="D14941" t="inlineStr">
        <is>
          <t>VÄSTERNORRLANDS LÄN</t>
        </is>
      </c>
      <c r="E14941" t="inlineStr">
        <is>
          <t>SOLLEFTEÅ</t>
        </is>
      </c>
      <c r="F14941" t="inlineStr">
        <is>
          <t>SCA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39903-2024</t>
        </is>
      </c>
      <c r="B14942" s="1" t="n">
        <v>45553</v>
      </c>
      <c r="C14942" s="1" t="n">
        <v>45657</v>
      </c>
      <c r="D14942" t="inlineStr">
        <is>
          <t>VÄSTERNORRLANDS LÄN</t>
        </is>
      </c>
      <c r="E14942" t="inlineStr">
        <is>
          <t>ÖRNSKÖLDSVIK</t>
        </is>
      </c>
      <c r="F14942" t="inlineStr">
        <is>
          <t>Holmen skog AB</t>
        </is>
      </c>
      <c r="G14942" t="n">
        <v>18.9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39841-2024</t>
        </is>
      </c>
      <c r="B14943" s="1" t="n">
        <v>45553</v>
      </c>
      <c r="C14943" s="1" t="n">
        <v>45657</v>
      </c>
      <c r="D14943" t="inlineStr">
        <is>
          <t>VÄSTERNORRLANDS LÄN</t>
        </is>
      </c>
      <c r="E14943" t="inlineStr">
        <is>
          <t>ÖRNSKÖLDSVIK</t>
        </is>
      </c>
      <c r="F14943" t="inlineStr">
        <is>
          <t>Holmen skog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39899-2024</t>
        </is>
      </c>
      <c r="B14944" s="1" t="n">
        <v>45553</v>
      </c>
      <c r="C14944" s="1" t="n">
        <v>45657</v>
      </c>
      <c r="D14944" t="inlineStr">
        <is>
          <t>VÄSTERNORRLANDS LÄN</t>
        </is>
      </c>
      <c r="E14944" t="inlineStr">
        <is>
          <t>SUNDSVALL</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39904-2024</t>
        </is>
      </c>
      <c r="B14945" s="1" t="n">
        <v>45553</v>
      </c>
      <c r="C14945" s="1" t="n">
        <v>45657</v>
      </c>
      <c r="D14945" t="inlineStr">
        <is>
          <t>VÄSTERNORRLANDS LÄN</t>
        </is>
      </c>
      <c r="E14945" t="inlineStr">
        <is>
          <t>ÖRNSKÖLDSVIK</t>
        </is>
      </c>
      <c r="F14945" t="inlineStr">
        <is>
          <t>Holmen skog AB</t>
        </is>
      </c>
      <c r="G14945" t="n">
        <v>8.6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39922-2024</t>
        </is>
      </c>
      <c r="B14946" s="1" t="n">
        <v>45553</v>
      </c>
      <c r="C14946" s="1" t="n">
        <v>45657</v>
      </c>
      <c r="D14946" t="inlineStr">
        <is>
          <t>VÄSTERNORRLANDS LÄN</t>
        </is>
      </c>
      <c r="E14946" t="inlineStr">
        <is>
          <t>SUNDSVALL</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39900-2024</t>
        </is>
      </c>
      <c r="B14947" s="1" t="n">
        <v>45553</v>
      </c>
      <c r="C14947" s="1" t="n">
        <v>45657</v>
      </c>
      <c r="D14947" t="inlineStr">
        <is>
          <t>VÄSTERNORRLANDS LÄN</t>
        </is>
      </c>
      <c r="E14947" t="inlineStr">
        <is>
          <t>SUNDSVALL</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39935-2024</t>
        </is>
      </c>
      <c r="B14948" s="1" t="n">
        <v>45553</v>
      </c>
      <c r="C14948" s="1" t="n">
        <v>45657</v>
      </c>
      <c r="D14948" t="inlineStr">
        <is>
          <t>VÄSTERNORRLANDS LÄN</t>
        </is>
      </c>
      <c r="E14948" t="inlineStr">
        <is>
          <t>HÄRNÖSAND</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39995-2024</t>
        </is>
      </c>
      <c r="B14949" s="1" t="n">
        <v>45553</v>
      </c>
      <c r="C14949" s="1" t="n">
        <v>45657</v>
      </c>
      <c r="D14949" t="inlineStr">
        <is>
          <t>VÄSTERNORRLANDS LÄN</t>
        </is>
      </c>
      <c r="E14949" t="inlineStr">
        <is>
          <t>SOLLEFTEÅ</t>
        </is>
      </c>
      <c r="F14949" t="inlineStr">
        <is>
          <t>SCA</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40003-2024</t>
        </is>
      </c>
      <c r="B14950" s="1" t="n">
        <v>45553</v>
      </c>
      <c r="C14950" s="1" t="n">
        <v>45657</v>
      </c>
      <c r="D14950" t="inlineStr">
        <is>
          <t>VÄSTERNORRLANDS LÄN</t>
        </is>
      </c>
      <c r="E14950" t="inlineStr">
        <is>
          <t>ÖRNSKÖLDSVIK</t>
        </is>
      </c>
      <c r="F14950" t="inlineStr">
        <is>
          <t>Holmen skog AB</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39969-2024</t>
        </is>
      </c>
      <c r="B14951" s="1" t="n">
        <v>45553</v>
      </c>
      <c r="C14951" s="1" t="n">
        <v>45657</v>
      </c>
      <c r="D14951" t="inlineStr">
        <is>
          <t>VÄSTERNORRLANDS LÄN</t>
        </is>
      </c>
      <c r="E14951" t="inlineStr">
        <is>
          <t>ÖRNSKÖLDSVIK</t>
        </is>
      </c>
      <c r="F14951" t="inlineStr">
        <is>
          <t>Holmen skog AB</t>
        </is>
      </c>
      <c r="G14951" t="n">
        <v>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40014-2024</t>
        </is>
      </c>
      <c r="B14952" s="1" t="n">
        <v>45553</v>
      </c>
      <c r="C14952" s="1" t="n">
        <v>45657</v>
      </c>
      <c r="D14952" t="inlineStr">
        <is>
          <t>VÄSTERNORRLANDS LÄN</t>
        </is>
      </c>
      <c r="E14952" t="inlineStr">
        <is>
          <t>TIMRÅ</t>
        </is>
      </c>
      <c r="F14952" t="inlineStr">
        <is>
          <t>SCA</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40028-2024</t>
        </is>
      </c>
      <c r="B14953" s="1" t="n">
        <v>45553</v>
      </c>
      <c r="C14953" s="1" t="n">
        <v>45657</v>
      </c>
      <c r="D14953" t="inlineStr">
        <is>
          <t>VÄSTERNORRLANDS LÄN</t>
        </is>
      </c>
      <c r="E14953" t="inlineStr">
        <is>
          <t>SOLLEFTEÅ</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40040-2024</t>
        </is>
      </c>
      <c r="B14954" s="1" t="n">
        <v>45553</v>
      </c>
      <c r="C14954" s="1" t="n">
        <v>45657</v>
      </c>
      <c r="D14954" t="inlineStr">
        <is>
          <t>VÄSTERNORRLANDS LÄN</t>
        </is>
      </c>
      <c r="E14954" t="inlineStr">
        <is>
          <t>SUNDSVALL</t>
        </is>
      </c>
      <c r="F14954" t="inlineStr">
        <is>
          <t>SCA</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39808-2024</t>
        </is>
      </c>
      <c r="B14955" s="1" t="n">
        <v>45553</v>
      </c>
      <c r="C14955" s="1" t="n">
        <v>45657</v>
      </c>
      <c r="D14955" t="inlineStr">
        <is>
          <t>VÄSTERNORRLANDS LÄN</t>
        </is>
      </c>
      <c r="E14955" t="inlineStr">
        <is>
          <t>ÖRNSKÖLDSVIK</t>
        </is>
      </c>
      <c r="F14955" t="inlineStr">
        <is>
          <t>Holmen skog AB</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39863-2024</t>
        </is>
      </c>
      <c r="B14956" s="1" t="n">
        <v>45553</v>
      </c>
      <c r="C14956" s="1" t="n">
        <v>45657</v>
      </c>
      <c r="D14956" t="inlineStr">
        <is>
          <t>VÄSTERNORRLANDS LÄN</t>
        </is>
      </c>
      <c r="E14956" t="inlineStr">
        <is>
          <t>ÖRNSKÖLDSVIK</t>
        </is>
      </c>
      <c r="F14956" t="inlineStr">
        <is>
          <t>Holmen skog AB</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40050-2024</t>
        </is>
      </c>
      <c r="B14957" s="1" t="n">
        <v>45553</v>
      </c>
      <c r="C14957" s="1" t="n">
        <v>45657</v>
      </c>
      <c r="D14957" t="inlineStr">
        <is>
          <t>VÄSTERNORRLANDS LÄN</t>
        </is>
      </c>
      <c r="E14957" t="inlineStr">
        <is>
          <t>SUNDSVALL</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40044-2024</t>
        </is>
      </c>
      <c r="B14958" s="1" t="n">
        <v>45553</v>
      </c>
      <c r="C14958" s="1" t="n">
        <v>45657</v>
      </c>
      <c r="D14958" t="inlineStr">
        <is>
          <t>VÄSTERNORRLANDS LÄN</t>
        </is>
      </c>
      <c r="E14958" t="inlineStr">
        <is>
          <t>SUNDSVALL</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40084-2024</t>
        </is>
      </c>
      <c r="B14959" s="1" t="n">
        <v>45554</v>
      </c>
      <c r="C14959" s="1" t="n">
        <v>45657</v>
      </c>
      <c r="D14959" t="inlineStr">
        <is>
          <t>VÄSTERNORRLANDS LÄN</t>
        </is>
      </c>
      <c r="E14959" t="inlineStr">
        <is>
          <t>HÄRNÖSAND</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40172-2024</t>
        </is>
      </c>
      <c r="B14960" s="1" t="n">
        <v>45554</v>
      </c>
      <c r="C14960" s="1" t="n">
        <v>45657</v>
      </c>
      <c r="D14960" t="inlineStr">
        <is>
          <t>VÄSTERNORRLANDS LÄN</t>
        </is>
      </c>
      <c r="E14960" t="inlineStr">
        <is>
          <t>ÖRNSKÖLDSVIK</t>
        </is>
      </c>
      <c r="G14960" t="n">
        <v>6.1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40086-2024</t>
        </is>
      </c>
      <c r="B14961" s="1" t="n">
        <v>45554</v>
      </c>
      <c r="C14961" s="1" t="n">
        <v>45657</v>
      </c>
      <c r="D14961" t="inlineStr">
        <is>
          <t>VÄSTERNORRLANDS LÄN</t>
        </is>
      </c>
      <c r="E14961" t="inlineStr">
        <is>
          <t>SOLLEFTEÅ</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40276-2024</t>
        </is>
      </c>
      <c r="B14962" s="1" t="n">
        <v>45554</v>
      </c>
      <c r="C14962" s="1" t="n">
        <v>45657</v>
      </c>
      <c r="D14962" t="inlineStr">
        <is>
          <t>VÄSTERNORRLANDS LÄN</t>
        </is>
      </c>
      <c r="E14962" t="inlineStr">
        <is>
          <t>ÖRNSKÖLDSVIK</t>
        </is>
      </c>
      <c r="F14962" t="inlineStr">
        <is>
          <t>Holmen skog AB</t>
        </is>
      </c>
      <c r="G14962" t="n">
        <v>6.1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40207-2024</t>
        </is>
      </c>
      <c r="B14963" s="1" t="n">
        <v>45554</v>
      </c>
      <c r="C14963" s="1" t="n">
        <v>45657</v>
      </c>
      <c r="D14963" t="inlineStr">
        <is>
          <t>VÄSTERNORRLANDS LÄN</t>
        </is>
      </c>
      <c r="E14963" t="inlineStr">
        <is>
          <t>ÖRNSKÖLDSVIK</t>
        </is>
      </c>
      <c r="F14963" t="inlineStr">
        <is>
          <t>Holmen skog AB</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40211-2024</t>
        </is>
      </c>
      <c r="B14964" s="1" t="n">
        <v>45554</v>
      </c>
      <c r="C14964" s="1" t="n">
        <v>45657</v>
      </c>
      <c r="D14964" t="inlineStr">
        <is>
          <t>VÄSTERNORRLANDS LÄN</t>
        </is>
      </c>
      <c r="E14964" t="inlineStr">
        <is>
          <t>SOLLEFTEÅ</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40319-2024</t>
        </is>
      </c>
      <c r="B14965" s="1" t="n">
        <v>45554</v>
      </c>
      <c r="C14965" s="1" t="n">
        <v>45657</v>
      </c>
      <c r="D14965" t="inlineStr">
        <is>
          <t>VÄSTERNORRLANDS LÄN</t>
        </is>
      </c>
      <c r="E14965" t="inlineStr">
        <is>
          <t>SUNDSVALL</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40241-2024</t>
        </is>
      </c>
      <c r="B14966" s="1" t="n">
        <v>45554</v>
      </c>
      <c r="C14966" s="1" t="n">
        <v>45657</v>
      </c>
      <c r="D14966" t="inlineStr">
        <is>
          <t>VÄSTERNORRLANDS LÄN</t>
        </is>
      </c>
      <c r="E14966" t="inlineStr">
        <is>
          <t>SOLLEFTEÅ</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40258-2024</t>
        </is>
      </c>
      <c r="B14967" s="1" t="n">
        <v>45554</v>
      </c>
      <c r="C14967" s="1" t="n">
        <v>45657</v>
      </c>
      <c r="D14967" t="inlineStr">
        <is>
          <t>VÄSTERNORRLANDS LÄN</t>
        </is>
      </c>
      <c r="E14967" t="inlineStr">
        <is>
          <t>SOLLEFTEÅ</t>
        </is>
      </c>
      <c r="F14967" t="inlineStr">
        <is>
          <t>SCA</t>
        </is>
      </c>
      <c r="G14967" t="n">
        <v>15.1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40317-2024</t>
        </is>
      </c>
      <c r="B14968" s="1" t="n">
        <v>45554</v>
      </c>
      <c r="C14968" s="1" t="n">
        <v>45657</v>
      </c>
      <c r="D14968" t="inlineStr">
        <is>
          <t>VÄSTERNORRLANDS LÄN</t>
        </is>
      </c>
      <c r="E14968" t="inlineStr">
        <is>
          <t>SUNDSVALL</t>
        </is>
      </c>
      <c r="G14968" t="n">
        <v>12.5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40077-2024</t>
        </is>
      </c>
      <c r="B14969" s="1" t="n">
        <v>45554</v>
      </c>
      <c r="C14969" s="1" t="n">
        <v>45657</v>
      </c>
      <c r="D14969" t="inlineStr">
        <is>
          <t>VÄSTERNORRLANDS LÄN</t>
        </is>
      </c>
      <c r="E14969" t="inlineStr">
        <is>
          <t>SUNDSVALL</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40089-2024</t>
        </is>
      </c>
      <c r="B14970" s="1" t="n">
        <v>45554</v>
      </c>
      <c r="C14970" s="1" t="n">
        <v>45657</v>
      </c>
      <c r="D14970" t="inlineStr">
        <is>
          <t>VÄSTERNORRLANDS LÄN</t>
        </is>
      </c>
      <c r="E14970" t="inlineStr">
        <is>
          <t>SUNDSVALL</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40153-2024</t>
        </is>
      </c>
      <c r="B14971" s="1" t="n">
        <v>45554</v>
      </c>
      <c r="C14971" s="1" t="n">
        <v>45657</v>
      </c>
      <c r="D14971" t="inlineStr">
        <is>
          <t>VÄSTERNORRLANDS LÄN</t>
        </is>
      </c>
      <c r="E14971" t="inlineStr">
        <is>
          <t>ÖRNSKÖLDSVIK</t>
        </is>
      </c>
      <c r="F14971" t="inlineStr">
        <is>
          <t>Holmen skog AB</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40265-2024</t>
        </is>
      </c>
      <c r="B14972" s="1" t="n">
        <v>45554</v>
      </c>
      <c r="C14972" s="1" t="n">
        <v>45657</v>
      </c>
      <c r="D14972" t="inlineStr">
        <is>
          <t>VÄSTERNORRLANDS LÄN</t>
        </is>
      </c>
      <c r="E14972" t="inlineStr">
        <is>
          <t>HÄRNÖSAND</t>
        </is>
      </c>
      <c r="G14972" t="n">
        <v>4.9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40127-2024</t>
        </is>
      </c>
      <c r="B14973" s="1" t="n">
        <v>45554</v>
      </c>
      <c r="C14973" s="1" t="n">
        <v>45657</v>
      </c>
      <c r="D14973" t="inlineStr">
        <is>
          <t>VÄSTERNORRLANDS LÄN</t>
        </is>
      </c>
      <c r="E14973" t="inlineStr">
        <is>
          <t>KRAMFORS</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40143-2024</t>
        </is>
      </c>
      <c r="B14974" s="1" t="n">
        <v>45554</v>
      </c>
      <c r="C14974" s="1" t="n">
        <v>45657</v>
      </c>
      <c r="D14974" t="inlineStr">
        <is>
          <t>VÄSTERNORRLANDS LÄN</t>
        </is>
      </c>
      <c r="E14974" t="inlineStr">
        <is>
          <t>ÖRNSKÖLDSVIK</t>
        </is>
      </c>
      <c r="G14974" t="n">
        <v>14.7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40212-2024</t>
        </is>
      </c>
      <c r="B14975" s="1" t="n">
        <v>45554</v>
      </c>
      <c r="C14975" s="1" t="n">
        <v>45657</v>
      </c>
      <c r="D14975" t="inlineStr">
        <is>
          <t>VÄSTERNORRLANDS LÄN</t>
        </is>
      </c>
      <c r="E14975" t="inlineStr">
        <is>
          <t>ÖRNSKÖLDSVIK</t>
        </is>
      </c>
      <c r="F14975" t="inlineStr">
        <is>
          <t>Holmen skog AB</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40356-2024</t>
        </is>
      </c>
      <c r="B14976" s="1" t="n">
        <v>45555</v>
      </c>
      <c r="C14976" s="1" t="n">
        <v>45657</v>
      </c>
      <c r="D14976" t="inlineStr">
        <is>
          <t>VÄSTERNORRLANDS LÄN</t>
        </is>
      </c>
      <c r="E14976" t="inlineStr">
        <is>
          <t>SOLLEFTEÅ</t>
        </is>
      </c>
      <c r="F14976" t="inlineStr">
        <is>
          <t>SCA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40342-2024</t>
        </is>
      </c>
      <c r="B14977" s="1" t="n">
        <v>45555</v>
      </c>
      <c r="C14977" s="1" t="n">
        <v>45657</v>
      </c>
      <c r="D14977" t="inlineStr">
        <is>
          <t>VÄSTERNORRLANDS LÄN</t>
        </is>
      </c>
      <c r="E14977" t="inlineStr">
        <is>
          <t>ÖRNSKÖLDSVIK</t>
        </is>
      </c>
      <c r="F14977" t="inlineStr">
        <is>
          <t>Holmen skog AB</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40350-2024</t>
        </is>
      </c>
      <c r="B14978" s="1" t="n">
        <v>45555</v>
      </c>
      <c r="C14978" s="1" t="n">
        <v>45657</v>
      </c>
      <c r="D14978" t="inlineStr">
        <is>
          <t>VÄSTERNORRLANDS LÄN</t>
        </is>
      </c>
      <c r="E14978" t="inlineStr">
        <is>
          <t>ÖRNSKÖLDSVIK</t>
        </is>
      </c>
      <c r="F14978" t="inlineStr">
        <is>
          <t>Holmen skog AB</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40355-2024</t>
        </is>
      </c>
      <c r="B14979" s="1" t="n">
        <v>45555</v>
      </c>
      <c r="C14979" s="1" t="n">
        <v>45657</v>
      </c>
      <c r="D14979" t="inlineStr">
        <is>
          <t>VÄSTERNORRLANDS LÄN</t>
        </is>
      </c>
      <c r="E14979" t="inlineStr">
        <is>
          <t>SOLLEFTEÅ</t>
        </is>
      </c>
      <c r="F14979" t="inlineStr">
        <is>
          <t>SCA</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40354-2024</t>
        </is>
      </c>
      <c r="B14980" s="1" t="n">
        <v>45555</v>
      </c>
      <c r="C14980" s="1" t="n">
        <v>45657</v>
      </c>
      <c r="D14980" t="inlineStr">
        <is>
          <t>VÄSTERNORRLANDS LÄN</t>
        </is>
      </c>
      <c r="E14980" t="inlineStr">
        <is>
          <t>SOLLEFTEÅ</t>
        </is>
      </c>
      <c r="F14980" t="inlineStr">
        <is>
          <t>SCA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40362-2024</t>
        </is>
      </c>
      <c r="B14981" s="1" t="n">
        <v>45555</v>
      </c>
      <c r="C14981" s="1" t="n">
        <v>45657</v>
      </c>
      <c r="D14981" t="inlineStr">
        <is>
          <t>VÄSTERNORRLANDS LÄN</t>
        </is>
      </c>
      <c r="E14981" t="inlineStr">
        <is>
          <t>ÖRNSKÖLDSVIK</t>
        </is>
      </c>
      <c r="F14981" t="inlineStr">
        <is>
          <t>Holmen skog AB</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40384-2024</t>
        </is>
      </c>
      <c r="B14982" s="1" t="n">
        <v>45555</v>
      </c>
      <c r="C14982" s="1" t="n">
        <v>45657</v>
      </c>
      <c r="D14982" t="inlineStr">
        <is>
          <t>VÄSTERNORRLANDS LÄN</t>
        </is>
      </c>
      <c r="E14982" t="inlineStr">
        <is>
          <t>SUNDSVALL</t>
        </is>
      </c>
      <c r="F14982" t="inlineStr">
        <is>
          <t>SCA</t>
        </is>
      </c>
      <c r="G14982" t="n">
        <v>5.6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40396-2024</t>
        </is>
      </c>
      <c r="B14983" s="1" t="n">
        <v>45555</v>
      </c>
      <c r="C14983" s="1" t="n">
        <v>45657</v>
      </c>
      <c r="D14983" t="inlineStr">
        <is>
          <t>VÄSTERNORRLANDS LÄN</t>
        </is>
      </c>
      <c r="E14983" t="inlineStr">
        <is>
          <t>ÖRNSKÖLDSVIK</t>
        </is>
      </c>
      <c r="F14983" t="inlineStr">
        <is>
          <t>Holmen skog AB</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40413-2024</t>
        </is>
      </c>
      <c r="B14984" s="1" t="n">
        <v>45555</v>
      </c>
      <c r="C14984" s="1" t="n">
        <v>45657</v>
      </c>
      <c r="D14984" t="inlineStr">
        <is>
          <t>VÄSTERNORRLANDS LÄN</t>
        </is>
      </c>
      <c r="E14984" t="inlineStr">
        <is>
          <t>SOLLEFTEÅ</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40383-2024</t>
        </is>
      </c>
      <c r="B14985" s="1" t="n">
        <v>45555</v>
      </c>
      <c r="C14985" s="1" t="n">
        <v>45657</v>
      </c>
      <c r="D14985" t="inlineStr">
        <is>
          <t>VÄSTERNORRLANDS LÄN</t>
        </is>
      </c>
      <c r="E14985" t="inlineStr">
        <is>
          <t>SOLLEFTEÅ</t>
        </is>
      </c>
      <c r="F14985" t="inlineStr">
        <is>
          <t>SCA</t>
        </is>
      </c>
      <c r="G14985" t="n">
        <v>10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40403-2024</t>
        </is>
      </c>
      <c r="B14986" s="1" t="n">
        <v>45555</v>
      </c>
      <c r="C14986" s="1" t="n">
        <v>45657</v>
      </c>
      <c r="D14986" t="inlineStr">
        <is>
          <t>VÄSTERNORRLANDS LÄN</t>
        </is>
      </c>
      <c r="E14986" t="inlineStr">
        <is>
          <t>SOLLEFTEÅ</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40428-2024</t>
        </is>
      </c>
      <c r="B14987" s="1" t="n">
        <v>45555</v>
      </c>
      <c r="C14987" s="1" t="n">
        <v>45657</v>
      </c>
      <c r="D14987" t="inlineStr">
        <is>
          <t>VÄSTERNORRLANDS LÄN</t>
        </is>
      </c>
      <c r="E14987" t="inlineStr">
        <is>
          <t>ÅNGE</t>
        </is>
      </c>
      <c r="F14987" t="inlineStr">
        <is>
          <t>SCA</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40429-2024</t>
        </is>
      </c>
      <c r="B14988" s="1" t="n">
        <v>45555</v>
      </c>
      <c r="C14988" s="1" t="n">
        <v>45657</v>
      </c>
      <c r="D14988" t="inlineStr">
        <is>
          <t>VÄSTERNORRLANDS LÄN</t>
        </is>
      </c>
      <c r="E14988" t="inlineStr">
        <is>
          <t>SOLLEFTEÅ</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40437-2024</t>
        </is>
      </c>
      <c r="B14989" s="1" t="n">
        <v>45555</v>
      </c>
      <c r="C14989" s="1" t="n">
        <v>45657</v>
      </c>
      <c r="D14989" t="inlineStr">
        <is>
          <t>VÄSTERNORRLANDS LÄN</t>
        </is>
      </c>
      <c r="E14989" t="inlineStr">
        <is>
          <t>HÄRNÖSAND</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40473-2024</t>
        </is>
      </c>
      <c r="B14990" s="1" t="n">
        <v>45555</v>
      </c>
      <c r="C14990" s="1" t="n">
        <v>45657</v>
      </c>
      <c r="D14990" t="inlineStr">
        <is>
          <t>VÄSTERNORRLANDS LÄN</t>
        </is>
      </c>
      <c r="E14990" t="inlineStr">
        <is>
          <t>SUNDSVALL</t>
        </is>
      </c>
      <c r="F14990" t="inlineStr">
        <is>
          <t>SCA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40569-2024</t>
        </is>
      </c>
      <c r="B14991" s="1" t="n">
        <v>45555</v>
      </c>
      <c r="C14991" s="1" t="n">
        <v>45657</v>
      </c>
      <c r="D14991" t="inlineStr">
        <is>
          <t>VÄSTERNORRLANDS LÄN</t>
        </is>
      </c>
      <c r="E14991" t="inlineStr">
        <is>
          <t>SOLLEFTEÅ</t>
        </is>
      </c>
      <c r="F14991" t="inlineStr">
        <is>
          <t>SCA</t>
        </is>
      </c>
      <c r="G14991" t="n">
        <v>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40593-2024</t>
        </is>
      </c>
      <c r="B14992" s="1" t="n">
        <v>45555</v>
      </c>
      <c r="C14992" s="1" t="n">
        <v>45657</v>
      </c>
      <c r="D14992" t="inlineStr">
        <is>
          <t>VÄSTERNORRLANDS LÄN</t>
        </is>
      </c>
      <c r="E14992" t="inlineStr">
        <is>
          <t>TIMRÅ</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40508-2024</t>
        </is>
      </c>
      <c r="B14993" s="1" t="n">
        <v>45555</v>
      </c>
      <c r="C14993" s="1" t="n">
        <v>45657</v>
      </c>
      <c r="D14993" t="inlineStr">
        <is>
          <t>VÄSTERNORRLANDS LÄN</t>
        </is>
      </c>
      <c r="E14993" t="inlineStr">
        <is>
          <t>ÖRNSKÖLDSVIK</t>
        </is>
      </c>
      <c r="F14993" t="inlineStr">
        <is>
          <t>Holmen skog AB</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40490-2024</t>
        </is>
      </c>
      <c r="B14994" s="1" t="n">
        <v>45555</v>
      </c>
      <c r="C14994" s="1" t="n">
        <v>45657</v>
      </c>
      <c r="D14994" t="inlineStr">
        <is>
          <t>VÄSTERNORRLANDS LÄN</t>
        </is>
      </c>
      <c r="E14994" t="inlineStr">
        <is>
          <t>ÖRNSKÖLDSVIK</t>
        </is>
      </c>
      <c r="F14994" t="inlineStr">
        <is>
          <t>Kommuner</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40526-2024</t>
        </is>
      </c>
      <c r="B14995" s="1" t="n">
        <v>45555</v>
      </c>
      <c r="C14995" s="1" t="n">
        <v>45657</v>
      </c>
      <c r="D14995" t="inlineStr">
        <is>
          <t>VÄSTERNORRLANDS LÄN</t>
        </is>
      </c>
      <c r="E14995" t="inlineStr">
        <is>
          <t>ÖRNSKÖLDSVIK</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40570-2024</t>
        </is>
      </c>
      <c r="B14996" s="1" t="n">
        <v>45555</v>
      </c>
      <c r="C14996" s="1" t="n">
        <v>45657</v>
      </c>
      <c r="D14996" t="inlineStr">
        <is>
          <t>VÄSTERNORRLANDS LÄN</t>
        </is>
      </c>
      <c r="E14996" t="inlineStr">
        <is>
          <t>SOLLEFTEÅ</t>
        </is>
      </c>
      <c r="F14996" t="inlineStr">
        <is>
          <t>SCA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40353-2024</t>
        </is>
      </c>
      <c r="B14997" s="1" t="n">
        <v>45555</v>
      </c>
      <c r="C14997" s="1" t="n">
        <v>45657</v>
      </c>
      <c r="D14997" t="inlineStr">
        <is>
          <t>VÄSTERNORRLANDS LÄN</t>
        </is>
      </c>
      <c r="E14997" t="inlineStr">
        <is>
          <t>SOLLEFTEÅ</t>
        </is>
      </c>
      <c r="F14997" t="inlineStr">
        <is>
          <t>SCA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40427-2024</t>
        </is>
      </c>
      <c r="B14998" s="1" t="n">
        <v>45555</v>
      </c>
      <c r="C14998" s="1" t="n">
        <v>45657</v>
      </c>
      <c r="D14998" t="inlineStr">
        <is>
          <t>VÄSTERNORRLANDS LÄN</t>
        </is>
      </c>
      <c r="E14998" t="inlineStr">
        <is>
          <t>KRAMFORS</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40571-2024</t>
        </is>
      </c>
      <c r="B14999" s="1" t="n">
        <v>45555</v>
      </c>
      <c r="C14999" s="1" t="n">
        <v>45657</v>
      </c>
      <c r="D14999" t="inlineStr">
        <is>
          <t>VÄSTERNORRLANDS LÄN</t>
        </is>
      </c>
      <c r="E14999" t="inlineStr">
        <is>
          <t>SOLLEFTEÅ</t>
        </is>
      </c>
      <c r="F14999" t="inlineStr">
        <is>
          <t>SCA</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40575-2024</t>
        </is>
      </c>
      <c r="B15000" s="1" t="n">
        <v>45555</v>
      </c>
      <c r="C15000" s="1" t="n">
        <v>45657</v>
      </c>
      <c r="D15000" t="inlineStr">
        <is>
          <t>VÄSTERNORRLANDS LÄN</t>
        </is>
      </c>
      <c r="E15000" t="inlineStr">
        <is>
          <t>SOLLEFTEÅ</t>
        </is>
      </c>
      <c r="F15000" t="inlineStr">
        <is>
          <t>SCA</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40656-2024</t>
        </is>
      </c>
      <c r="B15001" s="1" t="n">
        <v>45558</v>
      </c>
      <c r="C15001" s="1" t="n">
        <v>45657</v>
      </c>
      <c r="D15001" t="inlineStr">
        <is>
          <t>VÄSTERNORRLANDS LÄN</t>
        </is>
      </c>
      <c r="E15001" t="inlineStr">
        <is>
          <t>ÅNGE</t>
        </is>
      </c>
      <c r="F15001" t="inlineStr">
        <is>
          <t>SCA</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40664-2024</t>
        </is>
      </c>
      <c r="B15002" s="1" t="n">
        <v>45558</v>
      </c>
      <c r="C15002" s="1" t="n">
        <v>45657</v>
      </c>
      <c r="D15002" t="inlineStr">
        <is>
          <t>VÄSTERNORRLANDS LÄN</t>
        </is>
      </c>
      <c r="E15002" t="inlineStr">
        <is>
          <t>TIMRÅ</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40690-2024</t>
        </is>
      </c>
      <c r="B15003" s="1" t="n">
        <v>45558</v>
      </c>
      <c r="C15003" s="1" t="n">
        <v>45657</v>
      </c>
      <c r="D15003" t="inlineStr">
        <is>
          <t>VÄSTERNORRLANDS LÄN</t>
        </is>
      </c>
      <c r="E15003" t="inlineStr">
        <is>
          <t>ÖRNSKÖLDSVIK</t>
        </is>
      </c>
      <c r="F15003" t="inlineStr">
        <is>
          <t>Holmen skog AB</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40764-2024</t>
        </is>
      </c>
      <c r="B15004" s="1" t="n">
        <v>45558</v>
      </c>
      <c r="C15004" s="1" t="n">
        <v>45657</v>
      </c>
      <c r="D15004" t="inlineStr">
        <is>
          <t>VÄSTERNORRLANDS LÄN</t>
        </is>
      </c>
      <c r="E15004" t="inlineStr">
        <is>
          <t>ÖRNSKÖLDSVIK</t>
        </is>
      </c>
      <c r="G15004" t="n">
        <v>5.5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40788-2024</t>
        </is>
      </c>
      <c r="B15005" s="1" t="n">
        <v>45558</v>
      </c>
      <c r="C15005" s="1" t="n">
        <v>45657</v>
      </c>
      <c r="D15005" t="inlineStr">
        <is>
          <t>VÄSTERNORRLANDS LÄN</t>
        </is>
      </c>
      <c r="E15005" t="inlineStr">
        <is>
          <t>ÅNGE</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40705-2024</t>
        </is>
      </c>
      <c r="B15006" s="1" t="n">
        <v>45558</v>
      </c>
      <c r="C15006" s="1" t="n">
        <v>45657</v>
      </c>
      <c r="D15006" t="inlineStr">
        <is>
          <t>VÄSTERNORRLANDS LÄN</t>
        </is>
      </c>
      <c r="E15006" t="inlineStr">
        <is>
          <t>ÖRNSKÖLDSVIK</t>
        </is>
      </c>
      <c r="F15006" t="inlineStr">
        <is>
          <t>Kommuner</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40762-2024</t>
        </is>
      </c>
      <c r="B15007" s="1" t="n">
        <v>45558</v>
      </c>
      <c r="C15007" s="1" t="n">
        <v>45657</v>
      </c>
      <c r="D15007" t="inlineStr">
        <is>
          <t>VÄSTERNORRLANDS LÄN</t>
        </is>
      </c>
      <c r="E15007" t="inlineStr">
        <is>
          <t>TIMRÅ</t>
        </is>
      </c>
      <c r="F15007" t="inlineStr">
        <is>
          <t>SCA</t>
        </is>
      </c>
      <c r="G15007" t="n">
        <v>7.9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40817-2024</t>
        </is>
      </c>
      <c r="B15008" s="1" t="n">
        <v>45558</v>
      </c>
      <c r="C15008" s="1" t="n">
        <v>45657</v>
      </c>
      <c r="D15008" t="inlineStr">
        <is>
          <t>VÄSTERNORRLANDS LÄN</t>
        </is>
      </c>
      <c r="E15008" t="inlineStr">
        <is>
          <t>SOLLEFTEÅ</t>
        </is>
      </c>
      <c r="F15008" t="inlineStr">
        <is>
          <t>SCA</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40655-2024</t>
        </is>
      </c>
      <c r="B15009" s="1" t="n">
        <v>45558</v>
      </c>
      <c r="C15009" s="1" t="n">
        <v>45657</v>
      </c>
      <c r="D15009" t="inlineStr">
        <is>
          <t>VÄSTERNORRLANDS LÄN</t>
        </is>
      </c>
      <c r="E15009" t="inlineStr">
        <is>
          <t>SOLLEFTEÅ</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40679-2024</t>
        </is>
      </c>
      <c r="B15010" s="1" t="n">
        <v>45558</v>
      </c>
      <c r="C15010" s="1" t="n">
        <v>45657</v>
      </c>
      <c r="D15010" t="inlineStr">
        <is>
          <t>VÄSTERNORRLANDS LÄN</t>
        </is>
      </c>
      <c r="E15010" t="inlineStr">
        <is>
          <t>SOLLEFTEÅ</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40708-2024</t>
        </is>
      </c>
      <c r="B15011" s="1" t="n">
        <v>45558</v>
      </c>
      <c r="C15011" s="1" t="n">
        <v>45657</v>
      </c>
      <c r="D15011" t="inlineStr">
        <is>
          <t>VÄSTERNORRLANDS LÄN</t>
        </is>
      </c>
      <c r="E15011" t="inlineStr">
        <is>
          <t>ÖRNSKÖLDSVIK</t>
        </is>
      </c>
      <c r="F15011" t="inlineStr">
        <is>
          <t>Kommuner</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40716-2024</t>
        </is>
      </c>
      <c r="B15012" s="1" t="n">
        <v>45558</v>
      </c>
      <c r="C15012" s="1" t="n">
        <v>45657</v>
      </c>
      <c r="D15012" t="inlineStr">
        <is>
          <t>VÄSTERNORRLANDS LÄN</t>
        </is>
      </c>
      <c r="E15012" t="inlineStr">
        <is>
          <t>HÄRNÖSAND</t>
        </is>
      </c>
      <c r="G15012" t="n">
        <v>0.4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40707-2024</t>
        </is>
      </c>
      <c r="B15013" s="1" t="n">
        <v>45558</v>
      </c>
      <c r="C15013" s="1" t="n">
        <v>45657</v>
      </c>
      <c r="D15013" t="inlineStr">
        <is>
          <t>VÄSTERNORRLANDS LÄN</t>
        </is>
      </c>
      <c r="E15013" t="inlineStr">
        <is>
          <t>HÄRNÖSAND</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40922-2024</t>
        </is>
      </c>
      <c r="B15014" s="1" t="n">
        <v>45558</v>
      </c>
      <c r="C15014" s="1" t="n">
        <v>45657</v>
      </c>
      <c r="D15014" t="inlineStr">
        <is>
          <t>VÄSTERNORRLANDS LÄN</t>
        </is>
      </c>
      <c r="E15014" t="inlineStr">
        <is>
          <t>SUNDSVALL</t>
        </is>
      </c>
      <c r="F15014" t="inlineStr">
        <is>
          <t>SCA</t>
        </is>
      </c>
      <c r="G15014" t="n">
        <v>4.8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40954-2024</t>
        </is>
      </c>
      <c r="B15015" s="1" t="n">
        <v>45558</v>
      </c>
      <c r="C15015" s="1" t="n">
        <v>45657</v>
      </c>
      <c r="D15015" t="inlineStr">
        <is>
          <t>VÄSTERNORRLANDS LÄN</t>
        </is>
      </c>
      <c r="E15015" t="inlineStr">
        <is>
          <t>SOLLEFTEÅ</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40803-2024</t>
        </is>
      </c>
      <c r="B15016" s="1" t="n">
        <v>45558</v>
      </c>
      <c r="C15016" s="1" t="n">
        <v>45657</v>
      </c>
      <c r="D15016" t="inlineStr">
        <is>
          <t>VÄSTERNORRLANDS LÄN</t>
        </is>
      </c>
      <c r="E15016" t="inlineStr">
        <is>
          <t>ÅNGE</t>
        </is>
      </c>
      <c r="F15016" t="inlineStr">
        <is>
          <t>SCA</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40872-2024</t>
        </is>
      </c>
      <c r="B15017" s="1" t="n">
        <v>45558</v>
      </c>
      <c r="C15017" s="1" t="n">
        <v>45657</v>
      </c>
      <c r="D15017" t="inlineStr">
        <is>
          <t>VÄSTERNORRLANDS LÄN</t>
        </is>
      </c>
      <c r="E15017" t="inlineStr">
        <is>
          <t>ÖRNSKÖLDSVIK</t>
        </is>
      </c>
      <c r="F15017" t="inlineStr">
        <is>
          <t>Holmen skog AB</t>
        </is>
      </c>
      <c r="G15017" t="n">
        <v>5.3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40913-2024</t>
        </is>
      </c>
      <c r="B15018" s="1" t="n">
        <v>45558</v>
      </c>
      <c r="C15018" s="1" t="n">
        <v>45657</v>
      </c>
      <c r="D15018" t="inlineStr">
        <is>
          <t>VÄSTERNORRLANDS LÄN</t>
        </is>
      </c>
      <c r="E15018" t="inlineStr">
        <is>
          <t>ÖRNSKÖLDSVIK</t>
        </is>
      </c>
      <c r="F15018" t="inlineStr">
        <is>
          <t>Holmen skog AB</t>
        </is>
      </c>
      <c r="G15018" t="n">
        <v>8.199999999999999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40921-2024</t>
        </is>
      </c>
      <c r="B15019" s="1" t="n">
        <v>45558</v>
      </c>
      <c r="C15019" s="1" t="n">
        <v>45657</v>
      </c>
      <c r="D15019" t="inlineStr">
        <is>
          <t>VÄSTERNORRLANDS LÄN</t>
        </is>
      </c>
      <c r="E15019" t="inlineStr">
        <is>
          <t>SOLLEFTEÅ</t>
        </is>
      </c>
      <c r="F15019" t="inlineStr">
        <is>
          <t>SCA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40949-2024</t>
        </is>
      </c>
      <c r="B15020" s="1" t="n">
        <v>45558</v>
      </c>
      <c r="C15020" s="1" t="n">
        <v>45657</v>
      </c>
      <c r="D15020" t="inlineStr">
        <is>
          <t>VÄSTERNORRLANDS LÄN</t>
        </is>
      </c>
      <c r="E15020" t="inlineStr">
        <is>
          <t>ÖRNSKÖLDSVIK</t>
        </is>
      </c>
      <c r="F15020" t="inlineStr">
        <is>
          <t>Holmen skog AB</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40802-2024</t>
        </is>
      </c>
      <c r="B15021" s="1" t="n">
        <v>45558</v>
      </c>
      <c r="C15021" s="1" t="n">
        <v>45657</v>
      </c>
      <c r="D15021" t="inlineStr">
        <is>
          <t>VÄSTERNORRLANDS LÄN</t>
        </is>
      </c>
      <c r="E15021" t="inlineStr">
        <is>
          <t>ÅNGE</t>
        </is>
      </c>
      <c r="F15021" t="inlineStr">
        <is>
          <t>SCA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40819-2024</t>
        </is>
      </c>
      <c r="B15022" s="1" t="n">
        <v>45558</v>
      </c>
      <c r="C15022" s="1" t="n">
        <v>45657</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40859-2024</t>
        </is>
      </c>
      <c r="B15023" s="1" t="n">
        <v>45558</v>
      </c>
      <c r="C15023" s="1" t="n">
        <v>45657</v>
      </c>
      <c r="D15023" t="inlineStr">
        <is>
          <t>VÄSTERNORRLANDS LÄN</t>
        </is>
      </c>
      <c r="E15023" t="inlineStr">
        <is>
          <t>SOLLEFTEÅ</t>
        </is>
      </c>
      <c r="G15023" t="n">
        <v>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40977-2024</t>
        </is>
      </c>
      <c r="B15024" s="1" t="n">
        <v>45558</v>
      </c>
      <c r="C15024" s="1" t="n">
        <v>45657</v>
      </c>
      <c r="D15024" t="inlineStr">
        <is>
          <t>VÄSTERNORRLANDS LÄN</t>
        </is>
      </c>
      <c r="E15024" t="inlineStr">
        <is>
          <t>ÖRNSKÖLDSVIK</t>
        </is>
      </c>
      <c r="F15024" t="inlineStr">
        <is>
          <t>Holmen skog AB</t>
        </is>
      </c>
      <c r="G15024" t="n">
        <v>7.2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40769-2024</t>
        </is>
      </c>
      <c r="B15025" s="1" t="n">
        <v>45558</v>
      </c>
      <c r="C15025" s="1" t="n">
        <v>45657</v>
      </c>
      <c r="D15025" t="inlineStr">
        <is>
          <t>VÄSTERNORRLANDS LÄN</t>
        </is>
      </c>
      <c r="E15025" t="inlineStr">
        <is>
          <t>ÖRNSKÖLDSVIK</t>
        </is>
      </c>
      <c r="F15025" t="inlineStr">
        <is>
          <t>Kommuner</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40854-2024</t>
        </is>
      </c>
      <c r="B15026" s="1" t="n">
        <v>45558</v>
      </c>
      <c r="C15026" s="1" t="n">
        <v>45657</v>
      </c>
      <c r="D15026" t="inlineStr">
        <is>
          <t>VÄSTERNORRLANDS LÄN</t>
        </is>
      </c>
      <c r="E15026" t="inlineStr">
        <is>
          <t>ÖRNSKÖLDSVIK</t>
        </is>
      </c>
      <c r="F15026" t="inlineStr">
        <is>
          <t>Holmen skog AB</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40890-2024</t>
        </is>
      </c>
      <c r="B15027" s="1" t="n">
        <v>45558</v>
      </c>
      <c r="C15027" s="1" t="n">
        <v>45657</v>
      </c>
      <c r="D15027" t="inlineStr">
        <is>
          <t>VÄSTERNORRLANDS LÄN</t>
        </is>
      </c>
      <c r="E15027" t="inlineStr">
        <is>
          <t>ÖRNSKÖLDSVIK</t>
        </is>
      </c>
      <c r="F15027" t="inlineStr">
        <is>
          <t>Holmen skog AB</t>
        </is>
      </c>
      <c r="G15027" t="n">
        <v>10.4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41041-2024</t>
        </is>
      </c>
      <c r="B15028" s="1" t="n">
        <v>45558</v>
      </c>
      <c r="C15028" s="1" t="n">
        <v>45657</v>
      </c>
      <c r="D15028" t="inlineStr">
        <is>
          <t>VÄSTERNORRLANDS LÄN</t>
        </is>
      </c>
      <c r="E15028" t="inlineStr">
        <is>
          <t>SOLLEFTEÅ</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41238-2024</t>
        </is>
      </c>
      <c r="B15029" s="1" t="n">
        <v>45558</v>
      </c>
      <c r="C15029" s="1" t="n">
        <v>45657</v>
      </c>
      <c r="D15029" t="inlineStr">
        <is>
          <t>VÄSTERNORRLANDS LÄN</t>
        </is>
      </c>
      <c r="E15029" t="inlineStr">
        <is>
          <t>ÖRNSKÖLDSVIK</t>
        </is>
      </c>
      <c r="G15029" t="n">
        <v>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41010-2024</t>
        </is>
      </c>
      <c r="B15030" s="1" t="n">
        <v>45559</v>
      </c>
      <c r="C15030" s="1" t="n">
        <v>45657</v>
      </c>
      <c r="D15030" t="inlineStr">
        <is>
          <t>VÄSTERNORRLANDS LÄN</t>
        </is>
      </c>
      <c r="E15030" t="inlineStr">
        <is>
          <t>ÖRNSKÖLDSVIK</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41028-2024</t>
        </is>
      </c>
      <c r="B15031" s="1" t="n">
        <v>45559</v>
      </c>
      <c r="C15031" s="1" t="n">
        <v>45657</v>
      </c>
      <c r="D15031" t="inlineStr">
        <is>
          <t>VÄSTERNORRLANDS LÄN</t>
        </is>
      </c>
      <c r="E15031" t="inlineStr">
        <is>
          <t>SOLLEFTEÅ</t>
        </is>
      </c>
      <c r="F15031" t="inlineStr">
        <is>
          <t>SCA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41043-2024</t>
        </is>
      </c>
      <c r="B15032" s="1" t="n">
        <v>45559</v>
      </c>
      <c r="C15032" s="1" t="n">
        <v>45657</v>
      </c>
      <c r="D15032" t="inlineStr">
        <is>
          <t>VÄSTERNORRLANDS LÄN</t>
        </is>
      </c>
      <c r="E15032" t="inlineStr">
        <is>
          <t>ÖRNSKÖLDSVIK</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41026-2024</t>
        </is>
      </c>
      <c r="B15033" s="1" t="n">
        <v>45559</v>
      </c>
      <c r="C15033" s="1" t="n">
        <v>45657</v>
      </c>
      <c r="D15033" t="inlineStr">
        <is>
          <t>VÄSTERNORRLANDS LÄN</t>
        </is>
      </c>
      <c r="E15033" t="inlineStr">
        <is>
          <t>SOLLEFTEÅ</t>
        </is>
      </c>
      <c r="F15033" t="inlineStr">
        <is>
          <t>SCA</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41045-2024</t>
        </is>
      </c>
      <c r="B15034" s="1" t="n">
        <v>45559</v>
      </c>
      <c r="C15034" s="1" t="n">
        <v>45657</v>
      </c>
      <c r="D15034" t="inlineStr">
        <is>
          <t>VÄSTERNORRLANDS LÄN</t>
        </is>
      </c>
      <c r="E15034" t="inlineStr">
        <is>
          <t>ÖRNSKÖLDSVIK</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41102-2024</t>
        </is>
      </c>
      <c r="B15035" s="1" t="n">
        <v>45559</v>
      </c>
      <c r="C15035" s="1" t="n">
        <v>45657</v>
      </c>
      <c r="D15035" t="inlineStr">
        <is>
          <t>VÄSTERNORRLANDS LÄN</t>
        </is>
      </c>
      <c r="E15035" t="inlineStr">
        <is>
          <t>ÖRNSKÖLDSVIK</t>
        </is>
      </c>
      <c r="G15035" t="n">
        <v>5.3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41075-2024</t>
        </is>
      </c>
      <c r="B15036" s="1" t="n">
        <v>45559</v>
      </c>
      <c r="C15036" s="1" t="n">
        <v>45657</v>
      </c>
      <c r="D15036" t="inlineStr">
        <is>
          <t>VÄSTERNORRLANDS LÄN</t>
        </is>
      </c>
      <c r="E15036" t="inlineStr">
        <is>
          <t>ÖRNSKÖLDSVIK</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41083-2024</t>
        </is>
      </c>
      <c r="B15037" s="1" t="n">
        <v>45559</v>
      </c>
      <c r="C15037" s="1" t="n">
        <v>45657</v>
      </c>
      <c r="D15037" t="inlineStr">
        <is>
          <t>VÄSTERNORRLANDS LÄN</t>
        </is>
      </c>
      <c r="E15037" t="inlineStr">
        <is>
          <t>ÅNGE</t>
        </is>
      </c>
      <c r="F15037" t="inlineStr">
        <is>
          <t>SCA</t>
        </is>
      </c>
      <c r="G15037" t="n">
        <v>8.4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41091-2024</t>
        </is>
      </c>
      <c r="B15038" s="1" t="n">
        <v>45559</v>
      </c>
      <c r="C15038" s="1" t="n">
        <v>45657</v>
      </c>
      <c r="D15038" t="inlineStr">
        <is>
          <t>VÄSTERNORRLANDS LÄN</t>
        </is>
      </c>
      <c r="E15038" t="inlineStr">
        <is>
          <t>SUNDSVALL</t>
        </is>
      </c>
      <c r="F15038" t="inlineStr">
        <is>
          <t>SCA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41111-2024</t>
        </is>
      </c>
      <c r="B15039" s="1" t="n">
        <v>45559</v>
      </c>
      <c r="C15039" s="1" t="n">
        <v>45657</v>
      </c>
      <c r="D15039" t="inlineStr">
        <is>
          <t>VÄSTERNORRLANDS LÄN</t>
        </is>
      </c>
      <c r="E15039" t="inlineStr">
        <is>
          <t>ÖRNSKÖLDSVIK</t>
        </is>
      </c>
      <c r="F15039" t="inlineStr">
        <is>
          <t>Holmen skog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41153-2024</t>
        </is>
      </c>
      <c r="B15040" s="1" t="n">
        <v>45559</v>
      </c>
      <c r="C15040" s="1" t="n">
        <v>45657</v>
      </c>
      <c r="D15040" t="inlineStr">
        <is>
          <t>VÄSTERNORRLANDS LÄN</t>
        </is>
      </c>
      <c r="E15040" t="inlineStr">
        <is>
          <t>ÅNGE</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41196-2024</t>
        </is>
      </c>
      <c r="B15041" s="1" t="n">
        <v>45559</v>
      </c>
      <c r="C15041" s="1" t="n">
        <v>45657</v>
      </c>
      <c r="D15041" t="inlineStr">
        <is>
          <t>VÄSTERNORRLANDS LÄN</t>
        </is>
      </c>
      <c r="E15041" t="inlineStr">
        <is>
          <t>SUNDSVALL</t>
        </is>
      </c>
      <c r="G15041" t="n">
        <v>13.2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41200-2024</t>
        </is>
      </c>
      <c r="B15042" s="1" t="n">
        <v>45559</v>
      </c>
      <c r="C15042" s="1" t="n">
        <v>45657</v>
      </c>
      <c r="D15042" t="inlineStr">
        <is>
          <t>VÄSTERNORRLANDS LÄN</t>
        </is>
      </c>
      <c r="E15042" t="inlineStr">
        <is>
          <t>SUNDSVALL</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41244-2024</t>
        </is>
      </c>
      <c r="B15043" s="1" t="n">
        <v>45559</v>
      </c>
      <c r="C15043" s="1" t="n">
        <v>45657</v>
      </c>
      <c r="D15043" t="inlineStr">
        <is>
          <t>VÄSTERNORRLANDS LÄN</t>
        </is>
      </c>
      <c r="E15043" t="inlineStr">
        <is>
          <t>SUNDSVALL</t>
        </is>
      </c>
      <c r="G15043" t="n">
        <v>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41284-2024</t>
        </is>
      </c>
      <c r="B15044" s="1" t="n">
        <v>45559</v>
      </c>
      <c r="C15044" s="1" t="n">
        <v>45657</v>
      </c>
      <c r="D15044" t="inlineStr">
        <is>
          <t>VÄSTERNORRLANDS LÄN</t>
        </is>
      </c>
      <c r="E15044" t="inlineStr">
        <is>
          <t>ÅNGE</t>
        </is>
      </c>
      <c r="F15044" t="inlineStr">
        <is>
          <t>SCA</t>
        </is>
      </c>
      <c r="G15044" t="n">
        <v>5.5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41222-2024</t>
        </is>
      </c>
      <c r="B15045" s="1" t="n">
        <v>45559</v>
      </c>
      <c r="C15045" s="1" t="n">
        <v>45657</v>
      </c>
      <c r="D15045" t="inlineStr">
        <is>
          <t>VÄSTERNORRLANDS LÄN</t>
        </is>
      </c>
      <c r="E15045" t="inlineStr">
        <is>
          <t>ÅNGE</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41265-2024</t>
        </is>
      </c>
      <c r="B15046" s="1" t="n">
        <v>45559</v>
      </c>
      <c r="C15046" s="1" t="n">
        <v>45657</v>
      </c>
      <c r="D15046" t="inlineStr">
        <is>
          <t>VÄSTERNORRLANDS LÄN</t>
        </is>
      </c>
      <c r="E15046" t="inlineStr">
        <is>
          <t>ÖRNSKÖLDSVIK</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41287-2024</t>
        </is>
      </c>
      <c r="B15047" s="1" t="n">
        <v>45559</v>
      </c>
      <c r="C15047" s="1" t="n">
        <v>45657</v>
      </c>
      <c r="D15047" t="inlineStr">
        <is>
          <t>VÄSTERNORRLANDS LÄN</t>
        </is>
      </c>
      <c r="E15047" t="inlineStr">
        <is>
          <t>SUNDSVALL</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41327-2024</t>
        </is>
      </c>
      <c r="B15048" s="1" t="n">
        <v>45559</v>
      </c>
      <c r="C15048" s="1" t="n">
        <v>45657</v>
      </c>
      <c r="D15048" t="inlineStr">
        <is>
          <t>VÄSTERNORRLANDS LÄN</t>
        </is>
      </c>
      <c r="E15048" t="inlineStr">
        <is>
          <t>ÖRNSKÖLDSVIK</t>
        </is>
      </c>
      <c r="F15048" t="inlineStr">
        <is>
          <t>Holmen skog AB</t>
        </is>
      </c>
      <c r="G15048" t="n">
        <v>7.1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41009-2024</t>
        </is>
      </c>
      <c r="B15049" s="1" t="n">
        <v>45559</v>
      </c>
      <c r="C15049" s="1" t="n">
        <v>45657</v>
      </c>
      <c r="D15049" t="inlineStr">
        <is>
          <t>VÄSTERNORRLANDS LÄN</t>
        </is>
      </c>
      <c r="E15049" t="inlineStr">
        <is>
          <t>ÖRNSKÖLDSVIK</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41027-2024</t>
        </is>
      </c>
      <c r="B15050" s="1" t="n">
        <v>45559</v>
      </c>
      <c r="C15050" s="1" t="n">
        <v>45657</v>
      </c>
      <c r="D15050" t="inlineStr">
        <is>
          <t>VÄSTERNORRLANDS LÄN</t>
        </is>
      </c>
      <c r="E15050" t="inlineStr">
        <is>
          <t>SUNDSVALL</t>
        </is>
      </c>
      <c r="F15050" t="inlineStr">
        <is>
          <t>SCA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41456-2024</t>
        </is>
      </c>
      <c r="B15051" s="1" t="n">
        <v>45559</v>
      </c>
      <c r="C15051" s="1" t="n">
        <v>45657</v>
      </c>
      <c r="D15051" t="inlineStr">
        <is>
          <t>VÄSTERNORRLANDS LÄN</t>
        </is>
      </c>
      <c r="E15051" t="inlineStr">
        <is>
          <t>SUNDSVALL</t>
        </is>
      </c>
      <c r="G15051" t="n">
        <v>10.6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41355-2024</t>
        </is>
      </c>
      <c r="B15052" s="1" t="n">
        <v>45559</v>
      </c>
      <c r="C15052" s="1" t="n">
        <v>45657</v>
      </c>
      <c r="D15052" t="inlineStr">
        <is>
          <t>VÄSTERNORRLANDS LÄN</t>
        </is>
      </c>
      <c r="E15052" t="inlineStr">
        <is>
          <t>ÅNGE</t>
        </is>
      </c>
      <c r="F15052" t="inlineStr">
        <is>
          <t>SCA</t>
        </is>
      </c>
      <c r="G15052" t="n">
        <v>6.1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41381-2024</t>
        </is>
      </c>
      <c r="B15053" s="1" t="n">
        <v>45559</v>
      </c>
      <c r="C15053" s="1" t="n">
        <v>45657</v>
      </c>
      <c r="D15053" t="inlineStr">
        <is>
          <t>VÄSTERNORRLANDS LÄN</t>
        </is>
      </c>
      <c r="E15053" t="inlineStr">
        <is>
          <t>SUNDSVALL</t>
        </is>
      </c>
      <c r="G15053" t="n">
        <v>5.6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41042-2024</t>
        </is>
      </c>
      <c r="B15054" s="1" t="n">
        <v>45559</v>
      </c>
      <c r="C15054" s="1" t="n">
        <v>45657</v>
      </c>
      <c r="D15054" t="inlineStr">
        <is>
          <t>VÄSTERNORRLANDS LÄN</t>
        </is>
      </c>
      <c r="E15054" t="inlineStr">
        <is>
          <t>SOLLEFTEÅ</t>
        </is>
      </c>
      <c r="F15054" t="inlineStr">
        <is>
          <t>SCA</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41114-2024</t>
        </is>
      </c>
      <c r="B15055" s="1" t="n">
        <v>45559</v>
      </c>
      <c r="C15055" s="1" t="n">
        <v>45657</v>
      </c>
      <c r="D15055" t="inlineStr">
        <is>
          <t>VÄSTERNORRLANDS LÄN</t>
        </is>
      </c>
      <c r="E15055" t="inlineStr">
        <is>
          <t>ÖRNSKÖLDSVIK</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41147-2024</t>
        </is>
      </c>
      <c r="B15056" s="1" t="n">
        <v>45559</v>
      </c>
      <c r="C15056" s="1" t="n">
        <v>45657</v>
      </c>
      <c r="D15056" t="inlineStr">
        <is>
          <t>VÄSTERNORRLANDS LÄN</t>
        </is>
      </c>
      <c r="E15056" t="inlineStr">
        <is>
          <t>ÖRNSKÖLDSVIK</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41262-2024</t>
        </is>
      </c>
      <c r="B15057" s="1" t="n">
        <v>45559</v>
      </c>
      <c r="C15057" s="1" t="n">
        <v>45657</v>
      </c>
      <c r="D15057" t="inlineStr">
        <is>
          <t>VÄSTERNORRLANDS LÄN</t>
        </is>
      </c>
      <c r="E15057" t="inlineStr">
        <is>
          <t>SOLLEFTEÅ</t>
        </is>
      </c>
      <c r="G15057" t="n">
        <v>5.6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41302-2024</t>
        </is>
      </c>
      <c r="B15058" s="1" t="n">
        <v>45559</v>
      </c>
      <c r="C15058" s="1" t="n">
        <v>45657</v>
      </c>
      <c r="D15058" t="inlineStr">
        <is>
          <t>VÄSTERNORRLANDS LÄN</t>
        </is>
      </c>
      <c r="E15058" t="inlineStr">
        <is>
          <t>ÅNGE</t>
        </is>
      </c>
      <c r="F15058" t="inlineStr">
        <is>
          <t>Holmen skog AB</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41354-2024</t>
        </is>
      </c>
      <c r="B15059" s="1" t="n">
        <v>45559</v>
      </c>
      <c r="C15059" s="1" t="n">
        <v>45657</v>
      </c>
      <c r="D15059" t="inlineStr">
        <is>
          <t>VÄSTERNORRLANDS LÄN</t>
        </is>
      </c>
      <c r="E15059" t="inlineStr">
        <is>
          <t>SUNDSVALL</t>
        </is>
      </c>
      <c r="F15059" t="inlineStr">
        <is>
          <t>SCA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41380-2024</t>
        </is>
      </c>
      <c r="B15060" s="1" t="n">
        <v>45559</v>
      </c>
      <c r="C15060" s="1" t="n">
        <v>45657</v>
      </c>
      <c r="D15060" t="inlineStr">
        <is>
          <t>VÄSTERNORRLANDS LÄN</t>
        </is>
      </c>
      <c r="E15060" t="inlineStr">
        <is>
          <t>SUNDSVALL</t>
        </is>
      </c>
      <c r="G15060" t="n">
        <v>6.5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41437-2024</t>
        </is>
      </c>
      <c r="B15061" s="1" t="n">
        <v>45560</v>
      </c>
      <c r="C15061" s="1" t="n">
        <v>45657</v>
      </c>
      <c r="D15061" t="inlineStr">
        <is>
          <t>VÄSTERNORRLANDS LÄN</t>
        </is>
      </c>
      <c r="E15061" t="inlineStr">
        <is>
          <t>ÖRNSKÖLDSVIK</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41474-2024</t>
        </is>
      </c>
      <c r="B15062" s="1" t="n">
        <v>45560</v>
      </c>
      <c r="C15062" s="1" t="n">
        <v>45657</v>
      </c>
      <c r="D15062" t="inlineStr">
        <is>
          <t>VÄSTERNORRLANDS LÄN</t>
        </is>
      </c>
      <c r="E15062" t="inlineStr">
        <is>
          <t>ÖRNSKÖLDSVIK</t>
        </is>
      </c>
      <c r="F15062" t="inlineStr">
        <is>
          <t>Holmen skog AB</t>
        </is>
      </c>
      <c r="G15062" t="n">
        <v>15.1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41652-2024</t>
        </is>
      </c>
      <c r="B15063" s="1" t="n">
        <v>45560</v>
      </c>
      <c r="C15063" s="1" t="n">
        <v>45657</v>
      </c>
      <c r="D15063" t="inlineStr">
        <is>
          <t>VÄSTERNORRLANDS LÄN</t>
        </is>
      </c>
      <c r="E15063" t="inlineStr">
        <is>
          <t>SUNDSVALL</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41435-2024</t>
        </is>
      </c>
      <c r="B15064" s="1" t="n">
        <v>45560</v>
      </c>
      <c r="C15064" s="1" t="n">
        <v>45657</v>
      </c>
      <c r="D15064" t="inlineStr">
        <is>
          <t>VÄSTERNORRLANDS LÄN</t>
        </is>
      </c>
      <c r="E15064" t="inlineStr">
        <is>
          <t>ÖRNSKÖLDSVIK</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41681-2024</t>
        </is>
      </c>
      <c r="B15065" s="1" t="n">
        <v>45560</v>
      </c>
      <c r="C15065" s="1" t="n">
        <v>45657</v>
      </c>
      <c r="D15065" t="inlineStr">
        <is>
          <t>VÄSTERNORRLANDS LÄN</t>
        </is>
      </c>
      <c r="E15065" t="inlineStr">
        <is>
          <t>SUNDSVALL</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41492-2024</t>
        </is>
      </c>
      <c r="B15066" s="1" t="n">
        <v>45560</v>
      </c>
      <c r="C15066" s="1" t="n">
        <v>45657</v>
      </c>
      <c r="D15066" t="inlineStr">
        <is>
          <t>VÄSTERNORRLANDS LÄN</t>
        </is>
      </c>
      <c r="E15066" t="inlineStr">
        <is>
          <t>ÖRNSKÖLDSVIK</t>
        </is>
      </c>
      <c r="F15066" t="inlineStr">
        <is>
          <t>Holmen skog AB</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41594-2024</t>
        </is>
      </c>
      <c r="B15067" s="1" t="n">
        <v>45560</v>
      </c>
      <c r="C15067" s="1" t="n">
        <v>45657</v>
      </c>
      <c r="D15067" t="inlineStr">
        <is>
          <t>VÄSTERNORRLANDS LÄN</t>
        </is>
      </c>
      <c r="E15067" t="inlineStr">
        <is>
          <t>ÖRNSKÖLDSVIK</t>
        </is>
      </c>
      <c r="F15067" t="inlineStr">
        <is>
          <t>SCA</t>
        </is>
      </c>
      <c r="G15067" t="n">
        <v>19.8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41586-2024</t>
        </is>
      </c>
      <c r="B15068" s="1" t="n">
        <v>45560</v>
      </c>
      <c r="C15068" s="1" t="n">
        <v>45657</v>
      </c>
      <c r="D15068" t="inlineStr">
        <is>
          <t>VÄSTERNORRLANDS LÄN</t>
        </is>
      </c>
      <c r="E15068" t="inlineStr">
        <is>
          <t>ÅNGE</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41600-2024</t>
        </is>
      </c>
      <c r="B15069" s="1" t="n">
        <v>45560</v>
      </c>
      <c r="C15069" s="1" t="n">
        <v>45657</v>
      </c>
      <c r="D15069" t="inlineStr">
        <is>
          <t>VÄSTERNORRLANDS LÄN</t>
        </is>
      </c>
      <c r="E15069" t="inlineStr">
        <is>
          <t>ÖRNSKÖLDSVIK</t>
        </is>
      </c>
      <c r="F15069" t="inlineStr">
        <is>
          <t>Holmen skog AB</t>
        </is>
      </c>
      <c r="G15069" t="n">
        <v>7.3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41520-2024</t>
        </is>
      </c>
      <c r="B15070" s="1" t="n">
        <v>45560</v>
      </c>
      <c r="C15070" s="1" t="n">
        <v>45657</v>
      </c>
      <c r="D15070" t="inlineStr">
        <is>
          <t>VÄSTERNORRLANDS LÄN</t>
        </is>
      </c>
      <c r="E15070" t="inlineStr">
        <is>
          <t>ÖRNSKÖLDSVIK</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41596-2024</t>
        </is>
      </c>
      <c r="B15071" s="1" t="n">
        <v>45560</v>
      </c>
      <c r="C15071" s="1" t="n">
        <v>45657</v>
      </c>
      <c r="D15071" t="inlineStr">
        <is>
          <t>VÄSTERNORRLANDS LÄN</t>
        </is>
      </c>
      <c r="E15071" t="inlineStr">
        <is>
          <t>TIMRÅ</t>
        </is>
      </c>
      <c r="F15071" t="inlineStr">
        <is>
          <t>SCA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41580-2024</t>
        </is>
      </c>
      <c r="B15072" s="1" t="n">
        <v>45560</v>
      </c>
      <c r="C15072" s="1" t="n">
        <v>45657</v>
      </c>
      <c r="D15072" t="inlineStr">
        <is>
          <t>VÄSTERNORRLANDS LÄN</t>
        </is>
      </c>
      <c r="E15072" t="inlineStr">
        <is>
          <t>ÖRNSKÖLDSVIK</t>
        </is>
      </c>
      <c r="F15072" t="inlineStr">
        <is>
          <t>Holmen skog AB</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41532-2024</t>
        </is>
      </c>
      <c r="B15073" s="1" t="n">
        <v>45560</v>
      </c>
      <c r="C15073" s="1" t="n">
        <v>45657</v>
      </c>
      <c r="D15073" t="inlineStr">
        <is>
          <t>VÄSTERNORRLANDS LÄN</t>
        </is>
      </c>
      <c r="E15073" t="inlineStr">
        <is>
          <t>SOLLEFTEÅ</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41564-2024</t>
        </is>
      </c>
      <c r="B15074" s="1" t="n">
        <v>45560</v>
      </c>
      <c r="C15074" s="1" t="n">
        <v>45657</v>
      </c>
      <c r="D15074" t="inlineStr">
        <is>
          <t>VÄSTERNORRLANDS LÄN</t>
        </is>
      </c>
      <c r="E15074" t="inlineStr">
        <is>
          <t>ÅNGE</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41560-2024</t>
        </is>
      </c>
      <c r="B15075" s="1" t="n">
        <v>45560</v>
      </c>
      <c r="C15075" s="1" t="n">
        <v>45657</v>
      </c>
      <c r="D15075" t="inlineStr">
        <is>
          <t>VÄSTERNORRLANDS LÄN</t>
        </is>
      </c>
      <c r="E15075" t="inlineStr">
        <is>
          <t>ÖRNSKÖLDSVIK</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41589-2024</t>
        </is>
      </c>
      <c r="B15076" s="1" t="n">
        <v>45560</v>
      </c>
      <c r="C15076" s="1" t="n">
        <v>45657</v>
      </c>
      <c r="D15076" t="inlineStr">
        <is>
          <t>VÄSTERNORRLANDS LÄN</t>
        </is>
      </c>
      <c r="E15076" t="inlineStr">
        <is>
          <t>ÖRNSKÖLDSVIK</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41593-2024</t>
        </is>
      </c>
      <c r="B15077" s="1" t="n">
        <v>45560</v>
      </c>
      <c r="C15077" s="1" t="n">
        <v>45657</v>
      </c>
      <c r="D15077" t="inlineStr">
        <is>
          <t>VÄSTERNORRLANDS LÄN</t>
        </is>
      </c>
      <c r="E15077" t="inlineStr">
        <is>
          <t>HÄRNÖSAND</t>
        </is>
      </c>
      <c r="F15077" t="inlineStr">
        <is>
          <t>SCA</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41507-2024</t>
        </is>
      </c>
      <c r="B15078" s="1" t="n">
        <v>45560</v>
      </c>
      <c r="C15078" s="1" t="n">
        <v>45657</v>
      </c>
      <c r="D15078" t="inlineStr">
        <is>
          <t>VÄSTERNORRLANDS LÄN</t>
        </is>
      </c>
      <c r="E15078" t="inlineStr">
        <is>
          <t>ÅNGE</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41434-2024</t>
        </is>
      </c>
      <c r="B15079" s="1" t="n">
        <v>45560</v>
      </c>
      <c r="C15079" s="1" t="n">
        <v>45657</v>
      </c>
      <c r="D15079" t="inlineStr">
        <is>
          <t>VÄSTERNORRLANDS LÄN</t>
        </is>
      </c>
      <c r="E15079" t="inlineStr">
        <is>
          <t>SOLLEFTEÅ</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41420-2024</t>
        </is>
      </c>
      <c r="B15080" s="1" t="n">
        <v>45560</v>
      </c>
      <c r="C15080" s="1" t="n">
        <v>45657</v>
      </c>
      <c r="D15080" t="inlineStr">
        <is>
          <t>VÄSTERNORRLANDS LÄN</t>
        </is>
      </c>
      <c r="E15080" t="inlineStr">
        <is>
          <t>SOLLEFTEÅ</t>
        </is>
      </c>
      <c r="F15080" t="inlineStr">
        <is>
          <t>SCA</t>
        </is>
      </c>
      <c r="G15080" t="n">
        <v>6.1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41413-2024</t>
        </is>
      </c>
      <c r="B15081" s="1" t="n">
        <v>45560</v>
      </c>
      <c r="C15081" s="1" t="n">
        <v>45657</v>
      </c>
      <c r="D15081" t="inlineStr">
        <is>
          <t>VÄSTERNORRLANDS LÄN</t>
        </is>
      </c>
      <c r="E15081" t="inlineStr">
        <is>
          <t>SOLLEFTEÅ</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41617-2024</t>
        </is>
      </c>
      <c r="B15082" s="1" t="n">
        <v>45560</v>
      </c>
      <c r="C15082" s="1" t="n">
        <v>45657</v>
      </c>
      <c r="D15082" t="inlineStr">
        <is>
          <t>VÄSTERNORRLANDS LÄN</t>
        </is>
      </c>
      <c r="E15082" t="inlineStr">
        <is>
          <t>ÖRNSKÖLDSVIK</t>
        </is>
      </c>
      <c r="F15082" t="inlineStr">
        <is>
          <t>Holmen skog AB</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41575-2024</t>
        </is>
      </c>
      <c r="B15083" s="1" t="n">
        <v>45560</v>
      </c>
      <c r="C15083" s="1" t="n">
        <v>45657</v>
      </c>
      <c r="D15083" t="inlineStr">
        <is>
          <t>VÄSTERNORRLANDS LÄN</t>
        </is>
      </c>
      <c r="E15083" t="inlineStr">
        <is>
          <t>ÅNGE</t>
        </is>
      </c>
      <c r="F15083" t="inlineStr">
        <is>
          <t>Holmen skog AB</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41595-2024</t>
        </is>
      </c>
      <c r="B15084" s="1" t="n">
        <v>45560</v>
      </c>
      <c r="C15084" s="1" t="n">
        <v>45657</v>
      </c>
      <c r="D15084" t="inlineStr">
        <is>
          <t>VÄSTERNORRLANDS LÄN</t>
        </is>
      </c>
      <c r="E15084" t="inlineStr">
        <is>
          <t>SOLLEFTEÅ</t>
        </is>
      </c>
      <c r="F15084" t="inlineStr">
        <is>
          <t>SCA</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41619-2024</t>
        </is>
      </c>
      <c r="B15085" s="1" t="n">
        <v>45560</v>
      </c>
      <c r="C15085" s="1" t="n">
        <v>45657</v>
      </c>
      <c r="D15085" t="inlineStr">
        <is>
          <t>VÄSTERNORRLANDS LÄN</t>
        </is>
      </c>
      <c r="E15085" t="inlineStr">
        <is>
          <t>ÖRNSKÖLDSVIK</t>
        </is>
      </c>
      <c r="F15085" t="inlineStr">
        <is>
          <t>Holmen skog AB</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41655-2024</t>
        </is>
      </c>
      <c r="B15086" s="1" t="n">
        <v>45560</v>
      </c>
      <c r="C15086" s="1" t="n">
        <v>45657</v>
      </c>
      <c r="D15086" t="inlineStr">
        <is>
          <t>VÄSTERNORRLANDS LÄN</t>
        </is>
      </c>
      <c r="E15086" t="inlineStr">
        <is>
          <t>SUNDSVALL</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41741-2024</t>
        </is>
      </c>
      <c r="B15087" s="1" t="n">
        <v>45561</v>
      </c>
      <c r="C15087" s="1" t="n">
        <v>45657</v>
      </c>
      <c r="D15087" t="inlineStr">
        <is>
          <t>VÄSTERNORRLANDS LÄN</t>
        </is>
      </c>
      <c r="E15087" t="inlineStr">
        <is>
          <t>SUNDSVALL</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41753-2024</t>
        </is>
      </c>
      <c r="B15088" s="1" t="n">
        <v>45561</v>
      </c>
      <c r="C15088" s="1" t="n">
        <v>45657</v>
      </c>
      <c r="D15088" t="inlineStr">
        <is>
          <t>VÄSTERNORRLANDS LÄN</t>
        </is>
      </c>
      <c r="E15088" t="inlineStr">
        <is>
          <t>SUNDSVALL</t>
        </is>
      </c>
      <c r="F15088" t="inlineStr">
        <is>
          <t>SCA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41765-2024</t>
        </is>
      </c>
      <c r="B15089" s="1" t="n">
        <v>45561</v>
      </c>
      <c r="C15089" s="1" t="n">
        <v>45657</v>
      </c>
      <c r="D15089" t="inlineStr">
        <is>
          <t>VÄSTERNORRLANDS LÄN</t>
        </is>
      </c>
      <c r="E15089" t="inlineStr">
        <is>
          <t>SUNDSVALL</t>
        </is>
      </c>
      <c r="F15089" t="inlineStr">
        <is>
          <t>SCA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41781-2024</t>
        </is>
      </c>
      <c r="B15090" s="1" t="n">
        <v>45561</v>
      </c>
      <c r="C15090" s="1" t="n">
        <v>45657</v>
      </c>
      <c r="D15090" t="inlineStr">
        <is>
          <t>VÄSTERNORRLANDS LÄN</t>
        </is>
      </c>
      <c r="E15090" t="inlineStr">
        <is>
          <t>ÅNGE</t>
        </is>
      </c>
      <c r="F15090" t="inlineStr">
        <is>
          <t>SCA</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41818-2024</t>
        </is>
      </c>
      <c r="B15091" s="1" t="n">
        <v>45561</v>
      </c>
      <c r="C15091" s="1" t="n">
        <v>45657</v>
      </c>
      <c r="D15091" t="inlineStr">
        <is>
          <t>VÄSTERNORRLANDS LÄN</t>
        </is>
      </c>
      <c r="E15091" t="inlineStr">
        <is>
          <t>KRAMFORS</t>
        </is>
      </c>
      <c r="G15091" t="n">
        <v>6.7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41758-2024</t>
        </is>
      </c>
      <c r="B15092" s="1" t="n">
        <v>45561</v>
      </c>
      <c r="C15092" s="1" t="n">
        <v>45657</v>
      </c>
      <c r="D15092" t="inlineStr">
        <is>
          <t>VÄSTERNORRLANDS LÄN</t>
        </is>
      </c>
      <c r="E15092" t="inlineStr">
        <is>
          <t>ÅNGE</t>
        </is>
      </c>
      <c r="F15092" t="inlineStr">
        <is>
          <t>SCA</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41766-2024</t>
        </is>
      </c>
      <c r="B15093" s="1" t="n">
        <v>45561</v>
      </c>
      <c r="C15093" s="1" t="n">
        <v>45657</v>
      </c>
      <c r="D15093" t="inlineStr">
        <is>
          <t>VÄSTERNORRLANDS LÄN</t>
        </is>
      </c>
      <c r="E15093" t="inlineStr">
        <is>
          <t>ÅNGE</t>
        </is>
      </c>
      <c r="F15093" t="inlineStr">
        <is>
          <t>SCA</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41787-2024</t>
        </is>
      </c>
      <c r="B15094" s="1" t="n">
        <v>45561</v>
      </c>
      <c r="C15094" s="1" t="n">
        <v>45657</v>
      </c>
      <c r="D15094" t="inlineStr">
        <is>
          <t>VÄSTERNORRLANDS LÄN</t>
        </is>
      </c>
      <c r="E15094" t="inlineStr">
        <is>
          <t>SOLLEFTEÅ</t>
        </is>
      </c>
      <c r="F15094" t="inlineStr">
        <is>
          <t>SCA</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41807-2024</t>
        </is>
      </c>
      <c r="B15095" s="1" t="n">
        <v>45561</v>
      </c>
      <c r="C15095" s="1" t="n">
        <v>45657</v>
      </c>
      <c r="D15095" t="inlineStr">
        <is>
          <t>VÄSTERNORRLANDS LÄN</t>
        </is>
      </c>
      <c r="E15095" t="inlineStr">
        <is>
          <t>HÄRNÖSAND</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41904-2024</t>
        </is>
      </c>
      <c r="B15096" s="1" t="n">
        <v>45561</v>
      </c>
      <c r="C15096" s="1" t="n">
        <v>45657</v>
      </c>
      <c r="D15096" t="inlineStr">
        <is>
          <t>VÄSTERNORRLANDS LÄN</t>
        </is>
      </c>
      <c r="E15096" t="inlineStr">
        <is>
          <t>SOLLEFTEÅ</t>
        </is>
      </c>
      <c r="F15096" t="inlineStr">
        <is>
          <t>SCA</t>
        </is>
      </c>
      <c r="G15096" t="n">
        <v>6.7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41925-2024</t>
        </is>
      </c>
      <c r="B15097" s="1" t="n">
        <v>45561</v>
      </c>
      <c r="C15097" s="1" t="n">
        <v>45657</v>
      </c>
      <c r="D15097" t="inlineStr">
        <is>
          <t>VÄSTERNORRLANDS LÄN</t>
        </is>
      </c>
      <c r="E15097" t="inlineStr">
        <is>
          <t>SOLLEFTEÅ</t>
        </is>
      </c>
      <c r="G15097" t="n">
        <v>6.6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41962-2024</t>
        </is>
      </c>
      <c r="B15098" s="1" t="n">
        <v>45561</v>
      </c>
      <c r="C15098" s="1" t="n">
        <v>45657</v>
      </c>
      <c r="D15098" t="inlineStr">
        <is>
          <t>VÄSTERNORRLANDS LÄN</t>
        </is>
      </c>
      <c r="E15098" t="inlineStr">
        <is>
          <t>HÄRNÖSAND</t>
        </is>
      </c>
      <c r="F15098" t="inlineStr">
        <is>
          <t>SCA</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41779-2024</t>
        </is>
      </c>
      <c r="B15099" s="1" t="n">
        <v>45561</v>
      </c>
      <c r="C15099" s="1" t="n">
        <v>45657</v>
      </c>
      <c r="D15099" t="inlineStr">
        <is>
          <t>VÄSTERNORRLANDS LÄN</t>
        </is>
      </c>
      <c r="E15099" t="inlineStr">
        <is>
          <t>SOLLEFTEÅ</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42046-2024</t>
        </is>
      </c>
      <c r="B15100" s="1" t="n">
        <v>45561</v>
      </c>
      <c r="C15100" s="1" t="n">
        <v>45657</v>
      </c>
      <c r="D15100" t="inlineStr">
        <is>
          <t>VÄSTERNORRLANDS LÄN</t>
        </is>
      </c>
      <c r="E15100" t="inlineStr">
        <is>
          <t>ÅNGE</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41975-2024</t>
        </is>
      </c>
      <c r="B15101" s="1" t="n">
        <v>45561</v>
      </c>
      <c r="C15101" s="1" t="n">
        <v>45657</v>
      </c>
      <c r="D15101" t="inlineStr">
        <is>
          <t>VÄSTERNORRLANDS LÄN</t>
        </is>
      </c>
      <c r="E15101" t="inlineStr">
        <is>
          <t>SOLLEFTEÅ</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42043-2024</t>
        </is>
      </c>
      <c r="B15102" s="1" t="n">
        <v>45561</v>
      </c>
      <c r="C15102" s="1" t="n">
        <v>45657</v>
      </c>
      <c r="D15102" t="inlineStr">
        <is>
          <t>VÄSTERNORRLANDS LÄN</t>
        </is>
      </c>
      <c r="E15102" t="inlineStr">
        <is>
          <t>ÅNGE</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41764-2024</t>
        </is>
      </c>
      <c r="B15103" s="1" t="n">
        <v>45561</v>
      </c>
      <c r="C15103" s="1" t="n">
        <v>45657</v>
      </c>
      <c r="D15103" t="inlineStr">
        <is>
          <t>VÄSTERNORRLANDS LÄN</t>
        </is>
      </c>
      <c r="E15103" t="inlineStr">
        <is>
          <t>ÅNGE</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41813-2024</t>
        </is>
      </c>
      <c r="B15104" s="1" t="n">
        <v>45561</v>
      </c>
      <c r="C15104" s="1" t="n">
        <v>45657</v>
      </c>
      <c r="D15104" t="inlineStr">
        <is>
          <t>VÄSTERNORRLANDS LÄN</t>
        </is>
      </c>
      <c r="E15104" t="inlineStr">
        <is>
          <t>KRAMFORS</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41834-2024</t>
        </is>
      </c>
      <c r="B15105" s="1" t="n">
        <v>45561</v>
      </c>
      <c r="C15105" s="1" t="n">
        <v>45657</v>
      </c>
      <c r="D15105" t="inlineStr">
        <is>
          <t>VÄSTERNORRLANDS LÄN</t>
        </is>
      </c>
      <c r="E15105" t="inlineStr">
        <is>
          <t>SOLLEFTEÅ</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42004-2024</t>
        </is>
      </c>
      <c r="B15106" s="1" t="n">
        <v>45561</v>
      </c>
      <c r="C15106" s="1" t="n">
        <v>45657</v>
      </c>
      <c r="D15106" t="inlineStr">
        <is>
          <t>VÄSTERNORRLANDS LÄN</t>
        </is>
      </c>
      <c r="E15106" t="inlineStr">
        <is>
          <t>ÅNGE</t>
        </is>
      </c>
      <c r="F15106" t="inlineStr">
        <is>
          <t>SCA</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42016-2024</t>
        </is>
      </c>
      <c r="B15107" s="1" t="n">
        <v>45561</v>
      </c>
      <c r="C15107" s="1" t="n">
        <v>45657</v>
      </c>
      <c r="D15107" t="inlineStr">
        <is>
          <t>VÄSTERNORRLANDS LÄN</t>
        </is>
      </c>
      <c r="E15107" t="inlineStr">
        <is>
          <t>KRAMFORS</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42040-2024</t>
        </is>
      </c>
      <c r="B15108" s="1" t="n">
        <v>45561</v>
      </c>
      <c r="C15108" s="1" t="n">
        <v>45657</v>
      </c>
      <c r="D15108" t="inlineStr">
        <is>
          <t>VÄSTERNORRLANDS LÄN</t>
        </is>
      </c>
      <c r="E15108" t="inlineStr">
        <is>
          <t>ÅNGE</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42044-2024</t>
        </is>
      </c>
      <c r="B15109" s="1" t="n">
        <v>45561</v>
      </c>
      <c r="C15109" s="1" t="n">
        <v>45657</v>
      </c>
      <c r="D15109" t="inlineStr">
        <is>
          <t>VÄSTERNORRLANDS LÄN</t>
        </is>
      </c>
      <c r="E15109" t="inlineStr">
        <is>
          <t>ÅNGE</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42112-2024</t>
        </is>
      </c>
      <c r="B15110" s="1" t="n">
        <v>45562</v>
      </c>
      <c r="C15110" s="1" t="n">
        <v>45657</v>
      </c>
      <c r="D15110" t="inlineStr">
        <is>
          <t>VÄSTERNORRLANDS LÄN</t>
        </is>
      </c>
      <c r="E15110" t="inlineStr">
        <is>
          <t>TIMRÅ</t>
        </is>
      </c>
      <c r="F15110" t="inlineStr">
        <is>
          <t>SCA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42197-2024</t>
        </is>
      </c>
      <c r="B15111" s="1" t="n">
        <v>45562</v>
      </c>
      <c r="C15111" s="1" t="n">
        <v>45657</v>
      </c>
      <c r="D15111" t="inlineStr">
        <is>
          <t>VÄSTERNORRLANDS LÄN</t>
        </is>
      </c>
      <c r="E15111" t="inlineStr">
        <is>
          <t>HÄRNÖSAND</t>
        </is>
      </c>
      <c r="F15111" t="inlineStr">
        <is>
          <t>SCA</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42075-2024</t>
        </is>
      </c>
      <c r="B15112" s="1" t="n">
        <v>45562</v>
      </c>
      <c r="C15112" s="1" t="n">
        <v>45657</v>
      </c>
      <c r="D15112" t="inlineStr">
        <is>
          <t>VÄSTERNORRLANDS LÄN</t>
        </is>
      </c>
      <c r="E15112" t="inlineStr">
        <is>
          <t>ÖRNSKÖLDSVIK</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42237-2024</t>
        </is>
      </c>
      <c r="B15113" s="1" t="n">
        <v>45562</v>
      </c>
      <c r="C15113" s="1" t="n">
        <v>45657</v>
      </c>
      <c r="D15113" t="inlineStr">
        <is>
          <t>VÄSTERNORRLANDS LÄN</t>
        </is>
      </c>
      <c r="E15113" t="inlineStr">
        <is>
          <t>HÄRNÖSAND</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42093-2024</t>
        </is>
      </c>
      <c r="B15114" s="1" t="n">
        <v>45562</v>
      </c>
      <c r="C15114" s="1" t="n">
        <v>45657</v>
      </c>
      <c r="D15114" t="inlineStr">
        <is>
          <t>VÄSTERNORRLANDS LÄN</t>
        </is>
      </c>
      <c r="E15114" t="inlineStr">
        <is>
          <t>SOLLEFTEÅ</t>
        </is>
      </c>
      <c r="F15114" t="inlineStr">
        <is>
          <t>SCA</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42113-2024</t>
        </is>
      </c>
      <c r="B15115" s="1" t="n">
        <v>45562</v>
      </c>
      <c r="C15115" s="1" t="n">
        <v>45657</v>
      </c>
      <c r="D15115" t="inlineStr">
        <is>
          <t>VÄSTERNORRLANDS LÄN</t>
        </is>
      </c>
      <c r="E15115" t="inlineStr">
        <is>
          <t>KRAMFORS</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42198-2024</t>
        </is>
      </c>
      <c r="B15116" s="1" t="n">
        <v>45562</v>
      </c>
      <c r="C15116" s="1" t="n">
        <v>45657</v>
      </c>
      <c r="D15116" t="inlineStr">
        <is>
          <t>VÄSTERNORRLANDS LÄN</t>
        </is>
      </c>
      <c r="E15116" t="inlineStr">
        <is>
          <t>HÄRNÖSAND</t>
        </is>
      </c>
      <c r="F15116" t="inlineStr">
        <is>
          <t>SCA</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42214-2024</t>
        </is>
      </c>
      <c r="B15117" s="1" t="n">
        <v>45562</v>
      </c>
      <c r="C15117" s="1" t="n">
        <v>45657</v>
      </c>
      <c r="D15117" t="inlineStr">
        <is>
          <t>VÄSTERNORRLANDS LÄN</t>
        </is>
      </c>
      <c r="E15117" t="inlineStr">
        <is>
          <t>HÄRNÖSAND</t>
        </is>
      </c>
      <c r="G15117" t="n">
        <v>4.3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42343-2024</t>
        </is>
      </c>
      <c r="B15118" s="1" t="n">
        <v>45562</v>
      </c>
      <c r="C15118" s="1" t="n">
        <v>45657</v>
      </c>
      <c r="D15118" t="inlineStr">
        <is>
          <t>VÄSTERNORRLANDS LÄN</t>
        </is>
      </c>
      <c r="E15118" t="inlineStr">
        <is>
          <t>HÄRNÖSAND</t>
        </is>
      </c>
      <c r="G15118" t="n">
        <v>15.6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42090-2024</t>
        </is>
      </c>
      <c r="B15119" s="1" t="n">
        <v>45562</v>
      </c>
      <c r="C15119" s="1" t="n">
        <v>45657</v>
      </c>
      <c r="D15119" t="inlineStr">
        <is>
          <t>VÄSTERNORRLANDS LÄN</t>
        </is>
      </c>
      <c r="E15119" t="inlineStr">
        <is>
          <t>ÅNGE</t>
        </is>
      </c>
      <c r="F15119" t="inlineStr">
        <is>
          <t>SCA</t>
        </is>
      </c>
      <c r="G15119" t="n">
        <v>20.2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42094-2024</t>
        </is>
      </c>
      <c r="B15120" s="1" t="n">
        <v>45562</v>
      </c>
      <c r="C15120" s="1" t="n">
        <v>45657</v>
      </c>
      <c r="D15120" t="inlineStr">
        <is>
          <t>VÄSTERNORRLANDS LÄN</t>
        </is>
      </c>
      <c r="E15120" t="inlineStr">
        <is>
          <t>TIMRÅ</t>
        </is>
      </c>
      <c r="F15120" t="inlineStr">
        <is>
          <t>SCA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42098-2024</t>
        </is>
      </c>
      <c r="B15121" s="1" t="n">
        <v>45562</v>
      </c>
      <c r="C15121" s="1" t="n">
        <v>45657</v>
      </c>
      <c r="D15121" t="inlineStr">
        <is>
          <t>VÄSTERNORRLANDS LÄN</t>
        </is>
      </c>
      <c r="E15121" t="inlineStr">
        <is>
          <t>ÅNGE</t>
        </is>
      </c>
      <c r="F15121" t="inlineStr">
        <is>
          <t>SCA</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42114-2024</t>
        </is>
      </c>
      <c r="B15122" s="1" t="n">
        <v>45562</v>
      </c>
      <c r="C15122" s="1" t="n">
        <v>45657</v>
      </c>
      <c r="D15122" t="inlineStr">
        <is>
          <t>VÄSTERNORRLANDS LÄN</t>
        </is>
      </c>
      <c r="E15122" t="inlineStr">
        <is>
          <t>SUNDSVALL</t>
        </is>
      </c>
      <c r="G15122" t="n">
        <v>0.3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42118-2024</t>
        </is>
      </c>
      <c r="B15123" s="1" t="n">
        <v>45562</v>
      </c>
      <c r="C15123" s="1" t="n">
        <v>45657</v>
      </c>
      <c r="D15123" t="inlineStr">
        <is>
          <t>VÄSTERNORRLANDS LÄN</t>
        </is>
      </c>
      <c r="E15123" t="inlineStr">
        <is>
          <t>ÖRNSKÖLDSVIK</t>
        </is>
      </c>
      <c r="F15123" t="inlineStr">
        <is>
          <t>Holmen skog AB</t>
        </is>
      </c>
      <c r="G15123" t="n">
        <v>9.4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42154-2024</t>
        </is>
      </c>
      <c r="B15124" s="1" t="n">
        <v>45562</v>
      </c>
      <c r="C15124" s="1" t="n">
        <v>45657</v>
      </c>
      <c r="D15124" t="inlineStr">
        <is>
          <t>VÄSTERNORRLANDS LÄN</t>
        </is>
      </c>
      <c r="E15124" t="inlineStr">
        <is>
          <t>SOLLEFTEÅ</t>
        </is>
      </c>
      <c r="G15124" t="n">
        <v>5.6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42251-2024</t>
        </is>
      </c>
      <c r="B15125" s="1" t="n">
        <v>45562</v>
      </c>
      <c r="C15125" s="1" t="n">
        <v>45657</v>
      </c>
      <c r="D15125" t="inlineStr">
        <is>
          <t>VÄSTERNORRLANDS LÄN</t>
        </is>
      </c>
      <c r="E15125" t="inlineStr">
        <is>
          <t>ÖRNSKÖLDSVIK</t>
        </is>
      </c>
      <c r="F15125" t="inlineStr">
        <is>
          <t>Holmen skog AB</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42321-2024</t>
        </is>
      </c>
      <c r="B15126" s="1" t="n">
        <v>45562</v>
      </c>
      <c r="C15126" s="1" t="n">
        <v>45657</v>
      </c>
      <c r="D15126" t="inlineStr">
        <is>
          <t>VÄSTERNORRLANDS LÄN</t>
        </is>
      </c>
      <c r="E15126" t="inlineStr">
        <is>
          <t>ÖRNSKÖLDSVIK</t>
        </is>
      </c>
      <c r="F15126" t="inlineStr">
        <is>
          <t>Holmen skog AB</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42115-2024</t>
        </is>
      </c>
      <c r="B15127" s="1" t="n">
        <v>45562</v>
      </c>
      <c r="C15127" s="1" t="n">
        <v>45657</v>
      </c>
      <c r="D15127" t="inlineStr">
        <is>
          <t>VÄSTERNORRLANDS LÄN</t>
        </is>
      </c>
      <c r="E15127" t="inlineStr">
        <is>
          <t>SOLLEFTEÅ</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42139-2024</t>
        </is>
      </c>
      <c r="B15128" s="1" t="n">
        <v>45562</v>
      </c>
      <c r="C15128" s="1" t="n">
        <v>45657</v>
      </c>
      <c r="D15128" t="inlineStr">
        <is>
          <t>VÄSTERNORRLANDS LÄN</t>
        </is>
      </c>
      <c r="E15128" t="inlineStr">
        <is>
          <t>ÖRNSKÖLDSVIK</t>
        </is>
      </c>
      <c r="F15128" t="inlineStr">
        <is>
          <t>Holmen skog AB</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42318-2024</t>
        </is>
      </c>
      <c r="B15129" s="1" t="n">
        <v>45562</v>
      </c>
      <c r="C15129" s="1" t="n">
        <v>45657</v>
      </c>
      <c r="D15129" t="inlineStr">
        <is>
          <t>VÄSTERNORRLANDS LÄN</t>
        </is>
      </c>
      <c r="E15129" t="inlineStr">
        <is>
          <t>ÖRNSKÖLDSVIK</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42330-2024</t>
        </is>
      </c>
      <c r="B15130" s="1" t="n">
        <v>45562</v>
      </c>
      <c r="C15130" s="1" t="n">
        <v>45657</v>
      </c>
      <c r="D15130" t="inlineStr">
        <is>
          <t>VÄSTERNORRLANDS LÄN</t>
        </is>
      </c>
      <c r="E15130" t="inlineStr">
        <is>
          <t>ÖRNSKÖLDSVIK</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42338-2024</t>
        </is>
      </c>
      <c r="B15131" s="1" t="n">
        <v>45562</v>
      </c>
      <c r="C15131" s="1" t="n">
        <v>45657</v>
      </c>
      <c r="D15131" t="inlineStr">
        <is>
          <t>VÄSTERNORRLANDS LÄN</t>
        </is>
      </c>
      <c r="E15131" t="inlineStr">
        <is>
          <t>ÖRNSKÖLDSVIK</t>
        </is>
      </c>
      <c r="F15131" t="inlineStr">
        <is>
          <t>Holmen skog AB</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42357-2024</t>
        </is>
      </c>
      <c r="B15132" s="1" t="n">
        <v>45562</v>
      </c>
      <c r="C15132" s="1" t="n">
        <v>45657</v>
      </c>
      <c r="D15132" t="inlineStr">
        <is>
          <t>VÄSTERNORRLANDS LÄN</t>
        </is>
      </c>
      <c r="E15132" t="inlineStr">
        <is>
          <t>ÖRNSKÖLDSVIK</t>
        </is>
      </c>
      <c r="F15132" t="inlineStr">
        <is>
          <t>Holmen skog AB</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42419-2024</t>
        </is>
      </c>
      <c r="B15133" s="1" t="n">
        <v>45563</v>
      </c>
      <c r="C15133" s="1" t="n">
        <v>45657</v>
      </c>
      <c r="D15133" t="inlineStr">
        <is>
          <t>VÄSTERNORRLANDS LÄN</t>
        </is>
      </c>
      <c r="E15133" t="inlineStr">
        <is>
          <t>ÖRNSKÖLDSVIK</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42512-2024</t>
        </is>
      </c>
      <c r="B15134" s="1" t="n">
        <v>45565</v>
      </c>
      <c r="C15134" s="1" t="n">
        <v>45657</v>
      </c>
      <c r="D15134" t="inlineStr">
        <is>
          <t>VÄSTERNORRLANDS LÄN</t>
        </is>
      </c>
      <c r="E15134" t="inlineStr">
        <is>
          <t>ÖRNSKÖLDSVIK</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42525-2024</t>
        </is>
      </c>
      <c r="B15135" s="1" t="n">
        <v>45565</v>
      </c>
      <c r="C15135" s="1" t="n">
        <v>45657</v>
      </c>
      <c r="D15135" t="inlineStr">
        <is>
          <t>VÄSTERNORRLANDS LÄN</t>
        </is>
      </c>
      <c r="E15135" t="inlineStr">
        <is>
          <t>SUNDSVALL</t>
        </is>
      </c>
      <c r="G15135" t="n">
        <v>19.6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42529-2024</t>
        </is>
      </c>
      <c r="B15136" s="1" t="n">
        <v>45565</v>
      </c>
      <c r="C15136" s="1" t="n">
        <v>45657</v>
      </c>
      <c r="D15136" t="inlineStr">
        <is>
          <t>VÄSTERNORRLANDS LÄN</t>
        </is>
      </c>
      <c r="E15136" t="inlineStr">
        <is>
          <t>ÅNGE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42461-2024</t>
        </is>
      </c>
      <c r="B15137" s="1" t="n">
        <v>45565</v>
      </c>
      <c r="C15137" s="1" t="n">
        <v>45657</v>
      </c>
      <c r="D15137" t="inlineStr">
        <is>
          <t>VÄSTERNORRLANDS LÄN</t>
        </is>
      </c>
      <c r="E15137" t="inlineStr">
        <is>
          <t>ÖRNSKÖLDSVIK</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42584-2024</t>
        </is>
      </c>
      <c r="B15138" s="1" t="n">
        <v>45565</v>
      </c>
      <c r="C15138" s="1" t="n">
        <v>45657</v>
      </c>
      <c r="D15138" t="inlineStr">
        <is>
          <t>VÄSTERNORRLANDS LÄN</t>
        </is>
      </c>
      <c r="E15138" t="inlineStr">
        <is>
          <t>ÖRNSKÖLDSVIK</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42546-2024</t>
        </is>
      </c>
      <c r="B15139" s="1" t="n">
        <v>45565</v>
      </c>
      <c r="C15139" s="1" t="n">
        <v>45657</v>
      </c>
      <c r="D15139" t="inlineStr">
        <is>
          <t>VÄSTERNORRLANDS LÄN</t>
        </is>
      </c>
      <c r="E15139" t="inlineStr">
        <is>
          <t>HÄRNÖSAND</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42451-2024</t>
        </is>
      </c>
      <c r="B15140" s="1" t="n">
        <v>45565</v>
      </c>
      <c r="C15140" s="1" t="n">
        <v>45657</v>
      </c>
      <c r="D15140" t="inlineStr">
        <is>
          <t>VÄSTERNORRLANDS LÄN</t>
        </is>
      </c>
      <c r="E15140" t="inlineStr">
        <is>
          <t>ÖRNSKÖLDSVIK</t>
        </is>
      </c>
      <c r="F15140" t="inlineStr">
        <is>
          <t>Holmen skog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42582-2024</t>
        </is>
      </c>
      <c r="B15141" s="1" t="n">
        <v>45565</v>
      </c>
      <c r="C15141" s="1" t="n">
        <v>45657</v>
      </c>
      <c r="D15141" t="inlineStr">
        <is>
          <t>VÄSTERNORRLANDS LÄN</t>
        </is>
      </c>
      <c r="E15141" t="inlineStr">
        <is>
          <t>ÖRNSKÖLDSVIK</t>
        </is>
      </c>
      <c r="G15141" t="n">
        <v>12.9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42578-2024</t>
        </is>
      </c>
      <c r="B15142" s="1" t="n">
        <v>45565</v>
      </c>
      <c r="C15142" s="1" t="n">
        <v>45657</v>
      </c>
      <c r="D15142" t="inlineStr">
        <is>
          <t>VÄSTERNORRLANDS LÄN</t>
        </is>
      </c>
      <c r="E15142" t="inlineStr">
        <is>
          <t>ÖRNSKÖLDSVIK</t>
        </is>
      </c>
      <c r="F15142" t="inlineStr">
        <is>
          <t>Holmen skog AB</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42566-2024</t>
        </is>
      </c>
      <c r="B15143" s="1" t="n">
        <v>45565</v>
      </c>
      <c r="C15143" s="1" t="n">
        <v>45657</v>
      </c>
      <c r="D15143" t="inlineStr">
        <is>
          <t>VÄSTERNORRLANDS LÄN</t>
        </is>
      </c>
      <c r="E15143" t="inlineStr">
        <is>
          <t>ÖRNSKÖLDSVIK</t>
        </is>
      </c>
      <c r="F15143" t="inlineStr">
        <is>
          <t>Holmen skog AB</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42497-2024</t>
        </is>
      </c>
      <c r="B15144" s="1" t="n">
        <v>45565</v>
      </c>
      <c r="C15144" s="1" t="n">
        <v>45657</v>
      </c>
      <c r="D15144" t="inlineStr">
        <is>
          <t>VÄSTERNORRLANDS LÄN</t>
        </is>
      </c>
      <c r="E15144" t="inlineStr">
        <is>
          <t>SUNDSVALL</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42573-2024</t>
        </is>
      </c>
      <c r="B15145" s="1" t="n">
        <v>45565</v>
      </c>
      <c r="C15145" s="1" t="n">
        <v>45657</v>
      </c>
      <c r="D15145" t="inlineStr">
        <is>
          <t>VÄSTERNORRLANDS LÄN</t>
        </is>
      </c>
      <c r="E15145" t="inlineStr">
        <is>
          <t>ÖRNSKÖLDSVIK</t>
        </is>
      </c>
      <c r="F15145" t="inlineStr">
        <is>
          <t>Holmen skog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42532-2024</t>
        </is>
      </c>
      <c r="B15146" s="1" t="n">
        <v>45565</v>
      </c>
      <c r="C15146" s="1" t="n">
        <v>45657</v>
      </c>
      <c r="D15146" t="inlineStr">
        <is>
          <t>VÄSTERNORRLANDS LÄN</t>
        </is>
      </c>
      <c r="E15146" t="inlineStr">
        <is>
          <t>ÖRNSKÖLDSVIK</t>
        </is>
      </c>
      <c r="F15146" t="inlineStr">
        <is>
          <t>Holmen skog AB</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42528-2024</t>
        </is>
      </c>
      <c r="B15147" s="1" t="n">
        <v>45565</v>
      </c>
      <c r="C15147" s="1" t="n">
        <v>45657</v>
      </c>
      <c r="D15147" t="inlineStr">
        <is>
          <t>VÄSTERNORRLANDS LÄN</t>
        </is>
      </c>
      <c r="E15147" t="inlineStr">
        <is>
          <t>ÖRNSKÖLDSVIK</t>
        </is>
      </c>
      <c r="F15147" t="inlineStr">
        <is>
          <t>Holmen skog AB</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42450-2024</t>
        </is>
      </c>
      <c r="B15148" s="1" t="n">
        <v>45565</v>
      </c>
      <c r="C15148" s="1" t="n">
        <v>45657</v>
      </c>
      <c r="D15148" t="inlineStr">
        <is>
          <t>VÄSTERNORRLANDS LÄN</t>
        </is>
      </c>
      <c r="E15148" t="inlineStr">
        <is>
          <t>ÖRNSKÖLDSVIK</t>
        </is>
      </c>
      <c r="F15148" t="inlineStr">
        <is>
          <t>Holmen skog AB</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42690-2024</t>
        </is>
      </c>
      <c r="B15149" s="1" t="n">
        <v>45565</v>
      </c>
      <c r="C15149" s="1" t="n">
        <v>45657</v>
      </c>
      <c r="D15149" t="inlineStr">
        <is>
          <t>VÄSTERNORRLANDS LÄN</t>
        </is>
      </c>
      <c r="E15149" t="inlineStr">
        <is>
          <t>HÄRNÖSAND</t>
        </is>
      </c>
      <c r="G15149" t="n">
        <v>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42441-2024</t>
        </is>
      </c>
      <c r="B15150" s="1" t="n">
        <v>45565</v>
      </c>
      <c r="C15150" s="1" t="n">
        <v>45657</v>
      </c>
      <c r="D15150" t="inlineStr">
        <is>
          <t>VÄSTERNORRLANDS LÄN</t>
        </is>
      </c>
      <c r="E15150" t="inlineStr">
        <is>
          <t>ÖRNSKÖLDSVIK</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42631-2024</t>
        </is>
      </c>
      <c r="B15151" s="1" t="n">
        <v>45565</v>
      </c>
      <c r="C15151" s="1" t="n">
        <v>45657</v>
      </c>
      <c r="D15151" t="inlineStr">
        <is>
          <t>VÄSTERNORRLANDS LÄN</t>
        </is>
      </c>
      <c r="E15151" t="inlineStr">
        <is>
          <t>SOLLEFTEÅ</t>
        </is>
      </c>
      <c r="F15151" t="inlineStr">
        <is>
          <t>Holmen skog AB</t>
        </is>
      </c>
      <c r="G15151" t="n">
        <v>6.6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42488-2024</t>
        </is>
      </c>
      <c r="B15152" s="1" t="n">
        <v>45565</v>
      </c>
      <c r="C15152" s="1" t="n">
        <v>45657</v>
      </c>
      <c r="D15152" t="inlineStr">
        <is>
          <t>VÄSTERNORRLANDS LÄN</t>
        </is>
      </c>
      <c r="E15152" t="inlineStr">
        <is>
          <t>ÅNGE</t>
        </is>
      </c>
      <c r="F15152" t="inlineStr">
        <is>
          <t>SCA</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42583-2024</t>
        </is>
      </c>
      <c r="B15153" s="1" t="n">
        <v>45565</v>
      </c>
      <c r="C15153" s="1" t="n">
        <v>45657</v>
      </c>
      <c r="D15153" t="inlineStr">
        <is>
          <t>VÄSTERNORRLANDS LÄN</t>
        </is>
      </c>
      <c r="E15153" t="inlineStr">
        <is>
          <t>ÖRNSKÖLDSVIK</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42492-2024</t>
        </is>
      </c>
      <c r="B15154" s="1" t="n">
        <v>45565</v>
      </c>
      <c r="C15154" s="1" t="n">
        <v>45657</v>
      </c>
      <c r="D15154" t="inlineStr">
        <is>
          <t>VÄSTERNORRLANDS LÄN</t>
        </is>
      </c>
      <c r="E15154" t="inlineStr">
        <is>
          <t>ÖRNSKÖLDSVIK</t>
        </is>
      </c>
      <c r="F15154" t="inlineStr">
        <is>
          <t>Holmen skog AB</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42486-2024</t>
        </is>
      </c>
      <c r="B15155" s="1" t="n">
        <v>45565</v>
      </c>
      <c r="C15155" s="1" t="n">
        <v>45657</v>
      </c>
      <c r="D15155" t="inlineStr">
        <is>
          <t>VÄSTERNORRLANDS LÄN</t>
        </is>
      </c>
      <c r="E15155" t="inlineStr">
        <is>
          <t>SOLLEFTEÅ</t>
        </is>
      </c>
      <c r="F15155" t="inlineStr">
        <is>
          <t>SCA</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42482-2024</t>
        </is>
      </c>
      <c r="B15156" s="1" t="n">
        <v>45565</v>
      </c>
      <c r="C15156" s="1" t="n">
        <v>45657</v>
      </c>
      <c r="D15156" t="inlineStr">
        <is>
          <t>VÄSTERNORRLANDS LÄN</t>
        </is>
      </c>
      <c r="E15156" t="inlineStr">
        <is>
          <t>SOLLEFTEÅ</t>
        </is>
      </c>
      <c r="F15156" t="inlineStr">
        <is>
          <t>SCA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42474-2024</t>
        </is>
      </c>
      <c r="B15157" s="1" t="n">
        <v>45565</v>
      </c>
      <c r="C15157" s="1" t="n">
        <v>45657</v>
      </c>
      <c r="D15157" t="inlineStr">
        <is>
          <t>VÄSTERNORRLANDS LÄN</t>
        </is>
      </c>
      <c r="E15157" t="inlineStr">
        <is>
          <t>SOLLEFTEÅ</t>
        </is>
      </c>
      <c r="F15157" t="inlineStr">
        <is>
          <t>SCA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42881-2024</t>
        </is>
      </c>
      <c r="B15158" s="1" t="n">
        <v>45566</v>
      </c>
      <c r="C15158" s="1" t="n">
        <v>45657</v>
      </c>
      <c r="D15158" t="inlineStr">
        <is>
          <t>VÄSTERNORRLANDS LÄN</t>
        </is>
      </c>
      <c r="E15158" t="inlineStr">
        <is>
          <t>ÅNGE</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42853-2024</t>
        </is>
      </c>
      <c r="B15159" s="1" t="n">
        <v>45566</v>
      </c>
      <c r="C15159" s="1" t="n">
        <v>45657</v>
      </c>
      <c r="D15159" t="inlineStr">
        <is>
          <t>VÄSTERNORRLANDS LÄN</t>
        </is>
      </c>
      <c r="E15159" t="inlineStr">
        <is>
          <t>ÖRNSKÖLDSVIK</t>
        </is>
      </c>
      <c r="F15159" t="inlineStr">
        <is>
          <t>Holmen skog AB</t>
        </is>
      </c>
      <c r="G15159" t="n">
        <v>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42833-2024</t>
        </is>
      </c>
      <c r="B15160" s="1" t="n">
        <v>45566</v>
      </c>
      <c r="C15160" s="1" t="n">
        <v>45657</v>
      </c>
      <c r="D15160" t="inlineStr">
        <is>
          <t>VÄSTERNORRLANDS LÄN</t>
        </is>
      </c>
      <c r="E15160" t="inlineStr">
        <is>
          <t>SUNDSVALL</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42855-2024</t>
        </is>
      </c>
      <c r="B15161" s="1" t="n">
        <v>45566</v>
      </c>
      <c r="C15161" s="1" t="n">
        <v>45657</v>
      </c>
      <c r="D15161" t="inlineStr">
        <is>
          <t>VÄSTERNORRLANDS LÄN</t>
        </is>
      </c>
      <c r="E15161" t="inlineStr">
        <is>
          <t>TIMRÅ</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42813-2024</t>
        </is>
      </c>
      <c r="B15162" s="1" t="n">
        <v>45566</v>
      </c>
      <c r="C15162" s="1" t="n">
        <v>45657</v>
      </c>
      <c r="D15162" t="inlineStr">
        <is>
          <t>VÄSTERNORRLANDS LÄN</t>
        </is>
      </c>
      <c r="E15162" t="inlineStr">
        <is>
          <t>ÖRNSKÖLDSVIK</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42788-2024</t>
        </is>
      </c>
      <c r="B15163" s="1" t="n">
        <v>45566</v>
      </c>
      <c r="C15163" s="1" t="n">
        <v>45657</v>
      </c>
      <c r="D15163" t="inlineStr">
        <is>
          <t>VÄSTERNORRLANDS LÄN</t>
        </is>
      </c>
      <c r="E15163" t="inlineStr">
        <is>
          <t>HÄRNÖSAND</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42733-2024</t>
        </is>
      </c>
      <c r="B15164" s="1" t="n">
        <v>45566</v>
      </c>
      <c r="C15164" s="1" t="n">
        <v>45657</v>
      </c>
      <c r="D15164" t="inlineStr">
        <is>
          <t>VÄSTERNORRLANDS LÄN</t>
        </is>
      </c>
      <c r="E15164" t="inlineStr">
        <is>
          <t>ÖRNSKÖLDSVIK</t>
        </is>
      </c>
      <c r="F15164" t="inlineStr">
        <is>
          <t>Holmen skog AB</t>
        </is>
      </c>
      <c r="G15164" t="n">
        <v>8.5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42915-2024</t>
        </is>
      </c>
      <c r="B15165" s="1" t="n">
        <v>45566</v>
      </c>
      <c r="C15165" s="1" t="n">
        <v>45657</v>
      </c>
      <c r="D15165" t="inlineStr">
        <is>
          <t>VÄSTERNORRLANDS LÄN</t>
        </is>
      </c>
      <c r="E15165" t="inlineStr">
        <is>
          <t>SOLLEFTEÅ</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42838-2024</t>
        </is>
      </c>
      <c r="B15166" s="1" t="n">
        <v>45566</v>
      </c>
      <c r="C15166" s="1" t="n">
        <v>45657</v>
      </c>
      <c r="D15166" t="inlineStr">
        <is>
          <t>VÄSTERNORRLANDS LÄN</t>
        </is>
      </c>
      <c r="E15166" t="inlineStr">
        <is>
          <t>ÖRNSKÖLDSVIK</t>
        </is>
      </c>
      <c r="F15166" t="inlineStr">
        <is>
          <t>Holmen skog AB</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42818-2024</t>
        </is>
      </c>
      <c r="B15167" s="1" t="n">
        <v>45566</v>
      </c>
      <c r="C15167" s="1" t="n">
        <v>45657</v>
      </c>
      <c r="D15167" t="inlineStr">
        <is>
          <t>VÄSTERNORRLANDS LÄN</t>
        </is>
      </c>
      <c r="E15167" t="inlineStr">
        <is>
          <t>HÄRNÖSAND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42880-2024</t>
        </is>
      </c>
      <c r="B15168" s="1" t="n">
        <v>45566</v>
      </c>
      <c r="C15168" s="1" t="n">
        <v>45657</v>
      </c>
      <c r="D15168" t="inlineStr">
        <is>
          <t>VÄSTERNORRLANDS LÄN</t>
        </is>
      </c>
      <c r="E15168" t="inlineStr">
        <is>
          <t>ÅNGE</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42860-2024</t>
        </is>
      </c>
      <c r="B15169" s="1" t="n">
        <v>45566</v>
      </c>
      <c r="C15169" s="1" t="n">
        <v>45657</v>
      </c>
      <c r="D15169" t="inlineStr">
        <is>
          <t>VÄSTERNORRLANDS LÄN</t>
        </is>
      </c>
      <c r="E15169" t="inlineStr">
        <is>
          <t>TIMRÅ</t>
        </is>
      </c>
      <c r="G15169" t="n">
        <v>3.9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42807-2024</t>
        </is>
      </c>
      <c r="B15170" s="1" t="n">
        <v>45566</v>
      </c>
      <c r="C15170" s="1" t="n">
        <v>45657</v>
      </c>
      <c r="D15170" t="inlineStr">
        <is>
          <t>VÄSTERNORRLANDS LÄN</t>
        </is>
      </c>
      <c r="E15170" t="inlineStr">
        <is>
          <t>ÖRNSKÖLDSVIK</t>
        </is>
      </c>
      <c r="F15170" t="inlineStr">
        <is>
          <t>Holmen skog AB</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42771-2024</t>
        </is>
      </c>
      <c r="B15171" s="1" t="n">
        <v>45566</v>
      </c>
      <c r="C15171" s="1" t="n">
        <v>45657</v>
      </c>
      <c r="D15171" t="inlineStr">
        <is>
          <t>VÄSTERNORRLANDS LÄN</t>
        </is>
      </c>
      <c r="E15171" t="inlineStr">
        <is>
          <t>SUNDSVALL</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42768-2024</t>
        </is>
      </c>
      <c r="B15172" s="1" t="n">
        <v>45566</v>
      </c>
      <c r="C15172" s="1" t="n">
        <v>45657</v>
      </c>
      <c r="D15172" t="inlineStr">
        <is>
          <t>VÄSTERNORRLANDS LÄN</t>
        </is>
      </c>
      <c r="E15172" t="inlineStr">
        <is>
          <t>ÖRNSKÖLDSVIK</t>
        </is>
      </c>
      <c r="F15172" t="inlineStr">
        <is>
          <t>Holmen skog AB</t>
        </is>
      </c>
      <c r="G15172" t="n">
        <v>11.1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42944-2024</t>
        </is>
      </c>
      <c r="B15173" s="1" t="n">
        <v>45567</v>
      </c>
      <c r="C15173" s="1" t="n">
        <v>45657</v>
      </c>
      <c r="D15173" t="inlineStr">
        <is>
          <t>VÄSTERNORRLANDS LÄN</t>
        </is>
      </c>
      <c r="E15173" t="inlineStr">
        <is>
          <t>ÖRNSKÖLDSVIK</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42948-2024</t>
        </is>
      </c>
      <c r="B15174" s="1" t="n">
        <v>45567</v>
      </c>
      <c r="C15174" s="1" t="n">
        <v>45657</v>
      </c>
      <c r="D15174" t="inlineStr">
        <is>
          <t>VÄSTERNORRLANDS LÄN</t>
        </is>
      </c>
      <c r="E15174" t="inlineStr">
        <is>
          <t>ÅNGE</t>
        </is>
      </c>
      <c r="F15174" t="inlineStr">
        <is>
          <t>SCA</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43138-2024</t>
        </is>
      </c>
      <c r="B15175" s="1" t="n">
        <v>45567</v>
      </c>
      <c r="C15175" s="1" t="n">
        <v>45657</v>
      </c>
      <c r="D15175" t="inlineStr">
        <is>
          <t>VÄSTERNORRLANDS LÄN</t>
        </is>
      </c>
      <c r="E15175" t="inlineStr">
        <is>
          <t>ÖRNSKÖLDSVIK</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43146-2024</t>
        </is>
      </c>
      <c r="B15176" s="1" t="n">
        <v>45567</v>
      </c>
      <c r="C15176" s="1" t="n">
        <v>45657</v>
      </c>
      <c r="D15176" t="inlineStr">
        <is>
          <t>VÄSTERNORRLANDS LÄN</t>
        </is>
      </c>
      <c r="E15176" t="inlineStr">
        <is>
          <t>ÖRNSKÖLDSVIK</t>
        </is>
      </c>
      <c r="F15176" t="inlineStr">
        <is>
          <t>Holmen skog AB</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43167-2024</t>
        </is>
      </c>
      <c r="B15177" s="1" t="n">
        <v>45567</v>
      </c>
      <c r="C15177" s="1" t="n">
        <v>45657</v>
      </c>
      <c r="D15177" t="inlineStr">
        <is>
          <t>VÄSTERNORRLANDS LÄN</t>
        </is>
      </c>
      <c r="E15177" t="inlineStr">
        <is>
          <t>TIMRÅ</t>
        </is>
      </c>
      <c r="F15177" t="inlineStr">
        <is>
          <t>SCA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43139-2024</t>
        </is>
      </c>
      <c r="B15178" s="1" t="n">
        <v>45567</v>
      </c>
      <c r="C15178" s="1" t="n">
        <v>45657</v>
      </c>
      <c r="D15178" t="inlineStr">
        <is>
          <t>VÄSTERNORRLANDS LÄN</t>
        </is>
      </c>
      <c r="E15178" t="inlineStr">
        <is>
          <t>ÅNGE</t>
        </is>
      </c>
      <c r="G15178" t="n">
        <v>11.1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43127-2024</t>
        </is>
      </c>
      <c r="B15179" s="1" t="n">
        <v>45567</v>
      </c>
      <c r="C15179" s="1" t="n">
        <v>45657</v>
      </c>
      <c r="D15179" t="inlineStr">
        <is>
          <t>VÄSTERNORRLANDS LÄN</t>
        </is>
      </c>
      <c r="E15179" t="inlineStr">
        <is>
          <t>ÖRNSKÖLDSVIK</t>
        </is>
      </c>
      <c r="G15179" t="n">
        <v>7.5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43209-2024</t>
        </is>
      </c>
      <c r="B15180" s="1" t="n">
        <v>45567</v>
      </c>
      <c r="C15180" s="1" t="n">
        <v>45657</v>
      </c>
      <c r="D15180" t="inlineStr">
        <is>
          <t>VÄSTERNORRLANDS LÄN</t>
        </is>
      </c>
      <c r="E15180" t="inlineStr">
        <is>
          <t>ÖRNSKÖLDSVIK</t>
        </is>
      </c>
      <c r="F15180" t="inlineStr">
        <is>
          <t>Holmen skog AB</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43190-2024</t>
        </is>
      </c>
      <c r="B15181" s="1" t="n">
        <v>45567</v>
      </c>
      <c r="C15181" s="1" t="n">
        <v>45657</v>
      </c>
      <c r="D15181" t="inlineStr">
        <is>
          <t>VÄSTERNORRLANDS LÄN</t>
        </is>
      </c>
      <c r="E15181" t="inlineStr">
        <is>
          <t>ÅNGE</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43049-2024</t>
        </is>
      </c>
      <c r="B15182" s="1" t="n">
        <v>45567</v>
      </c>
      <c r="C15182" s="1" t="n">
        <v>45657</v>
      </c>
      <c r="D15182" t="inlineStr">
        <is>
          <t>VÄSTERNORRLANDS LÄN</t>
        </is>
      </c>
      <c r="E15182" t="inlineStr">
        <is>
          <t>SOLLEFTEÅ</t>
        </is>
      </c>
      <c r="F15182" t="inlineStr">
        <is>
          <t>SCA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43025-2024</t>
        </is>
      </c>
      <c r="B15183" s="1" t="n">
        <v>45567</v>
      </c>
      <c r="C15183" s="1" t="n">
        <v>45657</v>
      </c>
      <c r="D15183" t="inlineStr">
        <is>
          <t>VÄSTERNORRLANDS LÄN</t>
        </is>
      </c>
      <c r="E15183" t="inlineStr">
        <is>
          <t>HÄRNÖSAND</t>
        </is>
      </c>
      <c r="G15183" t="n">
        <v>4.9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43008-2024</t>
        </is>
      </c>
      <c r="B15184" s="1" t="n">
        <v>45567</v>
      </c>
      <c r="C15184" s="1" t="n">
        <v>45657</v>
      </c>
      <c r="D15184" t="inlineStr">
        <is>
          <t>VÄSTERNORRLANDS LÄN</t>
        </is>
      </c>
      <c r="E15184" t="inlineStr">
        <is>
          <t>SOLLEFTEÅ</t>
        </is>
      </c>
      <c r="F15184" t="inlineStr">
        <is>
          <t>SCA</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43004-2024</t>
        </is>
      </c>
      <c r="B15185" s="1" t="n">
        <v>45567</v>
      </c>
      <c r="C15185" s="1" t="n">
        <v>45657</v>
      </c>
      <c r="D15185" t="inlineStr">
        <is>
          <t>VÄSTERNORRLANDS LÄN</t>
        </is>
      </c>
      <c r="E15185" t="inlineStr">
        <is>
          <t>SUNDSVALL</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42984-2024</t>
        </is>
      </c>
      <c r="B15186" s="1" t="n">
        <v>45567</v>
      </c>
      <c r="C15186" s="1" t="n">
        <v>45657</v>
      </c>
      <c r="D15186" t="inlineStr">
        <is>
          <t>VÄSTERNORRLANDS LÄN</t>
        </is>
      </c>
      <c r="E15186" t="inlineStr">
        <is>
          <t>SOLLEFTEÅ</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42968-2024</t>
        </is>
      </c>
      <c r="B15187" s="1" t="n">
        <v>45567</v>
      </c>
      <c r="C15187" s="1" t="n">
        <v>45657</v>
      </c>
      <c r="D15187" t="inlineStr">
        <is>
          <t>VÄSTERNORRLANDS LÄN</t>
        </is>
      </c>
      <c r="E15187" t="inlineStr">
        <is>
          <t>ÅNGE</t>
        </is>
      </c>
      <c r="F15187" t="inlineStr">
        <is>
          <t>SCA</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42964-2024</t>
        </is>
      </c>
      <c r="B15188" s="1" t="n">
        <v>45567</v>
      </c>
      <c r="C15188" s="1" t="n">
        <v>45657</v>
      </c>
      <c r="D15188" t="inlineStr">
        <is>
          <t>VÄSTERNORRLANDS LÄN</t>
        </is>
      </c>
      <c r="E15188" t="inlineStr">
        <is>
          <t>SOLLEFTEÅ</t>
        </is>
      </c>
      <c r="F15188" t="inlineStr">
        <is>
          <t>SCA</t>
        </is>
      </c>
      <c r="G15188" t="n">
        <v>6.8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43026-2024</t>
        </is>
      </c>
      <c r="B15189" s="1" t="n">
        <v>45567</v>
      </c>
      <c r="C15189" s="1" t="n">
        <v>45657</v>
      </c>
      <c r="D15189" t="inlineStr">
        <is>
          <t>VÄSTERNORRLANDS LÄN</t>
        </is>
      </c>
      <c r="E15189" t="inlineStr">
        <is>
          <t>HÄRNÖSAND</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43013-2024</t>
        </is>
      </c>
      <c r="B15190" s="1" t="n">
        <v>45567</v>
      </c>
      <c r="C15190" s="1" t="n">
        <v>45657</v>
      </c>
      <c r="D15190" t="inlineStr">
        <is>
          <t>VÄSTERNORRLANDS LÄN</t>
        </is>
      </c>
      <c r="E15190" t="inlineStr">
        <is>
          <t>ÖRNSKÖLDSVIK</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43009-2024</t>
        </is>
      </c>
      <c r="B15191" s="1" t="n">
        <v>45567</v>
      </c>
      <c r="C15191" s="1" t="n">
        <v>45657</v>
      </c>
      <c r="D15191" t="inlineStr">
        <is>
          <t>VÄSTERNORRLANDS LÄN</t>
        </is>
      </c>
      <c r="E15191" t="inlineStr">
        <is>
          <t>ÖRNSKÖLDSVIK</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43001-2024</t>
        </is>
      </c>
      <c r="B15192" s="1" t="n">
        <v>45567</v>
      </c>
      <c r="C15192" s="1" t="n">
        <v>45657</v>
      </c>
      <c r="D15192" t="inlineStr">
        <is>
          <t>VÄSTERNORRLANDS LÄN</t>
        </is>
      </c>
      <c r="E15192" t="inlineStr">
        <is>
          <t>SUNDSVALL</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42985-2024</t>
        </is>
      </c>
      <c r="B15193" s="1" t="n">
        <v>45567</v>
      </c>
      <c r="C15193" s="1" t="n">
        <v>45657</v>
      </c>
      <c r="D15193" t="inlineStr">
        <is>
          <t>VÄSTERNORRLANDS LÄN</t>
        </is>
      </c>
      <c r="E15193" t="inlineStr">
        <is>
          <t>SOLLEFTEÅ</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42981-2024</t>
        </is>
      </c>
      <c r="B15194" s="1" t="n">
        <v>45567</v>
      </c>
      <c r="C15194" s="1" t="n">
        <v>45657</v>
      </c>
      <c r="D15194" t="inlineStr">
        <is>
          <t>VÄSTERNORRLANDS LÄN</t>
        </is>
      </c>
      <c r="E15194" t="inlineStr">
        <is>
          <t>SOLLEFTEÅ</t>
        </is>
      </c>
      <c r="F15194" t="inlineStr">
        <is>
          <t>SCA</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42977-2024</t>
        </is>
      </c>
      <c r="B15195" s="1" t="n">
        <v>45567</v>
      </c>
      <c r="C15195" s="1" t="n">
        <v>45657</v>
      </c>
      <c r="D15195" t="inlineStr">
        <is>
          <t>VÄSTERNORRLANDS LÄN</t>
        </is>
      </c>
      <c r="E15195" t="inlineStr">
        <is>
          <t>SUNDSVALL</t>
        </is>
      </c>
      <c r="F15195" t="inlineStr">
        <is>
          <t>SCA</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42973-2024</t>
        </is>
      </c>
      <c r="B15196" s="1" t="n">
        <v>45567</v>
      </c>
      <c r="C15196" s="1" t="n">
        <v>45657</v>
      </c>
      <c r="D15196" t="inlineStr">
        <is>
          <t>VÄSTERNORRLANDS LÄN</t>
        </is>
      </c>
      <c r="E15196" t="inlineStr">
        <is>
          <t>SOLLEFTEÅ</t>
        </is>
      </c>
      <c r="F15196" t="inlineStr">
        <is>
          <t>SCA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42969-2024</t>
        </is>
      </c>
      <c r="B15197" s="1" t="n">
        <v>45567</v>
      </c>
      <c r="C15197" s="1" t="n">
        <v>45657</v>
      </c>
      <c r="D15197" t="inlineStr">
        <is>
          <t>VÄSTERNORRLANDS LÄN</t>
        </is>
      </c>
      <c r="E15197" t="inlineStr">
        <is>
          <t>ÅNGE</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42965-2024</t>
        </is>
      </c>
      <c r="B15198" s="1" t="n">
        <v>45567</v>
      </c>
      <c r="C15198" s="1" t="n">
        <v>45657</v>
      </c>
      <c r="D15198" t="inlineStr">
        <is>
          <t>VÄSTERNORRLANDS LÄN</t>
        </is>
      </c>
      <c r="E15198" t="inlineStr">
        <is>
          <t>SOLLEFTEÅ</t>
        </is>
      </c>
      <c r="F15198" t="inlineStr">
        <is>
          <t>SCA</t>
        </is>
      </c>
      <c r="G15198" t="n">
        <v>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42953-2024</t>
        </is>
      </c>
      <c r="B15199" s="1" t="n">
        <v>45567</v>
      </c>
      <c r="C15199" s="1" t="n">
        <v>45657</v>
      </c>
      <c r="D15199" t="inlineStr">
        <is>
          <t>VÄSTERNORRLANDS LÄN</t>
        </is>
      </c>
      <c r="E15199" t="inlineStr">
        <is>
          <t>ÅNGE</t>
        </is>
      </c>
      <c r="F15199" t="inlineStr">
        <is>
          <t>SCA</t>
        </is>
      </c>
      <c r="G15199" t="n">
        <v>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43169-2024</t>
        </is>
      </c>
      <c r="B15200" s="1" t="n">
        <v>45567</v>
      </c>
      <c r="C15200" s="1" t="n">
        <v>45657</v>
      </c>
      <c r="D15200" t="inlineStr">
        <is>
          <t>VÄSTERNORRLANDS LÄN</t>
        </is>
      </c>
      <c r="E15200" t="inlineStr">
        <is>
          <t>ÖRNSKÖLDSVIK</t>
        </is>
      </c>
      <c r="F15200" t="inlineStr">
        <is>
          <t>Holmen skog AB</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43161-2024</t>
        </is>
      </c>
      <c r="B15201" s="1" t="n">
        <v>45567</v>
      </c>
      <c r="C15201" s="1" t="n">
        <v>45657</v>
      </c>
      <c r="D15201" t="inlineStr">
        <is>
          <t>VÄSTERNORRLANDS LÄN</t>
        </is>
      </c>
      <c r="E15201" t="inlineStr">
        <is>
          <t>ÖRNSKÖLDSVIK</t>
        </is>
      </c>
      <c r="G15201" t="n">
        <v>17.9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43145-2024</t>
        </is>
      </c>
      <c r="B15202" s="1" t="n">
        <v>45567</v>
      </c>
      <c r="C15202" s="1" t="n">
        <v>45657</v>
      </c>
      <c r="D15202" t="inlineStr">
        <is>
          <t>VÄSTERNORRLANDS LÄN</t>
        </is>
      </c>
      <c r="E15202" t="inlineStr">
        <is>
          <t>ÅNGE</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43040-2024</t>
        </is>
      </c>
      <c r="B15203" s="1" t="n">
        <v>45567</v>
      </c>
      <c r="C15203" s="1" t="n">
        <v>45657</v>
      </c>
      <c r="D15203" t="inlineStr">
        <is>
          <t>VÄSTERNORRLANDS LÄN</t>
        </is>
      </c>
      <c r="E15203" t="inlineStr">
        <is>
          <t>SUNDSVALL</t>
        </is>
      </c>
      <c r="F15203" t="inlineStr">
        <is>
          <t>SCA</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42999-2024</t>
        </is>
      </c>
      <c r="B15204" s="1" t="n">
        <v>45567</v>
      </c>
      <c r="C15204" s="1" t="n">
        <v>45657</v>
      </c>
      <c r="D15204" t="inlineStr">
        <is>
          <t>VÄSTERNORRLANDS LÄN</t>
        </is>
      </c>
      <c r="E15204" t="inlineStr">
        <is>
          <t>ÅNGE</t>
        </is>
      </c>
      <c r="G15204" t="n">
        <v>6.9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42987-2024</t>
        </is>
      </c>
      <c r="B15205" s="1" t="n">
        <v>45567</v>
      </c>
      <c r="C15205" s="1" t="n">
        <v>45657</v>
      </c>
      <c r="D15205" t="inlineStr">
        <is>
          <t>VÄSTERNORRLANDS LÄN</t>
        </is>
      </c>
      <c r="E15205" t="inlineStr">
        <is>
          <t>SOLLEFTEÅ</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42983-2024</t>
        </is>
      </c>
      <c r="B15206" s="1" t="n">
        <v>45567</v>
      </c>
      <c r="C15206" s="1" t="n">
        <v>45657</v>
      </c>
      <c r="D15206" t="inlineStr">
        <is>
          <t>VÄSTERNORRLANDS LÄN</t>
        </is>
      </c>
      <c r="E15206" t="inlineStr">
        <is>
          <t>SOLLEFTEÅ</t>
        </is>
      </c>
      <c r="F15206" t="inlineStr">
        <is>
          <t>SCA</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42979-2024</t>
        </is>
      </c>
      <c r="B15207" s="1" t="n">
        <v>45567</v>
      </c>
      <c r="C15207" s="1" t="n">
        <v>45657</v>
      </c>
      <c r="D15207" t="inlineStr">
        <is>
          <t>VÄSTERNORRLANDS LÄN</t>
        </is>
      </c>
      <c r="E15207" t="inlineStr">
        <is>
          <t>SOLLEFTEÅ</t>
        </is>
      </c>
      <c r="F15207" t="inlineStr">
        <is>
          <t>SCA</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42975-2024</t>
        </is>
      </c>
      <c r="B15208" s="1" t="n">
        <v>45567</v>
      </c>
      <c r="C15208" s="1" t="n">
        <v>45657</v>
      </c>
      <c r="D15208" t="inlineStr">
        <is>
          <t>VÄSTERNORRLANDS LÄN</t>
        </is>
      </c>
      <c r="E15208" t="inlineStr">
        <is>
          <t>SOLLEFTEÅ</t>
        </is>
      </c>
      <c r="F15208" t="inlineStr">
        <is>
          <t>SCA</t>
        </is>
      </c>
      <c r="G15208" t="n">
        <v>5.5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42971-2024</t>
        </is>
      </c>
      <c r="B15209" s="1" t="n">
        <v>45567</v>
      </c>
      <c r="C15209" s="1" t="n">
        <v>45657</v>
      </c>
      <c r="D15209" t="inlineStr">
        <is>
          <t>VÄSTERNORRLANDS LÄN</t>
        </is>
      </c>
      <c r="E15209" t="inlineStr">
        <is>
          <t>SOLLEFTEÅ</t>
        </is>
      </c>
      <c r="F15209" t="inlineStr">
        <is>
          <t>SCA</t>
        </is>
      </c>
      <c r="G15209" t="n">
        <v>5.8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42963-2024</t>
        </is>
      </c>
      <c r="B15210" s="1" t="n">
        <v>45567</v>
      </c>
      <c r="C15210" s="1" t="n">
        <v>45657</v>
      </c>
      <c r="D15210" t="inlineStr">
        <is>
          <t>VÄSTERNORRLANDS LÄN</t>
        </is>
      </c>
      <c r="E15210" t="inlineStr">
        <is>
          <t>SOLLEFTEÅ</t>
        </is>
      </c>
      <c r="F15210" t="inlineStr">
        <is>
          <t>SCA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42939-2024</t>
        </is>
      </c>
      <c r="B15211" s="1" t="n">
        <v>45567</v>
      </c>
      <c r="C15211" s="1" t="n">
        <v>45657</v>
      </c>
      <c r="D15211" t="inlineStr">
        <is>
          <t>VÄSTERNORRLANDS LÄN</t>
        </is>
      </c>
      <c r="E15211" t="inlineStr">
        <is>
          <t>ÖRNSKÖLDSVIK</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43184-2024</t>
        </is>
      </c>
      <c r="B15212" s="1" t="n">
        <v>45567</v>
      </c>
      <c r="C15212" s="1" t="n">
        <v>45657</v>
      </c>
      <c r="D15212" t="inlineStr">
        <is>
          <t>VÄSTERNORRLANDS LÄN</t>
        </is>
      </c>
      <c r="E15212" t="inlineStr">
        <is>
          <t>ÅNGE</t>
        </is>
      </c>
      <c r="G15212" t="n">
        <v>15.3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43172-2024</t>
        </is>
      </c>
      <c r="B15213" s="1" t="n">
        <v>45567</v>
      </c>
      <c r="C15213" s="1" t="n">
        <v>45657</v>
      </c>
      <c r="D15213" t="inlineStr">
        <is>
          <t>VÄSTERNORRLANDS LÄN</t>
        </is>
      </c>
      <c r="E15213" t="inlineStr">
        <is>
          <t>TIMRÅ</t>
        </is>
      </c>
      <c r="F15213" t="inlineStr">
        <is>
          <t>SCA</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43168-2024</t>
        </is>
      </c>
      <c r="B15214" s="1" t="n">
        <v>45567</v>
      </c>
      <c r="C15214" s="1" t="n">
        <v>45657</v>
      </c>
      <c r="D15214" t="inlineStr">
        <is>
          <t>VÄSTERNORRLANDS LÄN</t>
        </is>
      </c>
      <c r="E15214" t="inlineStr">
        <is>
          <t>SUNDSVALL</t>
        </is>
      </c>
      <c r="F15214" t="inlineStr">
        <is>
          <t>SCA</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43128-2024</t>
        </is>
      </c>
      <c r="B15215" s="1" t="n">
        <v>45567</v>
      </c>
      <c r="C15215" s="1" t="n">
        <v>45657</v>
      </c>
      <c r="D15215" t="inlineStr">
        <is>
          <t>VÄSTERNORRLANDS LÄN</t>
        </is>
      </c>
      <c r="E15215" t="inlineStr">
        <is>
          <t>SUNDSVALL</t>
        </is>
      </c>
      <c r="F15215" t="inlineStr">
        <is>
          <t>SCA</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43027-2024</t>
        </is>
      </c>
      <c r="B15216" s="1" t="n">
        <v>45567</v>
      </c>
      <c r="C15216" s="1" t="n">
        <v>45657</v>
      </c>
      <c r="D15216" t="inlineStr">
        <is>
          <t>VÄSTERNORRLANDS LÄN</t>
        </is>
      </c>
      <c r="E15216" t="inlineStr">
        <is>
          <t>HÄRNÖSAND</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43010-2024</t>
        </is>
      </c>
      <c r="B15217" s="1" t="n">
        <v>45567</v>
      </c>
      <c r="C15217" s="1" t="n">
        <v>45657</v>
      </c>
      <c r="D15217" t="inlineStr">
        <is>
          <t>VÄSTERNORRLANDS LÄN</t>
        </is>
      </c>
      <c r="E15217" t="inlineStr">
        <is>
          <t>KRAMFORS</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43006-2024</t>
        </is>
      </c>
      <c r="B15218" s="1" t="n">
        <v>45567</v>
      </c>
      <c r="C15218" s="1" t="n">
        <v>45657</v>
      </c>
      <c r="D15218" t="inlineStr">
        <is>
          <t>VÄSTERNORRLANDS LÄN</t>
        </is>
      </c>
      <c r="E15218" t="inlineStr">
        <is>
          <t>TIMRÅ</t>
        </is>
      </c>
      <c r="F15218" t="inlineStr">
        <is>
          <t>SCA</t>
        </is>
      </c>
      <c r="G15218" t="n">
        <v>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43002-2024</t>
        </is>
      </c>
      <c r="B15219" s="1" t="n">
        <v>45567</v>
      </c>
      <c r="C15219" s="1" t="n">
        <v>45657</v>
      </c>
      <c r="D15219" t="inlineStr">
        <is>
          <t>VÄSTERNORRLANDS LÄN</t>
        </is>
      </c>
      <c r="E15219" t="inlineStr">
        <is>
          <t>SUNDSVALL</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42978-2024</t>
        </is>
      </c>
      <c r="B15220" s="1" t="n">
        <v>45567</v>
      </c>
      <c r="C15220" s="1" t="n">
        <v>45657</v>
      </c>
      <c r="D15220" t="inlineStr">
        <is>
          <t>VÄSTERNORRLANDS LÄN</t>
        </is>
      </c>
      <c r="E15220" t="inlineStr">
        <is>
          <t>SOLLEFTEÅ</t>
        </is>
      </c>
      <c r="F15220" t="inlineStr">
        <is>
          <t>SCA</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42970-2024</t>
        </is>
      </c>
      <c r="B15221" s="1" t="n">
        <v>45567</v>
      </c>
      <c r="C15221" s="1" t="n">
        <v>45657</v>
      </c>
      <c r="D15221" t="inlineStr">
        <is>
          <t>VÄSTERNORRLANDS LÄN</t>
        </is>
      </c>
      <c r="E15221" t="inlineStr">
        <is>
          <t>SOLLEFTEÅ</t>
        </is>
      </c>
      <c r="F15221" t="inlineStr">
        <is>
          <t>SCA</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42958-2024</t>
        </is>
      </c>
      <c r="B15222" s="1" t="n">
        <v>45567</v>
      </c>
      <c r="C15222" s="1" t="n">
        <v>45657</v>
      </c>
      <c r="D15222" t="inlineStr">
        <is>
          <t>VÄSTERNORRLANDS LÄN</t>
        </is>
      </c>
      <c r="E15222" t="inlineStr">
        <is>
          <t>ÅNGE</t>
        </is>
      </c>
      <c r="F15222" t="inlineStr">
        <is>
          <t>SCA</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42950-2024</t>
        </is>
      </c>
      <c r="B15223" s="1" t="n">
        <v>45567</v>
      </c>
      <c r="C15223" s="1" t="n">
        <v>45657</v>
      </c>
      <c r="D15223" t="inlineStr">
        <is>
          <t>VÄSTERNORRLANDS LÄN</t>
        </is>
      </c>
      <c r="E15223" t="inlineStr">
        <is>
          <t>SOLLEFTEÅ</t>
        </is>
      </c>
      <c r="F15223" t="inlineStr">
        <is>
          <t>SCA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43343-2024</t>
        </is>
      </c>
      <c r="B15224" s="1" t="n">
        <v>45568</v>
      </c>
      <c r="C15224" s="1" t="n">
        <v>45657</v>
      </c>
      <c r="D15224" t="inlineStr">
        <is>
          <t>VÄSTERNORRLANDS LÄN</t>
        </is>
      </c>
      <c r="E15224" t="inlineStr">
        <is>
          <t>ÅNGE</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43407-2024</t>
        </is>
      </c>
      <c r="B15225" s="1" t="n">
        <v>45568</v>
      </c>
      <c r="C15225" s="1" t="n">
        <v>45657</v>
      </c>
      <c r="D15225" t="inlineStr">
        <is>
          <t>VÄSTERNORRLANDS LÄN</t>
        </is>
      </c>
      <c r="E15225" t="inlineStr">
        <is>
          <t>ÖRNSKÖLDSVIK</t>
        </is>
      </c>
      <c r="F15225" t="inlineStr">
        <is>
          <t>Holmen skog AB</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43373-2024</t>
        </is>
      </c>
      <c r="B15226" s="1" t="n">
        <v>45568</v>
      </c>
      <c r="C15226" s="1" t="n">
        <v>45657</v>
      </c>
      <c r="D15226" t="inlineStr">
        <is>
          <t>VÄSTERNORRLANDS LÄN</t>
        </is>
      </c>
      <c r="E15226" t="inlineStr">
        <is>
          <t>ÖRNSKÖLDSVIK</t>
        </is>
      </c>
      <c r="F15226" t="inlineStr">
        <is>
          <t>Holmen skog AB</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43365-2024</t>
        </is>
      </c>
      <c r="B15227" s="1" t="n">
        <v>45568</v>
      </c>
      <c r="C15227" s="1" t="n">
        <v>45657</v>
      </c>
      <c r="D15227" t="inlineStr">
        <is>
          <t>VÄSTERNORRLANDS LÄN</t>
        </is>
      </c>
      <c r="E15227" t="inlineStr">
        <is>
          <t>SUNDSVALL</t>
        </is>
      </c>
      <c r="G15227" t="n">
        <v>8.9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43345-2024</t>
        </is>
      </c>
      <c r="B15228" s="1" t="n">
        <v>45568</v>
      </c>
      <c r="C15228" s="1" t="n">
        <v>45657</v>
      </c>
      <c r="D15228" t="inlineStr">
        <is>
          <t>VÄSTERNORRLANDS LÄN</t>
        </is>
      </c>
      <c r="E15228" t="inlineStr">
        <is>
          <t>TIMRÅ</t>
        </is>
      </c>
      <c r="F15228" t="inlineStr">
        <is>
          <t>SCA</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43281-2024</t>
        </is>
      </c>
      <c r="B15229" s="1" t="n">
        <v>45568</v>
      </c>
      <c r="C15229" s="1" t="n">
        <v>45657</v>
      </c>
      <c r="D15229" t="inlineStr">
        <is>
          <t>VÄSTERNORRLANDS LÄN</t>
        </is>
      </c>
      <c r="E15229" t="inlineStr">
        <is>
          <t>HÄRNÖSAND</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43265-2024</t>
        </is>
      </c>
      <c r="B15230" s="1" t="n">
        <v>45568</v>
      </c>
      <c r="C15230" s="1" t="n">
        <v>45657</v>
      </c>
      <c r="D15230" t="inlineStr">
        <is>
          <t>VÄSTERNORRLANDS LÄN</t>
        </is>
      </c>
      <c r="E15230" t="inlineStr">
        <is>
          <t>SOLLEFTEÅ</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43344-2024</t>
        </is>
      </c>
      <c r="B15231" s="1" t="n">
        <v>45568</v>
      </c>
      <c r="C15231" s="1" t="n">
        <v>45657</v>
      </c>
      <c r="D15231" t="inlineStr">
        <is>
          <t>VÄSTERNORRLANDS LÄN</t>
        </is>
      </c>
      <c r="E15231" t="inlineStr">
        <is>
          <t>TIMRÅ</t>
        </is>
      </c>
      <c r="F15231" t="inlineStr">
        <is>
          <t>SCA</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43340-2024</t>
        </is>
      </c>
      <c r="B15232" s="1" t="n">
        <v>45568</v>
      </c>
      <c r="C15232" s="1" t="n">
        <v>45657</v>
      </c>
      <c r="D15232" t="inlineStr">
        <is>
          <t>VÄSTERNORRLANDS LÄN</t>
        </is>
      </c>
      <c r="E15232" t="inlineStr">
        <is>
          <t>HÄRNÖSAND</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43337-2024</t>
        </is>
      </c>
      <c r="B15233" s="1" t="n">
        <v>45568</v>
      </c>
      <c r="C15233" s="1" t="n">
        <v>45657</v>
      </c>
      <c r="D15233" t="inlineStr">
        <is>
          <t>VÄSTERNORRLANDS LÄN</t>
        </is>
      </c>
      <c r="E15233" t="inlineStr">
        <is>
          <t>ÖRNSKÖLDSVIK</t>
        </is>
      </c>
      <c r="F15233" t="inlineStr">
        <is>
          <t>Holmen skog AB</t>
        </is>
      </c>
      <c r="G15233" t="n">
        <v>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43370-2024</t>
        </is>
      </c>
      <c r="B15234" s="1" t="n">
        <v>45568</v>
      </c>
      <c r="C15234" s="1" t="n">
        <v>45657</v>
      </c>
      <c r="D15234" t="inlineStr">
        <is>
          <t>VÄSTERNORRLANDS LÄN</t>
        </is>
      </c>
      <c r="E15234" t="inlineStr">
        <is>
          <t>ÖRNSKÖLDSVIK</t>
        </is>
      </c>
      <c r="F15234" t="inlineStr">
        <is>
          <t>Holmen skog AB</t>
        </is>
      </c>
      <c r="G15234" t="n">
        <v>21.2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43366-2024</t>
        </is>
      </c>
      <c r="B15235" s="1" t="n">
        <v>45568</v>
      </c>
      <c r="C15235" s="1" t="n">
        <v>45657</v>
      </c>
      <c r="D15235" t="inlineStr">
        <is>
          <t>VÄSTERNORRLANDS LÄN</t>
        </is>
      </c>
      <c r="E15235" t="inlineStr">
        <is>
          <t>ÅNGE</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43304-2024</t>
        </is>
      </c>
      <c r="B15236" s="1" t="n">
        <v>45568</v>
      </c>
      <c r="C15236" s="1" t="n">
        <v>45657</v>
      </c>
      <c r="D15236" t="inlineStr">
        <is>
          <t>VÄSTERNORRLANDS LÄN</t>
        </is>
      </c>
      <c r="E15236" t="inlineStr">
        <is>
          <t>ÖRNSKÖLDSVIK</t>
        </is>
      </c>
      <c r="F15236" t="inlineStr">
        <is>
          <t>Holmen skog AB</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43634-2024</t>
        </is>
      </c>
      <c r="B15237" s="1" t="n">
        <v>45569</v>
      </c>
      <c r="C15237" s="1" t="n">
        <v>45657</v>
      </c>
      <c r="D15237" t="inlineStr">
        <is>
          <t>VÄSTERNORRLANDS LÄN</t>
        </is>
      </c>
      <c r="E15237" t="inlineStr">
        <is>
          <t>ÖRNSKÖLDSVIK</t>
        </is>
      </c>
      <c r="F15237" t="inlineStr">
        <is>
          <t>Holmen skog AB</t>
        </is>
      </c>
      <c r="G15237" t="n">
        <v>8.1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43526-2024</t>
        </is>
      </c>
      <c r="B15238" s="1" t="n">
        <v>45569</v>
      </c>
      <c r="C15238" s="1" t="n">
        <v>45657</v>
      </c>
      <c r="D15238" t="inlineStr">
        <is>
          <t>VÄSTERNORRLANDS LÄN</t>
        </is>
      </c>
      <c r="E15238" t="inlineStr">
        <is>
          <t>TIMRÅ</t>
        </is>
      </c>
      <c r="F15238" t="inlineStr">
        <is>
          <t>SCA</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43693-2024</t>
        </is>
      </c>
      <c r="B15239" s="1" t="n">
        <v>45569</v>
      </c>
      <c r="C15239" s="1" t="n">
        <v>45657</v>
      </c>
      <c r="D15239" t="inlineStr">
        <is>
          <t>VÄSTERNORRLANDS LÄN</t>
        </is>
      </c>
      <c r="E15239" t="inlineStr">
        <is>
          <t>ÖRNSKÖLDSVIK</t>
        </is>
      </c>
      <c r="F15239" t="inlineStr">
        <is>
          <t>Holmen skog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43628-2024</t>
        </is>
      </c>
      <c r="B15240" s="1" t="n">
        <v>45569</v>
      </c>
      <c r="C15240" s="1" t="n">
        <v>45657</v>
      </c>
      <c r="D15240" t="inlineStr">
        <is>
          <t>VÄSTERNORRLANDS LÄN</t>
        </is>
      </c>
      <c r="E15240" t="inlineStr">
        <is>
          <t>ÖRNSKÖLDSVIK</t>
        </is>
      </c>
      <c r="F15240" t="inlineStr">
        <is>
          <t>SCA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43708-2024</t>
        </is>
      </c>
      <c r="B15241" s="1" t="n">
        <v>45569</v>
      </c>
      <c r="C15241" s="1" t="n">
        <v>45657</v>
      </c>
      <c r="D15241" t="inlineStr">
        <is>
          <t>VÄSTERNORRLANDS LÄN</t>
        </is>
      </c>
      <c r="E15241" t="inlineStr">
        <is>
          <t>KRAMFORS</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43571-2024</t>
        </is>
      </c>
      <c r="B15242" s="1" t="n">
        <v>45569</v>
      </c>
      <c r="C15242" s="1" t="n">
        <v>45657</v>
      </c>
      <c r="D15242" t="inlineStr">
        <is>
          <t>VÄSTERNORRLANDS LÄN</t>
        </is>
      </c>
      <c r="E15242" t="inlineStr">
        <is>
          <t>SUNDSVALL</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43527-2024</t>
        </is>
      </c>
      <c r="B15243" s="1" t="n">
        <v>45569</v>
      </c>
      <c r="C15243" s="1" t="n">
        <v>45657</v>
      </c>
      <c r="D15243" t="inlineStr">
        <is>
          <t>VÄSTERNORRLANDS LÄN</t>
        </is>
      </c>
      <c r="E15243" t="inlineStr">
        <is>
          <t>TIMRÅ</t>
        </is>
      </c>
      <c r="F15243" t="inlineStr">
        <is>
          <t>SCA</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43868-2024</t>
        </is>
      </c>
      <c r="B15244" s="1" t="n">
        <v>45569</v>
      </c>
      <c r="C15244" s="1" t="n">
        <v>45657</v>
      </c>
      <c r="D15244" t="inlineStr">
        <is>
          <t>VÄSTERNORRLANDS LÄN</t>
        </is>
      </c>
      <c r="E15244" t="inlineStr">
        <is>
          <t>TIMRÅ</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43627-2024</t>
        </is>
      </c>
      <c r="B15245" s="1" t="n">
        <v>45569</v>
      </c>
      <c r="C15245" s="1" t="n">
        <v>45657</v>
      </c>
      <c r="D15245" t="inlineStr">
        <is>
          <t>VÄSTERNORRLANDS LÄN</t>
        </is>
      </c>
      <c r="E15245" t="inlineStr">
        <is>
          <t>SOLLEFTEÅ</t>
        </is>
      </c>
      <c r="F15245" t="inlineStr">
        <is>
          <t>SCA</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43585-2024</t>
        </is>
      </c>
      <c r="B15246" s="1" t="n">
        <v>45569</v>
      </c>
      <c r="C15246" s="1" t="n">
        <v>45657</v>
      </c>
      <c r="D15246" t="inlineStr">
        <is>
          <t>VÄSTERNORRLANDS LÄN</t>
        </is>
      </c>
      <c r="E15246" t="inlineStr">
        <is>
          <t>SOLLEFTEÅ</t>
        </is>
      </c>
      <c r="G15246" t="n">
        <v>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43568-2024</t>
        </is>
      </c>
      <c r="B15247" s="1" t="n">
        <v>45569</v>
      </c>
      <c r="C15247" s="1" t="n">
        <v>45657</v>
      </c>
      <c r="D15247" t="inlineStr">
        <is>
          <t>VÄSTERNORRLANDS LÄN</t>
        </is>
      </c>
      <c r="E15247" t="inlineStr">
        <is>
          <t>TIMRÅ</t>
        </is>
      </c>
      <c r="F15247" t="inlineStr">
        <is>
          <t>SCA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43970-2024</t>
        </is>
      </c>
      <c r="B15248" s="1" t="n">
        <v>45571</v>
      </c>
      <c r="C15248" s="1" t="n">
        <v>45657</v>
      </c>
      <c r="D15248" t="inlineStr">
        <is>
          <t>VÄSTERNORRLANDS LÄN</t>
        </is>
      </c>
      <c r="E15248" t="inlineStr">
        <is>
          <t>ÅNGE</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43826-2024</t>
        </is>
      </c>
      <c r="B15249" s="1" t="n">
        <v>45572</v>
      </c>
      <c r="C15249" s="1" t="n">
        <v>45657</v>
      </c>
      <c r="D15249" t="inlineStr">
        <is>
          <t>VÄSTERNORRLANDS LÄN</t>
        </is>
      </c>
      <c r="E15249" t="inlineStr">
        <is>
          <t>ÖRNSKÖLDSVIK</t>
        </is>
      </c>
      <c r="G15249" t="n">
        <v>5.1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43844-2024</t>
        </is>
      </c>
      <c r="B15250" s="1" t="n">
        <v>45572</v>
      </c>
      <c r="C15250" s="1" t="n">
        <v>45657</v>
      </c>
      <c r="D15250" t="inlineStr">
        <is>
          <t>VÄSTERNORRLANDS LÄN</t>
        </is>
      </c>
      <c r="E15250" t="inlineStr">
        <is>
          <t>KRAMFORS</t>
        </is>
      </c>
      <c r="F15250" t="inlineStr">
        <is>
          <t>SCA</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43872-2024</t>
        </is>
      </c>
      <c r="B15251" s="1" t="n">
        <v>45572</v>
      </c>
      <c r="C15251" s="1" t="n">
        <v>45657</v>
      </c>
      <c r="D15251" t="inlineStr">
        <is>
          <t>VÄSTERNORRLANDS LÄN</t>
        </is>
      </c>
      <c r="E15251" t="inlineStr">
        <is>
          <t>KRAMFORS</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43833-2024</t>
        </is>
      </c>
      <c r="B15252" s="1" t="n">
        <v>45572</v>
      </c>
      <c r="C15252" s="1" t="n">
        <v>45657</v>
      </c>
      <c r="D15252" t="inlineStr">
        <is>
          <t>VÄSTERNORRLANDS LÄN</t>
        </is>
      </c>
      <c r="E15252" t="inlineStr">
        <is>
          <t>KRAMFORS</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43845-2024</t>
        </is>
      </c>
      <c r="B15253" s="1" t="n">
        <v>45572</v>
      </c>
      <c r="C15253" s="1" t="n">
        <v>45657</v>
      </c>
      <c r="D15253" t="inlineStr">
        <is>
          <t>VÄSTERNORRLANDS LÄN</t>
        </is>
      </c>
      <c r="E15253" t="inlineStr">
        <is>
          <t>SOLLEFTEÅ</t>
        </is>
      </c>
      <c r="F15253" t="inlineStr">
        <is>
          <t>SCA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44011-2024</t>
        </is>
      </c>
      <c r="B15254" s="1" t="n">
        <v>45572</v>
      </c>
      <c r="C15254" s="1" t="n">
        <v>45657</v>
      </c>
      <c r="D15254" t="inlineStr">
        <is>
          <t>VÄSTERNORRLANDS LÄN</t>
        </is>
      </c>
      <c r="E15254" t="inlineStr">
        <is>
          <t>TIMRÅ</t>
        </is>
      </c>
      <c r="G15254" t="n">
        <v>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44035-2024</t>
        </is>
      </c>
      <c r="B15255" s="1" t="n">
        <v>45572</v>
      </c>
      <c r="C15255" s="1" t="n">
        <v>45657</v>
      </c>
      <c r="D15255" t="inlineStr">
        <is>
          <t>VÄSTERNORRLANDS LÄN</t>
        </is>
      </c>
      <c r="E15255" t="inlineStr">
        <is>
          <t>SUNDSVALL</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44080-2024</t>
        </is>
      </c>
      <c r="B15256" s="1" t="n">
        <v>45572</v>
      </c>
      <c r="C15256" s="1" t="n">
        <v>45657</v>
      </c>
      <c r="D15256" t="inlineStr">
        <is>
          <t>VÄSTERNORRLANDS LÄN</t>
        </is>
      </c>
      <c r="E15256" t="inlineStr">
        <is>
          <t>SUNDSVALL</t>
        </is>
      </c>
      <c r="F15256" t="inlineStr">
        <is>
          <t>SCA</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44159-2024</t>
        </is>
      </c>
      <c r="B15257" s="1" t="n">
        <v>45572</v>
      </c>
      <c r="C15257" s="1" t="n">
        <v>45657</v>
      </c>
      <c r="D15257" t="inlineStr">
        <is>
          <t>VÄSTERNORRLANDS LÄN</t>
        </is>
      </c>
      <c r="E15257" t="inlineStr">
        <is>
          <t>ÖRNSKÖLDSVIK</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43835-2024</t>
        </is>
      </c>
      <c r="B15258" s="1" t="n">
        <v>45572</v>
      </c>
      <c r="C15258" s="1" t="n">
        <v>45657</v>
      </c>
      <c r="D15258" t="inlineStr">
        <is>
          <t>VÄSTERNORRLANDS LÄN</t>
        </is>
      </c>
      <c r="E15258" t="inlineStr">
        <is>
          <t>KRAMFORS</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43843-2024</t>
        </is>
      </c>
      <c r="B15259" s="1" t="n">
        <v>45572</v>
      </c>
      <c r="C15259" s="1" t="n">
        <v>45657</v>
      </c>
      <c r="D15259" t="inlineStr">
        <is>
          <t>VÄSTERNORRLANDS LÄN</t>
        </is>
      </c>
      <c r="E15259" t="inlineStr">
        <is>
          <t>SOLLEFTEÅ</t>
        </is>
      </c>
      <c r="F15259" t="inlineStr">
        <is>
          <t>SCA</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44187-2024</t>
        </is>
      </c>
      <c r="B15260" s="1" t="n">
        <v>45573</v>
      </c>
      <c r="C15260" s="1" t="n">
        <v>45657</v>
      </c>
      <c r="D15260" t="inlineStr">
        <is>
          <t>VÄSTERNORRLANDS LÄN</t>
        </is>
      </c>
      <c r="E15260" t="inlineStr">
        <is>
          <t>SUNDSVALL</t>
        </is>
      </c>
      <c r="F15260" t="inlineStr">
        <is>
          <t>Kommuner</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44078-2024</t>
        </is>
      </c>
      <c r="B15261" s="1" t="n">
        <v>45572</v>
      </c>
      <c r="C15261" s="1" t="n">
        <v>45657</v>
      </c>
      <c r="D15261" t="inlineStr">
        <is>
          <t>VÄSTERNORRLANDS LÄN</t>
        </is>
      </c>
      <c r="E15261" t="inlineStr">
        <is>
          <t>SUNDSVALL</t>
        </is>
      </c>
      <c r="F15261" t="inlineStr">
        <is>
          <t>SCA</t>
        </is>
      </c>
      <c r="G15261" t="n">
        <v>6.4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43989-2024</t>
        </is>
      </c>
      <c r="B15262" s="1" t="n">
        <v>45572</v>
      </c>
      <c r="C15262" s="1" t="n">
        <v>45657</v>
      </c>
      <c r="D15262" t="inlineStr">
        <is>
          <t>VÄSTERNORRLANDS LÄN</t>
        </is>
      </c>
      <c r="E15262" t="inlineStr">
        <is>
          <t>KRAMFORS</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44119-2024</t>
        </is>
      </c>
      <c r="B15263" s="1" t="n">
        <v>45572</v>
      </c>
      <c r="C15263" s="1" t="n">
        <v>45657</v>
      </c>
      <c r="D15263" t="inlineStr">
        <is>
          <t>VÄSTERNORRLANDS LÄN</t>
        </is>
      </c>
      <c r="E15263" t="inlineStr">
        <is>
          <t>ÖRNSKÖLDSVIK</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43891-2024</t>
        </is>
      </c>
      <c r="B15264" s="1" t="n">
        <v>45572</v>
      </c>
      <c r="C15264" s="1" t="n">
        <v>45657</v>
      </c>
      <c r="D15264" t="inlineStr">
        <is>
          <t>VÄSTERNORRLANDS LÄN</t>
        </is>
      </c>
      <c r="E15264" t="inlineStr">
        <is>
          <t>ÖRNSKÖLDSVIK</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43887-2024</t>
        </is>
      </c>
      <c r="B15265" s="1" t="n">
        <v>45572</v>
      </c>
      <c r="C15265" s="1" t="n">
        <v>45657</v>
      </c>
      <c r="D15265" t="inlineStr">
        <is>
          <t>VÄSTERNORRLANDS LÄN</t>
        </is>
      </c>
      <c r="E15265" t="inlineStr">
        <is>
          <t>ÖRNSKÖLDSVIK</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43842-2024</t>
        </is>
      </c>
      <c r="B15266" s="1" t="n">
        <v>45572</v>
      </c>
      <c r="C15266" s="1" t="n">
        <v>45657</v>
      </c>
      <c r="D15266" t="inlineStr">
        <is>
          <t>VÄSTERNORRLANDS LÄN</t>
        </is>
      </c>
      <c r="E15266" t="inlineStr">
        <is>
          <t>ÅNGE</t>
        </is>
      </c>
      <c r="F15266" t="inlineStr">
        <is>
          <t>SCA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44098-2024</t>
        </is>
      </c>
      <c r="B15267" s="1" t="n">
        <v>45572</v>
      </c>
      <c r="C15267" s="1" t="n">
        <v>45657</v>
      </c>
      <c r="D15267" t="inlineStr">
        <is>
          <t>VÄSTERNORRLANDS LÄN</t>
        </is>
      </c>
      <c r="E15267" t="inlineStr">
        <is>
          <t>SUNDSVALL</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44118-2024</t>
        </is>
      </c>
      <c r="B15268" s="1" t="n">
        <v>45572</v>
      </c>
      <c r="C15268" s="1" t="n">
        <v>45657</v>
      </c>
      <c r="D15268" t="inlineStr">
        <is>
          <t>VÄSTERNORRLANDS LÄN</t>
        </is>
      </c>
      <c r="E15268" t="inlineStr">
        <is>
          <t>ÖRNSKÖLDSVIK</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44160-2024</t>
        </is>
      </c>
      <c r="B15269" s="1" t="n">
        <v>45572</v>
      </c>
      <c r="C15269" s="1" t="n">
        <v>45657</v>
      </c>
      <c r="D15269" t="inlineStr">
        <is>
          <t>VÄSTERNORRLANDS LÄN</t>
        </is>
      </c>
      <c r="E15269" t="inlineStr">
        <is>
          <t>ÖRNSKÖLDSVIK</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43897-2024</t>
        </is>
      </c>
      <c r="B15270" s="1" t="n">
        <v>45572</v>
      </c>
      <c r="C15270" s="1" t="n">
        <v>45657</v>
      </c>
      <c r="D15270" t="inlineStr">
        <is>
          <t>VÄSTERNORRLANDS LÄN</t>
        </is>
      </c>
      <c r="E15270" t="inlineStr">
        <is>
          <t>KRAMFORS</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44172-2024</t>
        </is>
      </c>
      <c r="B15271" s="1" t="n">
        <v>45572</v>
      </c>
      <c r="C15271" s="1" t="n">
        <v>45657</v>
      </c>
      <c r="D15271" t="inlineStr">
        <is>
          <t>VÄSTERNORRLANDS LÄN</t>
        </is>
      </c>
      <c r="E15271" t="inlineStr">
        <is>
          <t>SOLLEFTEÅ</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43906-2024</t>
        </is>
      </c>
      <c r="B15272" s="1" t="n">
        <v>45572</v>
      </c>
      <c r="C15272" s="1" t="n">
        <v>45657</v>
      </c>
      <c r="D15272" t="inlineStr">
        <is>
          <t>VÄSTERNORRLANDS LÄN</t>
        </is>
      </c>
      <c r="E15272" t="inlineStr">
        <is>
          <t>ÖRNSKÖLDSVIK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44030-2024</t>
        </is>
      </c>
      <c r="B15273" s="1" t="n">
        <v>45572</v>
      </c>
      <c r="C15273" s="1" t="n">
        <v>45657</v>
      </c>
      <c r="D15273" t="inlineStr">
        <is>
          <t>VÄSTERNORRLANDS LÄN</t>
        </is>
      </c>
      <c r="E15273" t="inlineStr">
        <is>
          <t>TIMRÅ</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44158-2024</t>
        </is>
      </c>
      <c r="B15274" s="1" t="n">
        <v>45572</v>
      </c>
      <c r="C15274" s="1" t="n">
        <v>45657</v>
      </c>
      <c r="D15274" t="inlineStr">
        <is>
          <t>VÄSTERNORRLANDS LÄN</t>
        </is>
      </c>
      <c r="E15274" t="inlineStr">
        <is>
          <t>ÅNGE</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44389-2024</t>
        </is>
      </c>
      <c r="B15275" s="1" t="n">
        <v>45573</v>
      </c>
      <c r="C15275" s="1" t="n">
        <v>45657</v>
      </c>
      <c r="D15275" t="inlineStr">
        <is>
          <t>VÄSTERNORRLANDS LÄN</t>
        </is>
      </c>
      <c r="E15275" t="inlineStr">
        <is>
          <t>ÅNGE</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44380-2024</t>
        </is>
      </c>
      <c r="B15276" s="1" t="n">
        <v>45573</v>
      </c>
      <c r="C15276" s="1" t="n">
        <v>45657</v>
      </c>
      <c r="D15276" t="inlineStr">
        <is>
          <t>VÄSTERNORRLANDS LÄN</t>
        </is>
      </c>
      <c r="E15276" t="inlineStr">
        <is>
          <t>ÖRNSKÖLDSVIK</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44250-2024</t>
        </is>
      </c>
      <c r="B15277" s="1" t="n">
        <v>45573</v>
      </c>
      <c r="C15277" s="1" t="n">
        <v>45657</v>
      </c>
      <c r="D15277" t="inlineStr">
        <is>
          <t>VÄSTERNORRLANDS LÄN</t>
        </is>
      </c>
      <c r="E15277" t="inlineStr">
        <is>
          <t>ÖRNSKÖLDSVIK</t>
        </is>
      </c>
      <c r="F15277" t="inlineStr">
        <is>
          <t>Holmen skog AB</t>
        </is>
      </c>
      <c r="G15277" t="n">
        <v>6.2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44262-2024</t>
        </is>
      </c>
      <c r="B15278" s="1" t="n">
        <v>45573</v>
      </c>
      <c r="C15278" s="1" t="n">
        <v>45657</v>
      </c>
      <c r="D15278" t="inlineStr">
        <is>
          <t>VÄSTERNORRLANDS LÄN</t>
        </is>
      </c>
      <c r="E15278" t="inlineStr">
        <is>
          <t>KRAMFORS</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44201-2024</t>
        </is>
      </c>
      <c r="B15279" s="1" t="n">
        <v>45573</v>
      </c>
      <c r="C15279" s="1" t="n">
        <v>45657</v>
      </c>
      <c r="D15279" t="inlineStr">
        <is>
          <t>VÄSTERNORRLANDS LÄN</t>
        </is>
      </c>
      <c r="E15279" t="inlineStr">
        <is>
          <t>SOLLEFTEÅ</t>
        </is>
      </c>
      <c r="F15279" t="inlineStr">
        <is>
          <t>SCA</t>
        </is>
      </c>
      <c r="G15279" t="n">
        <v>3.6</v>
      </c>
      <c r="H15279" t="n">
        <v>0</v>
      </c>
      <c r="I15279" t="n">
        <v>0</v>
      </c>
      <c r="J15279" t="n">
        <v>0</v>
      </c>
      <c r="K15279" t="n">
        <v>0</v>
      </c>
      <c r="L15279" t="n">
        <v>0</v>
      </c>
      <c r="M15279" t="n">
        <v>0</v>
      </c>
      <c r="N15279" t="n">
        <v>0</v>
      </c>
      <c r="O15279" t="n">
        <v>0</v>
      </c>
      <c r="P15279" t="n">
        <v>0</v>
      </c>
      <c r="Q15279" t="n">
        <v>0</v>
      </c>
      <c r="R15279" s="2" t="inlineStr"/>
      <c r="U15279">
        <f>HYPERLINK("https://klasma.github.io/Logging_2283/knärot/A 44201-2024 karta knärot.png", "A 44201-2024")</f>
        <v/>
      </c>
      <c r="V15279">
        <f>HYPERLINK("https://klasma.github.io/Logging_2283/klagomål/A 44201-2024 FSC-klagomål.docx", "A 44201-2024")</f>
        <v/>
      </c>
      <c r="W15279">
        <f>HYPERLINK("https://klasma.github.io/Logging_2283/klagomålsmail/A 44201-2024 FSC-klagomål mail.docx", "A 44201-2024")</f>
        <v/>
      </c>
      <c r="X15279">
        <f>HYPERLINK("https://klasma.github.io/Logging_2283/tillsyn/A 44201-2024 tillsynsbegäran.docx", "A 44201-2024")</f>
        <v/>
      </c>
      <c r="Y15279">
        <f>HYPERLINK("https://klasma.github.io/Logging_2283/tillsynsmail/A 44201-2024 tillsynsbegäran mail.docx", "A 44201-2024")</f>
        <v/>
      </c>
    </row>
    <row r="15280" ht="15" customHeight="1">
      <c r="A15280" t="inlineStr">
        <is>
          <t>A 44299-2024</t>
        </is>
      </c>
      <c r="B15280" s="1" t="n">
        <v>45573</v>
      </c>
      <c r="C15280" s="1" t="n">
        <v>45657</v>
      </c>
      <c r="D15280" t="inlineStr">
        <is>
          <t>VÄSTERNORRLANDS LÄN</t>
        </is>
      </c>
      <c r="E15280" t="inlineStr">
        <is>
          <t>SOLLEFTEÅ</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44307-2024</t>
        </is>
      </c>
      <c r="B15281" s="1" t="n">
        <v>45573</v>
      </c>
      <c r="C15281" s="1" t="n">
        <v>45657</v>
      </c>
      <c r="D15281" t="inlineStr">
        <is>
          <t>VÄSTERNORRLANDS LÄN</t>
        </is>
      </c>
      <c r="E15281" t="inlineStr">
        <is>
          <t>ÖRNSKÖLDSVIK</t>
        </is>
      </c>
      <c r="F15281" t="inlineStr">
        <is>
          <t>Holmen skog AB</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44316-2024</t>
        </is>
      </c>
      <c r="B15282" s="1" t="n">
        <v>45573</v>
      </c>
      <c r="C15282" s="1" t="n">
        <v>45657</v>
      </c>
      <c r="D15282" t="inlineStr">
        <is>
          <t>VÄSTERNORRLANDS LÄN</t>
        </is>
      </c>
      <c r="E15282" t="inlineStr">
        <is>
          <t>ÖRNSKÖLDSVIK</t>
        </is>
      </c>
      <c r="F15282" t="inlineStr">
        <is>
          <t>Holmen skog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44320-2024</t>
        </is>
      </c>
      <c r="B15283" s="1" t="n">
        <v>45573</v>
      </c>
      <c r="C15283" s="1" t="n">
        <v>45657</v>
      </c>
      <c r="D15283" t="inlineStr">
        <is>
          <t>VÄSTERNORRLANDS LÄN</t>
        </is>
      </c>
      <c r="E15283" t="inlineStr">
        <is>
          <t>SOLLEFTEÅ</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44202-2024</t>
        </is>
      </c>
      <c r="B15284" s="1" t="n">
        <v>45573</v>
      </c>
      <c r="C15284" s="1" t="n">
        <v>45657</v>
      </c>
      <c r="D15284" t="inlineStr">
        <is>
          <t>VÄSTERNORRLANDS LÄN</t>
        </is>
      </c>
      <c r="E15284" t="inlineStr">
        <is>
          <t>SOLLEFTEÅ</t>
        </is>
      </c>
      <c r="F15284" t="inlineStr">
        <is>
          <t>SCA</t>
        </is>
      </c>
      <c r="G15284" t="n">
        <v>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44329-2024</t>
        </is>
      </c>
      <c r="B15285" s="1" t="n">
        <v>45573</v>
      </c>
      <c r="C15285" s="1" t="n">
        <v>45657</v>
      </c>
      <c r="D15285" t="inlineStr">
        <is>
          <t>VÄSTERNORRLANDS LÄN</t>
        </is>
      </c>
      <c r="E15285" t="inlineStr">
        <is>
          <t>ÖRNSKÖLDSVIK</t>
        </is>
      </c>
      <c r="F15285" t="inlineStr">
        <is>
          <t>Holmen skog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44345-2024</t>
        </is>
      </c>
      <c r="B15286" s="1" t="n">
        <v>45573</v>
      </c>
      <c r="C15286" s="1" t="n">
        <v>45657</v>
      </c>
      <c r="D15286" t="inlineStr">
        <is>
          <t>VÄSTERNORRLANDS LÄN</t>
        </is>
      </c>
      <c r="E15286" t="inlineStr">
        <is>
          <t>ÖRNSKÖLDSVIK</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44394-2024</t>
        </is>
      </c>
      <c r="B15287" s="1" t="n">
        <v>45573</v>
      </c>
      <c r="C15287" s="1" t="n">
        <v>45657</v>
      </c>
      <c r="D15287" t="inlineStr">
        <is>
          <t>VÄSTERNORRLANDS LÄN</t>
        </is>
      </c>
      <c r="E15287" t="inlineStr">
        <is>
          <t>KRAMFORS</t>
        </is>
      </c>
      <c r="G15287" t="n">
        <v>10.3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44386-2024</t>
        </is>
      </c>
      <c r="B15288" s="1" t="n">
        <v>45573</v>
      </c>
      <c r="C15288" s="1" t="n">
        <v>45657</v>
      </c>
      <c r="D15288" t="inlineStr">
        <is>
          <t>VÄSTERNORRLANDS LÄN</t>
        </is>
      </c>
      <c r="E15288" t="inlineStr">
        <is>
          <t>ÅNGE</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44219-2024</t>
        </is>
      </c>
      <c r="B15289" s="1" t="n">
        <v>45573</v>
      </c>
      <c r="C15289" s="1" t="n">
        <v>45657</v>
      </c>
      <c r="D15289" t="inlineStr">
        <is>
          <t>VÄSTERNORRLANDS LÄN</t>
        </is>
      </c>
      <c r="E15289" t="inlineStr">
        <is>
          <t>ÖRNSKÖLDSVIK</t>
        </is>
      </c>
      <c r="F15289" t="inlineStr">
        <is>
          <t>Holmen skog AB</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44264-2024</t>
        </is>
      </c>
      <c r="B15290" s="1" t="n">
        <v>45573</v>
      </c>
      <c r="C15290" s="1" t="n">
        <v>45657</v>
      </c>
      <c r="D15290" t="inlineStr">
        <is>
          <t>VÄSTERNORRLANDS LÄN</t>
        </is>
      </c>
      <c r="E15290" t="inlineStr">
        <is>
          <t>KRAMFORS</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44343-2024</t>
        </is>
      </c>
      <c r="B15291" s="1" t="n">
        <v>45573</v>
      </c>
      <c r="C15291" s="1" t="n">
        <v>45657</v>
      </c>
      <c r="D15291" t="inlineStr">
        <is>
          <t>VÄSTERNORRLANDS LÄN</t>
        </is>
      </c>
      <c r="E15291" t="inlineStr">
        <is>
          <t>ÖRNSKÖLDSVIK</t>
        </is>
      </c>
      <c r="G15291" t="n">
        <v>9.1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44323-2024</t>
        </is>
      </c>
      <c r="B15292" s="1" t="n">
        <v>45573</v>
      </c>
      <c r="C15292" s="1" t="n">
        <v>45657</v>
      </c>
      <c r="D15292" t="inlineStr">
        <is>
          <t>VÄSTERNORRLANDS LÄN</t>
        </is>
      </c>
      <c r="E15292" t="inlineStr">
        <is>
          <t>SOLLEFTEÅ</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44302-2024</t>
        </is>
      </c>
      <c r="B15293" s="1" t="n">
        <v>45573</v>
      </c>
      <c r="C15293" s="1" t="n">
        <v>45657</v>
      </c>
      <c r="D15293" t="inlineStr">
        <is>
          <t>VÄSTERNORRLANDS LÄN</t>
        </is>
      </c>
      <c r="E15293" t="inlineStr">
        <is>
          <t>SOLLEFTEÅ</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44298-2024</t>
        </is>
      </c>
      <c r="B15294" s="1" t="n">
        <v>45573</v>
      </c>
      <c r="C15294" s="1" t="n">
        <v>45657</v>
      </c>
      <c r="D15294" t="inlineStr">
        <is>
          <t>VÄSTERNORRLANDS LÄN</t>
        </is>
      </c>
      <c r="E15294" t="inlineStr">
        <is>
          <t>SOLLEFTEÅ</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44294-2024</t>
        </is>
      </c>
      <c r="B15295" s="1" t="n">
        <v>45573</v>
      </c>
      <c r="C15295" s="1" t="n">
        <v>45657</v>
      </c>
      <c r="D15295" t="inlineStr">
        <is>
          <t>VÄSTERNORRLANDS LÄN</t>
        </is>
      </c>
      <c r="E15295" t="inlineStr">
        <is>
          <t>SOLLEFTEÅ</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44200-2024</t>
        </is>
      </c>
      <c r="B15296" s="1" t="n">
        <v>45573</v>
      </c>
      <c r="C15296" s="1" t="n">
        <v>45657</v>
      </c>
      <c r="D15296" t="inlineStr">
        <is>
          <t>VÄSTERNORRLANDS LÄN</t>
        </is>
      </c>
      <c r="E15296" t="inlineStr">
        <is>
          <t>SOLLEFTEÅ</t>
        </is>
      </c>
      <c r="F15296" t="inlineStr">
        <is>
          <t>SCA</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44459-2024</t>
        </is>
      </c>
      <c r="B15297" s="1" t="n">
        <v>45574</v>
      </c>
      <c r="C15297" s="1" t="n">
        <v>45657</v>
      </c>
      <c r="D15297" t="inlineStr">
        <is>
          <t>VÄSTERNORRLANDS LÄN</t>
        </is>
      </c>
      <c r="E15297" t="inlineStr">
        <is>
          <t>HÄRNÖSAND</t>
        </is>
      </c>
      <c r="G15297" t="n">
        <v>9.5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44512-2024</t>
        </is>
      </c>
      <c r="B15298" s="1" t="n">
        <v>45574</v>
      </c>
      <c r="C15298" s="1" t="n">
        <v>45657</v>
      </c>
      <c r="D15298" t="inlineStr">
        <is>
          <t>VÄSTERNORRLANDS LÄN</t>
        </is>
      </c>
      <c r="E15298" t="inlineStr">
        <is>
          <t>ÅNGE</t>
        </is>
      </c>
      <c r="G15298" t="n">
        <v>9.6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44545-2024</t>
        </is>
      </c>
      <c r="B15299" s="1" t="n">
        <v>45574</v>
      </c>
      <c r="C15299" s="1" t="n">
        <v>45657</v>
      </c>
      <c r="D15299" t="inlineStr">
        <is>
          <t>VÄSTERNORRLANDS LÄN</t>
        </is>
      </c>
      <c r="E15299" t="inlineStr">
        <is>
          <t>SUNDSVALL</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44554-2024</t>
        </is>
      </c>
      <c r="B15300" s="1" t="n">
        <v>45574</v>
      </c>
      <c r="C15300" s="1" t="n">
        <v>45657</v>
      </c>
      <c r="D15300" t="inlineStr">
        <is>
          <t>VÄSTERNORRLANDS LÄN</t>
        </is>
      </c>
      <c r="E15300" t="inlineStr">
        <is>
          <t>SOLLEFTEÅ</t>
        </is>
      </c>
      <c r="F15300" t="inlineStr">
        <is>
          <t>SCA</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44460-2024</t>
        </is>
      </c>
      <c r="B15301" s="1" t="n">
        <v>45574</v>
      </c>
      <c r="C15301" s="1" t="n">
        <v>45657</v>
      </c>
      <c r="D15301" t="inlineStr">
        <is>
          <t>VÄSTERNORRLANDS LÄN</t>
        </is>
      </c>
      <c r="E15301" t="inlineStr">
        <is>
          <t>KRAMFORS</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44591-2024</t>
        </is>
      </c>
      <c r="B15302" s="1" t="n">
        <v>45574</v>
      </c>
      <c r="C15302" s="1" t="n">
        <v>45657</v>
      </c>
      <c r="D15302" t="inlineStr">
        <is>
          <t>VÄSTERNORRLANDS LÄN</t>
        </is>
      </c>
      <c r="E15302" t="inlineStr">
        <is>
          <t>SOLLEFTEÅ</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44611-2024</t>
        </is>
      </c>
      <c r="B15303" s="1" t="n">
        <v>45574</v>
      </c>
      <c r="C15303" s="1" t="n">
        <v>45657</v>
      </c>
      <c r="D15303" t="inlineStr">
        <is>
          <t>VÄSTERNORRLANDS LÄN</t>
        </is>
      </c>
      <c r="E15303" t="inlineStr">
        <is>
          <t>ÅNGE</t>
        </is>
      </c>
      <c r="F15303" t="inlineStr">
        <is>
          <t>SCA</t>
        </is>
      </c>
      <c r="G15303" t="n">
        <v>8.6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44627-2024</t>
        </is>
      </c>
      <c r="B15304" s="1" t="n">
        <v>45574</v>
      </c>
      <c r="C15304" s="1" t="n">
        <v>45657</v>
      </c>
      <c r="D15304" t="inlineStr">
        <is>
          <t>VÄSTERNORRLANDS LÄN</t>
        </is>
      </c>
      <c r="E15304" t="inlineStr">
        <is>
          <t>SOLLEFTEÅ</t>
        </is>
      </c>
      <c r="F15304" t="inlineStr">
        <is>
          <t>SCA</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44636-2024</t>
        </is>
      </c>
      <c r="B15305" s="1" t="n">
        <v>45574</v>
      </c>
      <c r="C15305" s="1" t="n">
        <v>45657</v>
      </c>
      <c r="D15305" t="inlineStr">
        <is>
          <t>VÄSTERNORRLANDS LÄN</t>
        </is>
      </c>
      <c r="E15305" t="inlineStr">
        <is>
          <t>ÅNGE</t>
        </is>
      </c>
      <c r="F15305" t="inlineStr">
        <is>
          <t>SCA</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44640-2024</t>
        </is>
      </c>
      <c r="B15306" s="1" t="n">
        <v>45574</v>
      </c>
      <c r="C15306" s="1" t="n">
        <v>45657</v>
      </c>
      <c r="D15306" t="inlineStr">
        <is>
          <t>VÄSTERNORRLANDS LÄN</t>
        </is>
      </c>
      <c r="E15306" t="inlineStr">
        <is>
          <t>SOLLEFTEÅ</t>
        </is>
      </c>
      <c r="F15306" t="inlineStr">
        <is>
          <t>SCA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44578-2024</t>
        </is>
      </c>
      <c r="B15307" s="1" t="n">
        <v>45574</v>
      </c>
      <c r="C15307" s="1" t="n">
        <v>45657</v>
      </c>
      <c r="D15307" t="inlineStr">
        <is>
          <t>VÄSTERNORRLANDS LÄN</t>
        </is>
      </c>
      <c r="E15307" t="inlineStr">
        <is>
          <t>SUNDSVALL</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44590-2024</t>
        </is>
      </c>
      <c r="B15308" s="1" t="n">
        <v>45574</v>
      </c>
      <c r="C15308" s="1" t="n">
        <v>45657</v>
      </c>
      <c r="D15308" t="inlineStr">
        <is>
          <t>VÄSTERNORRLANDS LÄN</t>
        </is>
      </c>
      <c r="E15308" t="inlineStr">
        <is>
          <t>HÄRNÖSAND</t>
        </is>
      </c>
      <c r="G15308" t="n">
        <v>11.9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44602-2024</t>
        </is>
      </c>
      <c r="B15309" s="1" t="n">
        <v>45574</v>
      </c>
      <c r="C15309" s="1" t="n">
        <v>45657</v>
      </c>
      <c r="D15309" t="inlineStr">
        <is>
          <t>VÄSTERNORRLANDS LÄN</t>
        </is>
      </c>
      <c r="E15309" t="inlineStr">
        <is>
          <t>SUNDSVALL</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44606-2024</t>
        </is>
      </c>
      <c r="B15310" s="1" t="n">
        <v>45574</v>
      </c>
      <c r="C15310" s="1" t="n">
        <v>45657</v>
      </c>
      <c r="D15310" t="inlineStr">
        <is>
          <t>VÄSTERNORRLANDS LÄN</t>
        </is>
      </c>
      <c r="E15310" t="inlineStr">
        <is>
          <t>ÅNGE</t>
        </is>
      </c>
      <c r="F15310" t="inlineStr">
        <is>
          <t>SCA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44610-2024</t>
        </is>
      </c>
      <c r="B15311" s="1" t="n">
        <v>45574</v>
      </c>
      <c r="C15311" s="1" t="n">
        <v>45657</v>
      </c>
      <c r="D15311" t="inlineStr">
        <is>
          <t>VÄSTERNORRLANDS LÄN</t>
        </is>
      </c>
      <c r="E15311" t="inlineStr">
        <is>
          <t>SUNDSVALL</t>
        </is>
      </c>
      <c r="F15311" t="inlineStr">
        <is>
          <t>SCA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44614-2024</t>
        </is>
      </c>
      <c r="B15312" s="1" t="n">
        <v>45574</v>
      </c>
      <c r="C15312" s="1" t="n">
        <v>45657</v>
      </c>
      <c r="D15312" t="inlineStr">
        <is>
          <t>VÄSTERNORRLANDS LÄN</t>
        </is>
      </c>
      <c r="E15312" t="inlineStr">
        <is>
          <t>SOLLEFTEÅ</t>
        </is>
      </c>
      <c r="F15312" t="inlineStr">
        <is>
          <t>SCA</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44626-2024</t>
        </is>
      </c>
      <c r="B15313" s="1" t="n">
        <v>45574</v>
      </c>
      <c r="C15313" s="1" t="n">
        <v>45657</v>
      </c>
      <c r="D15313" t="inlineStr">
        <is>
          <t>VÄSTERNORRLANDS LÄN</t>
        </is>
      </c>
      <c r="E15313" t="inlineStr">
        <is>
          <t>ÅNGE</t>
        </is>
      </c>
      <c r="F15313" t="inlineStr">
        <is>
          <t>SCA</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44631-2024</t>
        </is>
      </c>
      <c r="B15314" s="1" t="n">
        <v>45574</v>
      </c>
      <c r="C15314" s="1" t="n">
        <v>45657</v>
      </c>
      <c r="D15314" t="inlineStr">
        <is>
          <t>VÄSTERNORRLANDS LÄN</t>
        </is>
      </c>
      <c r="E15314" t="inlineStr">
        <is>
          <t>ÖRNSKÖLDSVIK</t>
        </is>
      </c>
      <c r="F15314" t="inlineStr">
        <is>
          <t>SCA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44635-2024</t>
        </is>
      </c>
      <c r="B15315" s="1" t="n">
        <v>45574</v>
      </c>
      <c r="C15315" s="1" t="n">
        <v>45657</v>
      </c>
      <c r="D15315" t="inlineStr">
        <is>
          <t>VÄSTERNORRLANDS LÄN</t>
        </is>
      </c>
      <c r="E15315" t="inlineStr">
        <is>
          <t>ÅNGE</t>
        </is>
      </c>
      <c r="F15315" t="inlineStr">
        <is>
          <t>SCA</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44639-2024</t>
        </is>
      </c>
      <c r="B15316" s="1" t="n">
        <v>45574</v>
      </c>
      <c r="C15316" s="1" t="n">
        <v>45657</v>
      </c>
      <c r="D15316" t="inlineStr">
        <is>
          <t>VÄSTERNORRLANDS LÄN</t>
        </is>
      </c>
      <c r="E15316" t="inlineStr">
        <is>
          <t>SOLLEFTEÅ</t>
        </is>
      </c>
      <c r="F15316" t="inlineStr">
        <is>
          <t>SCA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44664-2024</t>
        </is>
      </c>
      <c r="B15317" s="1" t="n">
        <v>45574</v>
      </c>
      <c r="C15317" s="1" t="n">
        <v>45657</v>
      </c>
      <c r="D15317" t="inlineStr">
        <is>
          <t>VÄSTERNORRLANDS LÄN</t>
        </is>
      </c>
      <c r="E15317" t="inlineStr">
        <is>
          <t>TIMRÅ</t>
        </is>
      </c>
      <c r="F15317" t="inlineStr">
        <is>
          <t>SCA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44661-2024</t>
        </is>
      </c>
      <c r="B15318" s="1" t="n">
        <v>45574</v>
      </c>
      <c r="C15318" s="1" t="n">
        <v>45657</v>
      </c>
      <c r="D15318" t="inlineStr">
        <is>
          <t>VÄSTERNORRLANDS LÄN</t>
        </is>
      </c>
      <c r="E15318" t="inlineStr">
        <is>
          <t>SOLLEFTEÅ</t>
        </is>
      </c>
      <c r="F15318" t="inlineStr">
        <is>
          <t>SCA</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44462-2024</t>
        </is>
      </c>
      <c r="B15319" s="1" t="n">
        <v>45574</v>
      </c>
      <c r="C15319" s="1" t="n">
        <v>45657</v>
      </c>
      <c r="D15319" t="inlineStr">
        <is>
          <t>VÄSTERNORRLANDS LÄN</t>
        </is>
      </c>
      <c r="E15319" t="inlineStr">
        <is>
          <t>HÄRNÖSAND</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44730-2024</t>
        </is>
      </c>
      <c r="B15320" s="1" t="n">
        <v>45574</v>
      </c>
      <c r="C15320" s="1" t="n">
        <v>45657</v>
      </c>
      <c r="D15320" t="inlineStr">
        <is>
          <t>VÄSTERNORRLANDS LÄN</t>
        </is>
      </c>
      <c r="E15320" t="inlineStr">
        <is>
          <t>SUNDSVALL</t>
        </is>
      </c>
      <c r="G15320" t="n">
        <v>9.199999999999999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44557-2024</t>
        </is>
      </c>
      <c r="B15321" s="1" t="n">
        <v>45574</v>
      </c>
      <c r="C15321" s="1" t="n">
        <v>45657</v>
      </c>
      <c r="D15321" t="inlineStr">
        <is>
          <t>VÄSTERNORRLANDS LÄN</t>
        </is>
      </c>
      <c r="E15321" t="inlineStr">
        <is>
          <t>SUNDSVALL</t>
        </is>
      </c>
      <c r="F15321" t="inlineStr">
        <is>
          <t>SCA</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44565-2024</t>
        </is>
      </c>
      <c r="B15322" s="1" t="n">
        <v>45574</v>
      </c>
      <c r="C15322" s="1" t="n">
        <v>45657</v>
      </c>
      <c r="D15322" t="inlineStr">
        <is>
          <t>VÄSTERNORRLANDS LÄN</t>
        </is>
      </c>
      <c r="E15322" t="inlineStr">
        <is>
          <t>ÅNGE</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44758-2024</t>
        </is>
      </c>
      <c r="B15323" s="1" t="n">
        <v>45574</v>
      </c>
      <c r="C15323" s="1" t="n">
        <v>45657</v>
      </c>
      <c r="D15323" t="inlineStr">
        <is>
          <t>VÄSTERNORRLANDS LÄN</t>
        </is>
      </c>
      <c r="E15323" t="inlineStr">
        <is>
          <t>SUNDSVALL</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44782-2024</t>
        </is>
      </c>
      <c r="B15324" s="1" t="n">
        <v>45574</v>
      </c>
      <c r="C15324" s="1" t="n">
        <v>45657</v>
      </c>
      <c r="D15324" t="inlineStr">
        <is>
          <t>VÄSTERNORRLANDS LÄN</t>
        </is>
      </c>
      <c r="E15324" t="inlineStr">
        <is>
          <t>KRAMFORS</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44569-2024</t>
        </is>
      </c>
      <c r="B15325" s="1" t="n">
        <v>45574</v>
      </c>
      <c r="C15325" s="1" t="n">
        <v>45657</v>
      </c>
      <c r="D15325" t="inlineStr">
        <is>
          <t>VÄSTERNORRLANDS LÄN</t>
        </is>
      </c>
      <c r="E15325" t="inlineStr">
        <is>
          <t>SUNDSVALL</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44593-2024</t>
        </is>
      </c>
      <c r="B15326" s="1" t="n">
        <v>45574</v>
      </c>
      <c r="C15326" s="1" t="n">
        <v>45657</v>
      </c>
      <c r="D15326" t="inlineStr">
        <is>
          <t>VÄSTERNORRLANDS LÄN</t>
        </is>
      </c>
      <c r="E15326" t="inlineStr">
        <is>
          <t>SUNDSVALL</t>
        </is>
      </c>
      <c r="G15326" t="n">
        <v>4.3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44621-2024</t>
        </is>
      </c>
      <c r="B15327" s="1" t="n">
        <v>45574</v>
      </c>
      <c r="C15327" s="1" t="n">
        <v>45657</v>
      </c>
      <c r="D15327" t="inlineStr">
        <is>
          <t>VÄSTERNORRLANDS LÄN</t>
        </is>
      </c>
      <c r="E15327" t="inlineStr">
        <is>
          <t>SOLLEFTEÅ</t>
        </is>
      </c>
      <c r="F15327" t="inlineStr">
        <is>
          <t>SCA</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44663-2024</t>
        </is>
      </c>
      <c r="B15328" s="1" t="n">
        <v>45574</v>
      </c>
      <c r="C15328" s="1" t="n">
        <v>45657</v>
      </c>
      <c r="D15328" t="inlineStr">
        <is>
          <t>VÄSTERNORRLANDS LÄN</t>
        </is>
      </c>
      <c r="E15328" t="inlineStr">
        <is>
          <t>SUNDSVALL</t>
        </is>
      </c>
      <c r="F15328" t="inlineStr">
        <is>
          <t>SCA</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44461-2024</t>
        </is>
      </c>
      <c r="B15329" s="1" t="n">
        <v>45574</v>
      </c>
      <c r="C15329" s="1" t="n">
        <v>45657</v>
      </c>
      <c r="D15329" t="inlineStr">
        <is>
          <t>VÄSTERNORRLANDS LÄN</t>
        </is>
      </c>
      <c r="E15329" t="inlineStr">
        <is>
          <t>HÄRNÖSAND</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44518-2024</t>
        </is>
      </c>
      <c r="B15330" s="1" t="n">
        <v>45574</v>
      </c>
      <c r="C15330" s="1" t="n">
        <v>45657</v>
      </c>
      <c r="D15330" t="inlineStr">
        <is>
          <t>VÄSTERNORRLANDS LÄN</t>
        </is>
      </c>
      <c r="E15330" t="inlineStr">
        <is>
          <t>ÅNGE</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44552-2024</t>
        </is>
      </c>
      <c r="B15331" s="1" t="n">
        <v>45574</v>
      </c>
      <c r="C15331" s="1" t="n">
        <v>45657</v>
      </c>
      <c r="D15331" t="inlineStr">
        <is>
          <t>VÄSTERNORRLANDS LÄN</t>
        </is>
      </c>
      <c r="E15331" t="inlineStr">
        <is>
          <t>ÅNGE</t>
        </is>
      </c>
      <c r="F15331" t="inlineStr">
        <is>
          <t>SCA</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44568-2024</t>
        </is>
      </c>
      <c r="B15332" s="1" t="n">
        <v>45574</v>
      </c>
      <c r="C15332" s="1" t="n">
        <v>45657</v>
      </c>
      <c r="D15332" t="inlineStr">
        <is>
          <t>VÄSTERNORRLANDS LÄN</t>
        </is>
      </c>
      <c r="E15332" t="inlineStr">
        <is>
          <t>ÅNGE</t>
        </is>
      </c>
      <c r="F15332" t="inlineStr">
        <is>
          <t>SCA</t>
        </is>
      </c>
      <c r="G15332" t="n">
        <v>10.6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44600-2024</t>
        </is>
      </c>
      <c r="B15333" s="1" t="n">
        <v>45574</v>
      </c>
      <c r="C15333" s="1" t="n">
        <v>45657</v>
      </c>
      <c r="D15333" t="inlineStr">
        <is>
          <t>VÄSTERNORRLANDS LÄN</t>
        </is>
      </c>
      <c r="E15333" t="inlineStr">
        <is>
          <t>ÅNGE</t>
        </is>
      </c>
      <c r="F15333" t="inlineStr">
        <is>
          <t>SCA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44604-2024</t>
        </is>
      </c>
      <c r="B15334" s="1" t="n">
        <v>45574</v>
      </c>
      <c r="C15334" s="1" t="n">
        <v>45657</v>
      </c>
      <c r="D15334" t="inlineStr">
        <is>
          <t>VÄSTERNORRLANDS LÄN</t>
        </is>
      </c>
      <c r="E15334" t="inlineStr">
        <is>
          <t>ÅNGE</t>
        </is>
      </c>
      <c r="F15334" t="inlineStr">
        <is>
          <t>SCA</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44628-2024</t>
        </is>
      </c>
      <c r="B15335" s="1" t="n">
        <v>45574</v>
      </c>
      <c r="C15335" s="1" t="n">
        <v>45657</v>
      </c>
      <c r="D15335" t="inlineStr">
        <is>
          <t>VÄSTERNORRLANDS LÄN</t>
        </is>
      </c>
      <c r="E15335" t="inlineStr">
        <is>
          <t>HÄRNÖSAND</t>
        </is>
      </c>
      <c r="F15335" t="inlineStr">
        <is>
          <t>SCA</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44662-2024</t>
        </is>
      </c>
      <c r="B15336" s="1" t="n">
        <v>45574</v>
      </c>
      <c r="C15336" s="1" t="n">
        <v>45657</v>
      </c>
      <c r="D15336" t="inlineStr">
        <is>
          <t>VÄSTERNORRLANDS LÄN</t>
        </is>
      </c>
      <c r="E15336" t="inlineStr">
        <is>
          <t>SOLLEFTEÅ</t>
        </is>
      </c>
      <c r="F15336" t="inlineStr">
        <is>
          <t>SCA</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45100-2024</t>
        </is>
      </c>
      <c r="B15337" s="1" t="n">
        <v>45575</v>
      </c>
      <c r="C15337" s="1" t="n">
        <v>45657</v>
      </c>
      <c r="D15337" t="inlineStr">
        <is>
          <t>VÄSTERNORRLANDS LÄN</t>
        </is>
      </c>
      <c r="E15337" t="inlineStr">
        <is>
          <t>ÖRNSKÖLDSVIK</t>
        </is>
      </c>
      <c r="F15337" t="inlineStr">
        <is>
          <t>Holmen skog AB</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45125-2024</t>
        </is>
      </c>
      <c r="B15338" s="1" t="n">
        <v>45575</v>
      </c>
      <c r="C15338" s="1" t="n">
        <v>45657</v>
      </c>
      <c r="D15338" t="inlineStr">
        <is>
          <t>VÄSTERNORRLANDS LÄN</t>
        </is>
      </c>
      <c r="E15338" t="inlineStr">
        <is>
          <t>ÖRNSKÖLDSVIK</t>
        </is>
      </c>
      <c r="F15338" t="inlineStr">
        <is>
          <t>Holmen skog AB</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45142-2024</t>
        </is>
      </c>
      <c r="B15339" s="1" t="n">
        <v>45575</v>
      </c>
      <c r="C15339" s="1" t="n">
        <v>45657</v>
      </c>
      <c r="D15339" t="inlineStr">
        <is>
          <t>VÄSTERNORRLANDS LÄN</t>
        </is>
      </c>
      <c r="E15339" t="inlineStr">
        <is>
          <t>SOLLEFTEÅ</t>
        </is>
      </c>
      <c r="F15339" t="inlineStr">
        <is>
          <t>SCA</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45141-2024</t>
        </is>
      </c>
      <c r="B15340" s="1" t="n">
        <v>45575</v>
      </c>
      <c r="C15340" s="1" t="n">
        <v>45657</v>
      </c>
      <c r="D15340" t="inlineStr">
        <is>
          <t>VÄSTERNORRLANDS LÄN</t>
        </is>
      </c>
      <c r="E15340" t="inlineStr">
        <is>
          <t>SUNDSVALL</t>
        </is>
      </c>
      <c r="F15340" t="inlineStr">
        <is>
          <t>Kommuner</t>
        </is>
      </c>
      <c r="G15340" t="n">
        <v>6.2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45158-2024</t>
        </is>
      </c>
      <c r="B15341" s="1" t="n">
        <v>45575</v>
      </c>
      <c r="C15341" s="1" t="n">
        <v>45657</v>
      </c>
      <c r="D15341" t="inlineStr">
        <is>
          <t>VÄSTERNORRLANDS LÄN</t>
        </is>
      </c>
      <c r="E15341" t="inlineStr">
        <is>
          <t>SUNDSVALL</t>
        </is>
      </c>
      <c r="F15341" t="inlineStr">
        <is>
          <t>Kommuner</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45171-2024</t>
        </is>
      </c>
      <c r="B15342" s="1" t="n">
        <v>45575</v>
      </c>
      <c r="C15342" s="1" t="n">
        <v>45657</v>
      </c>
      <c r="D15342" t="inlineStr">
        <is>
          <t>VÄSTERNORRLANDS LÄN</t>
        </is>
      </c>
      <c r="E15342" t="inlineStr">
        <is>
          <t>SOLLEFTEÅ</t>
        </is>
      </c>
      <c r="F15342" t="inlineStr">
        <is>
          <t>SCA</t>
        </is>
      </c>
      <c r="G15342" t="n">
        <v>12.1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44907-2024</t>
        </is>
      </c>
      <c r="B15343" s="1" t="n">
        <v>45575</v>
      </c>
      <c r="C15343" s="1" t="n">
        <v>45657</v>
      </c>
      <c r="D15343" t="inlineStr">
        <is>
          <t>VÄSTERNORRLANDS LÄN</t>
        </is>
      </c>
      <c r="E15343" t="inlineStr">
        <is>
          <t>ÖRNSKÖLDSVIK</t>
        </is>
      </c>
      <c r="F15343" t="inlineStr">
        <is>
          <t>Holmen skog AB</t>
        </is>
      </c>
      <c r="G15343" t="n">
        <v>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45172-2024</t>
        </is>
      </c>
      <c r="B15344" s="1" t="n">
        <v>45575</v>
      </c>
      <c r="C15344" s="1" t="n">
        <v>45657</v>
      </c>
      <c r="D15344" t="inlineStr">
        <is>
          <t>VÄSTERNORRLANDS LÄN</t>
        </is>
      </c>
      <c r="E15344" t="inlineStr">
        <is>
          <t>SUNDSVALL</t>
        </is>
      </c>
      <c r="F15344" t="inlineStr">
        <is>
          <t>SCA</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44876-2024</t>
        </is>
      </c>
      <c r="B15345" s="1" t="n">
        <v>45575</v>
      </c>
      <c r="C15345" s="1" t="n">
        <v>45657</v>
      </c>
      <c r="D15345" t="inlineStr">
        <is>
          <t>VÄSTERNORRLANDS LÄN</t>
        </is>
      </c>
      <c r="E15345" t="inlineStr">
        <is>
          <t>ÅNGE</t>
        </is>
      </c>
      <c r="F15345" t="inlineStr">
        <is>
          <t>SCA</t>
        </is>
      </c>
      <c r="G15345" t="n">
        <v>12.4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45139-2024</t>
        </is>
      </c>
      <c r="B15346" s="1" t="n">
        <v>45575</v>
      </c>
      <c r="C15346" s="1" t="n">
        <v>45657</v>
      </c>
      <c r="D15346" t="inlineStr">
        <is>
          <t>VÄSTERNORRLANDS LÄN</t>
        </is>
      </c>
      <c r="E15346" t="inlineStr">
        <is>
          <t>ÖRNSKÖLDSVIK</t>
        </is>
      </c>
      <c r="G15346" t="n">
        <v>4.9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45030-2024</t>
        </is>
      </c>
      <c r="B15347" s="1" t="n">
        <v>45575</v>
      </c>
      <c r="C15347" s="1" t="n">
        <v>45657</v>
      </c>
      <c r="D15347" t="inlineStr">
        <is>
          <t>VÄSTERNORRLANDS LÄN</t>
        </is>
      </c>
      <c r="E15347" t="inlineStr">
        <is>
          <t>ÅNGE</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45174-2024</t>
        </is>
      </c>
      <c r="B15348" s="1" t="n">
        <v>45575</v>
      </c>
      <c r="C15348" s="1" t="n">
        <v>45657</v>
      </c>
      <c r="D15348" t="inlineStr">
        <is>
          <t>VÄSTERNORRLANDS LÄN</t>
        </is>
      </c>
      <c r="E15348" t="inlineStr">
        <is>
          <t>ÖRNSKÖLDSVIK</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45178-2024</t>
        </is>
      </c>
      <c r="B15349" s="1" t="n">
        <v>45575</v>
      </c>
      <c r="C15349" s="1" t="n">
        <v>45657</v>
      </c>
      <c r="D15349" t="inlineStr">
        <is>
          <t>VÄSTERNORRLANDS LÄN</t>
        </is>
      </c>
      <c r="E15349" t="inlineStr">
        <is>
          <t>ÖRNSKÖLDSVIK</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45215-2024</t>
        </is>
      </c>
      <c r="B15350" s="1" t="n">
        <v>45575</v>
      </c>
      <c r="C15350" s="1" t="n">
        <v>45657</v>
      </c>
      <c r="D15350" t="inlineStr">
        <is>
          <t>VÄSTERNORRLANDS LÄN</t>
        </is>
      </c>
      <c r="E15350" t="inlineStr">
        <is>
          <t>ÖRNSKÖLDSVIK</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44908-2024</t>
        </is>
      </c>
      <c r="B15351" s="1" t="n">
        <v>45575</v>
      </c>
      <c r="C15351" s="1" t="n">
        <v>45657</v>
      </c>
      <c r="D15351" t="inlineStr">
        <is>
          <t>VÄSTERNORRLANDS LÄN</t>
        </is>
      </c>
      <c r="E15351" t="inlineStr">
        <is>
          <t>SUNDSVALL</t>
        </is>
      </c>
      <c r="F15351" t="inlineStr">
        <is>
          <t>SCA</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44950-2024</t>
        </is>
      </c>
      <c r="B15352" s="1" t="n">
        <v>45575</v>
      </c>
      <c r="C15352" s="1" t="n">
        <v>45657</v>
      </c>
      <c r="D15352" t="inlineStr">
        <is>
          <t>VÄSTERNORRLANDS LÄN</t>
        </is>
      </c>
      <c r="E15352" t="inlineStr">
        <is>
          <t>SOLLEFTEÅ</t>
        </is>
      </c>
      <c r="G15352" t="n">
        <v>11.1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44922-2024</t>
        </is>
      </c>
      <c r="B15353" s="1" t="n">
        <v>45575</v>
      </c>
      <c r="C15353" s="1" t="n">
        <v>45657</v>
      </c>
      <c r="D15353" t="inlineStr">
        <is>
          <t>VÄSTERNORRLANDS LÄN</t>
        </is>
      </c>
      <c r="E15353" t="inlineStr">
        <is>
          <t>SUNDSVALL</t>
        </is>
      </c>
      <c r="F15353" t="inlineStr">
        <is>
          <t>SCA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44865-2024</t>
        </is>
      </c>
      <c r="B15354" s="1" t="n">
        <v>45575</v>
      </c>
      <c r="C15354" s="1" t="n">
        <v>45657</v>
      </c>
      <c r="D15354" t="inlineStr">
        <is>
          <t>VÄSTERNORRLANDS LÄN</t>
        </is>
      </c>
      <c r="E15354" t="inlineStr">
        <is>
          <t>ÖRNSKÖLDSVIK</t>
        </is>
      </c>
      <c r="F15354" t="inlineStr">
        <is>
          <t>Holmen skog AB</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44875-2024</t>
        </is>
      </c>
      <c r="B15355" s="1" t="n">
        <v>45575</v>
      </c>
      <c r="C15355" s="1" t="n">
        <v>45657</v>
      </c>
      <c r="D15355" t="inlineStr">
        <is>
          <t>VÄSTERNORRLANDS LÄN</t>
        </is>
      </c>
      <c r="E15355" t="inlineStr">
        <is>
          <t>SUNDSVALL</t>
        </is>
      </c>
      <c r="F15355" t="inlineStr">
        <is>
          <t>SCA</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45217-2024</t>
        </is>
      </c>
      <c r="B15356" s="1" t="n">
        <v>45575</v>
      </c>
      <c r="C15356" s="1" t="n">
        <v>45657</v>
      </c>
      <c r="D15356" t="inlineStr">
        <is>
          <t>VÄSTERNORRLANDS LÄN</t>
        </is>
      </c>
      <c r="E15356" t="inlineStr">
        <is>
          <t>ÖRNSKÖLDSVIK</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45073-2024</t>
        </is>
      </c>
      <c r="B15357" s="1" t="n">
        <v>45575</v>
      </c>
      <c r="C15357" s="1" t="n">
        <v>45657</v>
      </c>
      <c r="D15357" t="inlineStr">
        <is>
          <t>VÄSTERNORRLANDS LÄN</t>
        </is>
      </c>
      <c r="E15357" t="inlineStr">
        <is>
          <t>ÖRNSKÖLDSVIK</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44898-2024</t>
        </is>
      </c>
      <c r="B15358" s="1" t="n">
        <v>45575</v>
      </c>
      <c r="C15358" s="1" t="n">
        <v>45657</v>
      </c>
      <c r="D15358" t="inlineStr">
        <is>
          <t>VÄSTERNORRLANDS LÄN</t>
        </is>
      </c>
      <c r="E15358" t="inlineStr">
        <is>
          <t>HÄRNÖSAND</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44937-2024</t>
        </is>
      </c>
      <c r="B15359" s="1" t="n">
        <v>45575</v>
      </c>
      <c r="C15359" s="1" t="n">
        <v>45657</v>
      </c>
      <c r="D15359" t="inlineStr">
        <is>
          <t>VÄSTERNORRLANDS LÄN</t>
        </is>
      </c>
      <c r="E15359" t="inlineStr">
        <is>
          <t>ÖRNSKÖLDSVIK</t>
        </is>
      </c>
      <c r="F15359" t="inlineStr">
        <is>
          <t>Holmen skog AB</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45266-2024</t>
        </is>
      </c>
      <c r="B15360" s="1" t="n">
        <v>45576</v>
      </c>
      <c r="C15360" s="1" t="n">
        <v>45657</v>
      </c>
      <c r="D15360" t="inlineStr">
        <is>
          <t>VÄSTERNORRLANDS LÄN</t>
        </is>
      </c>
      <c r="E15360" t="inlineStr">
        <is>
          <t>ÖRNSKÖLDSVIK</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45274-2024</t>
        </is>
      </c>
      <c r="B15361" s="1" t="n">
        <v>45576</v>
      </c>
      <c r="C15361" s="1" t="n">
        <v>45657</v>
      </c>
      <c r="D15361" t="inlineStr">
        <is>
          <t>VÄSTERNORRLANDS LÄN</t>
        </is>
      </c>
      <c r="E15361" t="inlineStr">
        <is>
          <t>ÖRNSKÖLDSVIK</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45434-2024</t>
        </is>
      </c>
      <c r="B15362" s="1" t="n">
        <v>45576</v>
      </c>
      <c r="C15362" s="1" t="n">
        <v>45657</v>
      </c>
      <c r="D15362" t="inlineStr">
        <is>
          <t>VÄSTERNORRLANDS LÄN</t>
        </is>
      </c>
      <c r="E15362" t="inlineStr">
        <is>
          <t>SUNDSVALL</t>
        </is>
      </c>
      <c r="F15362" t="inlineStr">
        <is>
          <t>SCA</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45256-2024</t>
        </is>
      </c>
      <c r="B15363" s="1" t="n">
        <v>45576</v>
      </c>
      <c r="C15363" s="1" t="n">
        <v>45657</v>
      </c>
      <c r="D15363" t="inlineStr">
        <is>
          <t>VÄSTERNORRLANDS LÄN</t>
        </is>
      </c>
      <c r="E15363" t="inlineStr">
        <is>
          <t>ÖRNSKÖLDSVIK</t>
        </is>
      </c>
      <c r="F15363" t="inlineStr">
        <is>
          <t>SCA</t>
        </is>
      </c>
      <c r="G15363" t="n">
        <v>11.7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45272-2024</t>
        </is>
      </c>
      <c r="B15364" s="1" t="n">
        <v>45576</v>
      </c>
      <c r="C15364" s="1" t="n">
        <v>45657</v>
      </c>
      <c r="D15364" t="inlineStr">
        <is>
          <t>VÄSTERNORRLANDS LÄN</t>
        </is>
      </c>
      <c r="E15364" t="inlineStr">
        <is>
          <t>ÖRNSKÖLDSVIK</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45288-2024</t>
        </is>
      </c>
      <c r="B15365" s="1" t="n">
        <v>45576</v>
      </c>
      <c r="C15365" s="1" t="n">
        <v>45657</v>
      </c>
      <c r="D15365" t="inlineStr">
        <is>
          <t>VÄSTERNORRLANDS LÄN</t>
        </is>
      </c>
      <c r="E15365" t="inlineStr">
        <is>
          <t>ÖRNSKÖLDSVIK</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45296-2024</t>
        </is>
      </c>
      <c r="B15366" s="1" t="n">
        <v>45576</v>
      </c>
      <c r="C15366" s="1" t="n">
        <v>45657</v>
      </c>
      <c r="D15366" t="inlineStr">
        <is>
          <t>VÄSTERNORRLANDS LÄN</t>
        </is>
      </c>
      <c r="E15366" t="inlineStr">
        <is>
          <t>ÖRNSKÖLDSVIK</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45357-2024</t>
        </is>
      </c>
      <c r="B15367" s="1" t="n">
        <v>45576</v>
      </c>
      <c r="C15367" s="1" t="n">
        <v>45657</v>
      </c>
      <c r="D15367" t="inlineStr">
        <is>
          <t>VÄSTERNORRLANDS LÄN</t>
        </is>
      </c>
      <c r="E15367" t="inlineStr">
        <is>
          <t>SUNDSVALL</t>
        </is>
      </c>
      <c r="G15367" t="n">
        <v>18.2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45250-2024</t>
        </is>
      </c>
      <c r="B15368" s="1" t="n">
        <v>45576</v>
      </c>
      <c r="C15368" s="1" t="n">
        <v>45657</v>
      </c>
      <c r="D15368" t="inlineStr">
        <is>
          <t>VÄSTERNORRLANDS LÄN</t>
        </is>
      </c>
      <c r="E15368" t="inlineStr">
        <is>
          <t>ÖRNSKÖLDSVIK</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45437-2024</t>
        </is>
      </c>
      <c r="B15369" s="1" t="n">
        <v>45576</v>
      </c>
      <c r="C15369" s="1" t="n">
        <v>45657</v>
      </c>
      <c r="D15369" t="inlineStr">
        <is>
          <t>VÄSTERNORRLANDS LÄN</t>
        </is>
      </c>
      <c r="E15369" t="inlineStr">
        <is>
          <t>ÖRNSKÖLDSVIK</t>
        </is>
      </c>
      <c r="G15369" t="n">
        <v>6.7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45435-2024</t>
        </is>
      </c>
      <c r="B15370" s="1" t="n">
        <v>45576</v>
      </c>
      <c r="C15370" s="1" t="n">
        <v>45657</v>
      </c>
      <c r="D15370" t="inlineStr">
        <is>
          <t>VÄSTERNORRLANDS LÄN</t>
        </is>
      </c>
      <c r="E15370" t="inlineStr">
        <is>
          <t>SOLLEFTEÅ</t>
        </is>
      </c>
      <c r="F15370" t="inlineStr">
        <is>
          <t>SCA</t>
        </is>
      </c>
      <c r="G15370" t="n">
        <v>8.9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45413-2024</t>
        </is>
      </c>
      <c r="B15371" s="1" t="n">
        <v>45576</v>
      </c>
      <c r="C15371" s="1" t="n">
        <v>45657</v>
      </c>
      <c r="D15371" t="inlineStr">
        <is>
          <t>VÄSTERNORRLANDS LÄN</t>
        </is>
      </c>
      <c r="E15371" t="inlineStr">
        <is>
          <t>HÄRNÖSAND</t>
        </is>
      </c>
      <c r="F15371" t="inlineStr">
        <is>
          <t>SCA</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45423-2024</t>
        </is>
      </c>
      <c r="B15372" s="1" t="n">
        <v>45576</v>
      </c>
      <c r="C15372" s="1" t="n">
        <v>45657</v>
      </c>
      <c r="D15372" t="inlineStr">
        <is>
          <t>VÄSTERNORRLANDS LÄN</t>
        </is>
      </c>
      <c r="E15372" t="inlineStr">
        <is>
          <t>ÖRNSKÖLDSVIK</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45334-2024</t>
        </is>
      </c>
      <c r="B15373" s="1" t="n">
        <v>45576</v>
      </c>
      <c r="C15373" s="1" t="n">
        <v>45657</v>
      </c>
      <c r="D15373" t="inlineStr">
        <is>
          <t>VÄSTERNORRLANDS LÄN</t>
        </is>
      </c>
      <c r="E15373" t="inlineStr">
        <is>
          <t>SOLLEFTEÅ</t>
        </is>
      </c>
      <c r="F15373" t="inlineStr">
        <is>
          <t>SCA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45293-2024</t>
        </is>
      </c>
      <c r="B15374" s="1" t="n">
        <v>45576</v>
      </c>
      <c r="C15374" s="1" t="n">
        <v>45657</v>
      </c>
      <c r="D15374" t="inlineStr">
        <is>
          <t>VÄSTERNORRLANDS LÄN</t>
        </is>
      </c>
      <c r="E15374" t="inlineStr">
        <is>
          <t>SUNDSVALL</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45287-2024</t>
        </is>
      </c>
      <c r="B15375" s="1" t="n">
        <v>45576</v>
      </c>
      <c r="C15375" s="1" t="n">
        <v>45657</v>
      </c>
      <c r="D15375" t="inlineStr">
        <is>
          <t>VÄSTERNORRLANDS LÄN</t>
        </is>
      </c>
      <c r="E15375" t="inlineStr">
        <is>
          <t>ÖRNSKÖLDSVIK</t>
        </is>
      </c>
      <c r="F15375" t="inlineStr">
        <is>
          <t>Holmen skog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45269-2024</t>
        </is>
      </c>
      <c r="B15376" s="1" t="n">
        <v>45576</v>
      </c>
      <c r="C15376" s="1" t="n">
        <v>45657</v>
      </c>
      <c r="D15376" t="inlineStr">
        <is>
          <t>VÄSTERNORRLANDS LÄN</t>
        </is>
      </c>
      <c r="E15376" t="inlineStr">
        <is>
          <t>ÖRNSKÖLDSVIK</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45257-2024</t>
        </is>
      </c>
      <c r="B15377" s="1" t="n">
        <v>45576</v>
      </c>
      <c r="C15377" s="1" t="n">
        <v>45657</v>
      </c>
      <c r="D15377" t="inlineStr">
        <is>
          <t>VÄSTERNORRLANDS LÄN</t>
        </is>
      </c>
      <c r="E15377" t="inlineStr">
        <is>
          <t>ÖRNSKÖLDSVIK</t>
        </is>
      </c>
      <c r="F15377" t="inlineStr">
        <is>
          <t>SCA</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45501-2024</t>
        </is>
      </c>
      <c r="B15378" s="1" t="n">
        <v>45578</v>
      </c>
      <c r="C15378" s="1" t="n">
        <v>45657</v>
      </c>
      <c r="D15378" t="inlineStr">
        <is>
          <t>VÄSTERNORRLANDS LÄN</t>
        </is>
      </c>
      <c r="E15378" t="inlineStr">
        <is>
          <t>HÄRNÖSAND</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45499-2024</t>
        </is>
      </c>
      <c r="B15379" s="1" t="n">
        <v>45578</v>
      </c>
      <c r="C15379" s="1" t="n">
        <v>45657</v>
      </c>
      <c r="D15379" t="inlineStr">
        <is>
          <t>VÄSTERNORRLANDS LÄN</t>
        </is>
      </c>
      <c r="E15379" t="inlineStr">
        <is>
          <t>HÄRNÖSAND</t>
        </is>
      </c>
      <c r="G15379" t="n">
        <v>10.5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45502-2024</t>
        </is>
      </c>
      <c r="B15380" s="1" t="n">
        <v>45578</v>
      </c>
      <c r="C15380" s="1" t="n">
        <v>45657</v>
      </c>
      <c r="D15380" t="inlineStr">
        <is>
          <t>VÄSTERNORRLANDS LÄN</t>
        </is>
      </c>
      <c r="E15380" t="inlineStr">
        <is>
          <t>HÄRNÖSAND</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45500-2024</t>
        </is>
      </c>
      <c r="B15381" s="1" t="n">
        <v>45578</v>
      </c>
      <c r="C15381" s="1" t="n">
        <v>45657</v>
      </c>
      <c r="D15381" t="inlineStr">
        <is>
          <t>VÄSTERNORRLANDS LÄN</t>
        </is>
      </c>
      <c r="E15381" t="inlineStr">
        <is>
          <t>HÄRNÖSAND</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45504-2024</t>
        </is>
      </c>
      <c r="B15382" s="1" t="n">
        <v>45578</v>
      </c>
      <c r="C15382" s="1" t="n">
        <v>45657</v>
      </c>
      <c r="D15382" t="inlineStr">
        <is>
          <t>VÄSTERNORRLANDS LÄN</t>
        </is>
      </c>
      <c r="E15382" t="inlineStr">
        <is>
          <t>HÄRNÖSAND</t>
        </is>
      </c>
      <c r="G15382" t="n">
        <v>10.3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45608-2024</t>
        </is>
      </c>
      <c r="B15383" s="1" t="n">
        <v>45579</v>
      </c>
      <c r="C15383" s="1" t="n">
        <v>45657</v>
      </c>
      <c r="D15383" t="inlineStr">
        <is>
          <t>VÄSTERNORRLANDS LÄN</t>
        </is>
      </c>
      <c r="E15383" t="inlineStr">
        <is>
          <t>TIMRÅ</t>
        </is>
      </c>
      <c r="F15383" t="inlineStr">
        <is>
          <t>SCA</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45612-2024</t>
        </is>
      </c>
      <c r="B15384" s="1" t="n">
        <v>45579</v>
      </c>
      <c r="C15384" s="1" t="n">
        <v>45657</v>
      </c>
      <c r="D15384" t="inlineStr">
        <is>
          <t>VÄSTERNORRLANDS LÄN</t>
        </is>
      </c>
      <c r="E15384" t="inlineStr">
        <is>
          <t>KRAMFORS</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45773-2024</t>
        </is>
      </c>
      <c r="B15385" s="1" t="n">
        <v>45579</v>
      </c>
      <c r="C15385" s="1" t="n">
        <v>45657</v>
      </c>
      <c r="D15385" t="inlineStr">
        <is>
          <t>VÄSTERNORRLANDS LÄN</t>
        </is>
      </c>
      <c r="E15385" t="inlineStr">
        <is>
          <t>ÖRNSKÖLDSVIK</t>
        </is>
      </c>
      <c r="F15385" t="inlineStr">
        <is>
          <t>Holmen skog AB</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45685-2024</t>
        </is>
      </c>
      <c r="B15386" s="1" t="n">
        <v>45579</v>
      </c>
      <c r="C15386" s="1" t="n">
        <v>45657</v>
      </c>
      <c r="D15386" t="inlineStr">
        <is>
          <t>VÄSTERNORRLANDS LÄN</t>
        </is>
      </c>
      <c r="E15386" t="inlineStr">
        <is>
          <t>TIMRÅ</t>
        </is>
      </c>
      <c r="F15386" t="inlineStr">
        <is>
          <t>SCA</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45734-2024</t>
        </is>
      </c>
      <c r="B15387" s="1" t="n">
        <v>45579</v>
      </c>
      <c r="C15387" s="1" t="n">
        <v>45657</v>
      </c>
      <c r="D15387" t="inlineStr">
        <is>
          <t>VÄSTERNORRLANDS LÄN</t>
        </is>
      </c>
      <c r="E15387" t="inlineStr">
        <is>
          <t>ÖRNSKÖLDSVIK</t>
        </is>
      </c>
      <c r="F15387" t="inlineStr">
        <is>
          <t>Holmen skog AB</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45784-2024</t>
        </is>
      </c>
      <c r="B15388" s="1" t="n">
        <v>45579</v>
      </c>
      <c r="C15388" s="1" t="n">
        <v>45657</v>
      </c>
      <c r="D15388" t="inlineStr">
        <is>
          <t>VÄSTERNORRLANDS LÄN</t>
        </is>
      </c>
      <c r="E15388" t="inlineStr">
        <is>
          <t>ÖRNSKÖLDSVIK</t>
        </is>
      </c>
      <c r="G15388" t="n">
        <v>3.3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45682-2024</t>
        </is>
      </c>
      <c r="B15389" s="1" t="n">
        <v>45579</v>
      </c>
      <c r="C15389" s="1" t="n">
        <v>45657</v>
      </c>
      <c r="D15389" t="inlineStr">
        <is>
          <t>VÄSTERNORRLANDS LÄN</t>
        </is>
      </c>
      <c r="E15389" t="inlineStr">
        <is>
          <t>ÖRNSKÖLDSVIK</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45673-2024</t>
        </is>
      </c>
      <c r="B15390" s="1" t="n">
        <v>45579</v>
      </c>
      <c r="C15390" s="1" t="n">
        <v>45657</v>
      </c>
      <c r="D15390" t="inlineStr">
        <is>
          <t>VÄSTERNORRLANDS LÄN</t>
        </is>
      </c>
      <c r="E15390" t="inlineStr">
        <is>
          <t>TIMRÅ</t>
        </is>
      </c>
      <c r="F15390" t="inlineStr">
        <is>
          <t>SCA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45781-2024</t>
        </is>
      </c>
      <c r="B15391" s="1" t="n">
        <v>45579</v>
      </c>
      <c r="C15391" s="1" t="n">
        <v>45657</v>
      </c>
      <c r="D15391" t="inlineStr">
        <is>
          <t>VÄSTERNORRLANDS LÄN</t>
        </is>
      </c>
      <c r="E15391" t="inlineStr">
        <is>
          <t>KRAMFORS</t>
        </is>
      </c>
      <c r="G15391" t="n">
        <v>5.9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45627-2024</t>
        </is>
      </c>
      <c r="B15392" s="1" t="n">
        <v>45579</v>
      </c>
      <c r="C15392" s="1" t="n">
        <v>45657</v>
      </c>
      <c r="D15392" t="inlineStr">
        <is>
          <t>VÄSTERNORRLANDS LÄN</t>
        </is>
      </c>
      <c r="E15392" t="inlineStr">
        <is>
          <t>TIMRÅ</t>
        </is>
      </c>
      <c r="F15392" t="inlineStr">
        <is>
          <t>SCA</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45628-2024</t>
        </is>
      </c>
      <c r="B15393" s="1" t="n">
        <v>45579</v>
      </c>
      <c r="C15393" s="1" t="n">
        <v>45657</v>
      </c>
      <c r="D15393" t="inlineStr">
        <is>
          <t>VÄSTERNORRLANDS LÄN</t>
        </is>
      </c>
      <c r="E15393" t="inlineStr">
        <is>
          <t>KRAMFORS</t>
        </is>
      </c>
      <c r="F15393" t="inlineStr">
        <is>
          <t>SCA</t>
        </is>
      </c>
      <c r="G15393" t="n">
        <v>5.4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45590-2024</t>
        </is>
      </c>
      <c r="B15394" s="1" t="n">
        <v>45579</v>
      </c>
      <c r="C15394" s="1" t="n">
        <v>45657</v>
      </c>
      <c r="D15394" t="inlineStr">
        <is>
          <t>VÄSTERNORRLANDS LÄN</t>
        </is>
      </c>
      <c r="E15394" t="inlineStr">
        <is>
          <t>SOLLEFTEÅ</t>
        </is>
      </c>
      <c r="F15394" t="inlineStr">
        <is>
          <t>Holmen skog AB</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45586-2024</t>
        </is>
      </c>
      <c r="B15395" s="1" t="n">
        <v>45579</v>
      </c>
      <c r="C15395" s="1" t="n">
        <v>45657</v>
      </c>
      <c r="D15395" t="inlineStr">
        <is>
          <t>VÄSTERNORRLANDS LÄN</t>
        </is>
      </c>
      <c r="E15395" t="inlineStr">
        <is>
          <t>TIMRÅ</t>
        </is>
      </c>
      <c r="F15395" t="inlineStr">
        <is>
          <t>SCA</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45565-2024</t>
        </is>
      </c>
      <c r="B15396" s="1" t="n">
        <v>45579</v>
      </c>
      <c r="C15396" s="1" t="n">
        <v>45657</v>
      </c>
      <c r="D15396" t="inlineStr">
        <is>
          <t>VÄSTERNORRLANDS LÄN</t>
        </is>
      </c>
      <c r="E15396" t="inlineStr">
        <is>
          <t>ÖRNSKÖLDSVIK</t>
        </is>
      </c>
      <c r="F15396" t="inlineStr">
        <is>
          <t>Holmen skog AB</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45791-2024</t>
        </is>
      </c>
      <c r="B15397" s="1" t="n">
        <v>45579</v>
      </c>
      <c r="C15397" s="1" t="n">
        <v>45657</v>
      </c>
      <c r="D15397" t="inlineStr">
        <is>
          <t>VÄSTERNORRLANDS LÄN</t>
        </is>
      </c>
      <c r="E15397" t="inlineStr">
        <is>
          <t>ÖRNSKÖLDSVIK</t>
        </is>
      </c>
      <c r="F15397" t="inlineStr">
        <is>
          <t>Holmen skog AB</t>
        </is>
      </c>
      <c r="G15397" t="n">
        <v>11.3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45629-2024</t>
        </is>
      </c>
      <c r="B15398" s="1" t="n">
        <v>45579</v>
      </c>
      <c r="C15398" s="1" t="n">
        <v>45657</v>
      </c>
      <c r="D15398" t="inlineStr">
        <is>
          <t>VÄSTERNORRLANDS LÄN</t>
        </is>
      </c>
      <c r="E15398" t="inlineStr">
        <is>
          <t>TIMRÅ</t>
        </is>
      </c>
      <c r="F15398" t="inlineStr">
        <is>
          <t>SCA</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45801-2024</t>
        </is>
      </c>
      <c r="B15399" s="1" t="n">
        <v>45579</v>
      </c>
      <c r="C15399" s="1" t="n">
        <v>45657</v>
      </c>
      <c r="D15399" t="inlineStr">
        <is>
          <t>VÄSTERNORRLANDS LÄN</t>
        </is>
      </c>
      <c r="E15399" t="inlineStr">
        <is>
          <t>SOLLEFTEÅ</t>
        </is>
      </c>
      <c r="F15399" t="inlineStr">
        <is>
          <t>SCA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45795-2024</t>
        </is>
      </c>
      <c r="B15400" s="1" t="n">
        <v>45579</v>
      </c>
      <c r="C15400" s="1" t="n">
        <v>45657</v>
      </c>
      <c r="D15400" t="inlineStr">
        <is>
          <t>VÄSTERNORRLANDS LÄN</t>
        </is>
      </c>
      <c r="E15400" t="inlineStr">
        <is>
          <t>SOLLEFTEÅ</t>
        </is>
      </c>
      <c r="G15400" t="n">
        <v>8.199999999999999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45573-2024</t>
        </is>
      </c>
      <c r="B15401" s="1" t="n">
        <v>45579</v>
      </c>
      <c r="C15401" s="1" t="n">
        <v>45657</v>
      </c>
      <c r="D15401" t="inlineStr">
        <is>
          <t>VÄSTERNORRLANDS LÄN</t>
        </is>
      </c>
      <c r="E15401" t="inlineStr">
        <is>
          <t>SOLLEFTEÅ</t>
        </is>
      </c>
      <c r="F15401" t="inlineStr">
        <is>
          <t>SCA</t>
        </is>
      </c>
      <c r="G15401" t="n">
        <v>7.8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45562-2024</t>
        </is>
      </c>
      <c r="B15402" s="1" t="n">
        <v>45579</v>
      </c>
      <c r="C15402" s="1" t="n">
        <v>45657</v>
      </c>
      <c r="D15402" t="inlineStr">
        <is>
          <t>VÄSTERNORRLANDS LÄN</t>
        </is>
      </c>
      <c r="E15402" t="inlineStr">
        <is>
          <t>ÖRNSKÖLDSVIK</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45816-2024</t>
        </is>
      </c>
      <c r="B15403" s="1" t="n">
        <v>45579</v>
      </c>
      <c r="C15403" s="1" t="n">
        <v>45657</v>
      </c>
      <c r="D15403" t="inlineStr">
        <is>
          <t>VÄSTERNORRLANDS LÄN</t>
        </is>
      </c>
      <c r="E15403" t="inlineStr">
        <is>
          <t>SUNDSVALL</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45558-2024</t>
        </is>
      </c>
      <c r="B15404" s="1" t="n">
        <v>45579</v>
      </c>
      <c r="C15404" s="1" t="n">
        <v>45657</v>
      </c>
      <c r="D15404" t="inlineStr">
        <is>
          <t>VÄSTERNORRLANDS LÄN</t>
        </is>
      </c>
      <c r="E15404" t="inlineStr">
        <is>
          <t>ÖRNSKÖLDSVIK</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45778-2024</t>
        </is>
      </c>
      <c r="B15405" s="1" t="n">
        <v>45579</v>
      </c>
      <c r="C15405" s="1" t="n">
        <v>45657</v>
      </c>
      <c r="D15405" t="inlineStr">
        <is>
          <t>VÄSTERNORRLANDS LÄN</t>
        </is>
      </c>
      <c r="E15405" t="inlineStr">
        <is>
          <t>SOLLEFTEÅ</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45802-2024</t>
        </is>
      </c>
      <c r="B15406" s="1" t="n">
        <v>45579</v>
      </c>
      <c r="C15406" s="1" t="n">
        <v>45657</v>
      </c>
      <c r="D15406" t="inlineStr">
        <is>
          <t>VÄSTERNORRLANDS LÄN</t>
        </is>
      </c>
      <c r="E15406" t="inlineStr">
        <is>
          <t>SOLLEFTEÅ</t>
        </is>
      </c>
      <c r="F15406" t="inlineStr">
        <is>
          <t>SCA</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45826-2024</t>
        </is>
      </c>
      <c r="B15407" s="1" t="n">
        <v>45579</v>
      </c>
      <c r="C15407" s="1" t="n">
        <v>45657</v>
      </c>
      <c r="D15407" t="inlineStr">
        <is>
          <t>VÄSTERNORRLANDS LÄN</t>
        </is>
      </c>
      <c r="E15407" t="inlineStr">
        <is>
          <t>ÖRNSKÖLDSVIK</t>
        </is>
      </c>
      <c r="F15407" t="inlineStr">
        <is>
          <t>Holmen skog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45748-2024</t>
        </is>
      </c>
      <c r="B15408" s="1" t="n">
        <v>45579</v>
      </c>
      <c r="C15408" s="1" t="n">
        <v>45657</v>
      </c>
      <c r="D15408" t="inlineStr">
        <is>
          <t>VÄSTERNORRLANDS LÄN</t>
        </is>
      </c>
      <c r="E15408" t="inlineStr">
        <is>
          <t>SOLLEFTEÅ</t>
        </is>
      </c>
      <c r="G15408" t="n">
        <v>4.7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45720-2024</t>
        </is>
      </c>
      <c r="B15409" s="1" t="n">
        <v>45579</v>
      </c>
      <c r="C15409" s="1" t="n">
        <v>45657</v>
      </c>
      <c r="D15409" t="inlineStr">
        <is>
          <t>VÄSTERNORRLANDS LÄN</t>
        </is>
      </c>
      <c r="E15409" t="inlineStr">
        <is>
          <t>TIMRÅ</t>
        </is>
      </c>
      <c r="F15409" t="inlineStr">
        <is>
          <t>SCA</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45630-2024</t>
        </is>
      </c>
      <c r="B15410" s="1" t="n">
        <v>45579</v>
      </c>
      <c r="C15410" s="1" t="n">
        <v>45657</v>
      </c>
      <c r="D15410" t="inlineStr">
        <is>
          <t>VÄSTERNORRLANDS LÄN</t>
        </is>
      </c>
      <c r="E15410" t="inlineStr">
        <is>
          <t>TIMRÅ</t>
        </is>
      </c>
      <c r="F15410" t="inlineStr">
        <is>
          <t>SCA</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45585-2024</t>
        </is>
      </c>
      <c r="B15411" s="1" t="n">
        <v>45579</v>
      </c>
      <c r="C15411" s="1" t="n">
        <v>45657</v>
      </c>
      <c r="D15411" t="inlineStr">
        <is>
          <t>VÄSTERNORRLANDS LÄN</t>
        </is>
      </c>
      <c r="E15411" t="inlineStr">
        <is>
          <t>HÄRNÖSAND</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45923-2024</t>
        </is>
      </c>
      <c r="B15412" s="1" t="n">
        <v>45580</v>
      </c>
      <c r="C15412" s="1" t="n">
        <v>45657</v>
      </c>
      <c r="D15412" t="inlineStr">
        <is>
          <t>VÄSTERNORRLANDS LÄN</t>
        </is>
      </c>
      <c r="E15412" t="inlineStr">
        <is>
          <t>SUNDSVALL</t>
        </is>
      </c>
      <c r="F15412" t="inlineStr">
        <is>
          <t>SCA</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45951-2024</t>
        </is>
      </c>
      <c r="B15413" s="1" t="n">
        <v>45580</v>
      </c>
      <c r="C15413" s="1" t="n">
        <v>45657</v>
      </c>
      <c r="D15413" t="inlineStr">
        <is>
          <t>VÄSTERNORRLANDS LÄN</t>
        </is>
      </c>
      <c r="E15413" t="inlineStr">
        <is>
          <t>ÖRNSKÖLDSVIK</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45975-2024</t>
        </is>
      </c>
      <c r="B15414" s="1" t="n">
        <v>45580</v>
      </c>
      <c r="C15414" s="1" t="n">
        <v>45657</v>
      </c>
      <c r="D15414" t="inlineStr">
        <is>
          <t>VÄSTERNORRLANDS LÄN</t>
        </is>
      </c>
      <c r="E15414" t="inlineStr">
        <is>
          <t>SOLLEFTEÅ</t>
        </is>
      </c>
      <c r="F15414" t="inlineStr">
        <is>
          <t>SCA</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46008-2024</t>
        </is>
      </c>
      <c r="B15415" s="1" t="n">
        <v>45580</v>
      </c>
      <c r="C15415" s="1" t="n">
        <v>45657</v>
      </c>
      <c r="D15415" t="inlineStr">
        <is>
          <t>VÄSTERNORRLANDS LÄN</t>
        </is>
      </c>
      <c r="E15415" t="inlineStr">
        <is>
          <t>ÖRNSKÖLDSVIK</t>
        </is>
      </c>
      <c r="F15415" t="inlineStr">
        <is>
          <t>Holmen skog AB</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45870-2024</t>
        </is>
      </c>
      <c r="B15416" s="1" t="n">
        <v>45580</v>
      </c>
      <c r="C15416" s="1" t="n">
        <v>45657</v>
      </c>
      <c r="D15416" t="inlineStr">
        <is>
          <t>VÄSTERNORRLANDS LÄN</t>
        </is>
      </c>
      <c r="E15416" t="inlineStr">
        <is>
          <t>ÖRNSKÖLDSVIK</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45901-2024</t>
        </is>
      </c>
      <c r="B15417" s="1" t="n">
        <v>45580</v>
      </c>
      <c r="C15417" s="1" t="n">
        <v>45657</v>
      </c>
      <c r="D15417" t="inlineStr">
        <is>
          <t>VÄSTERNORRLANDS LÄN</t>
        </is>
      </c>
      <c r="E15417" t="inlineStr">
        <is>
          <t>KRAMFORS</t>
        </is>
      </c>
      <c r="G15417" t="n">
        <v>27.9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45921-2024</t>
        </is>
      </c>
      <c r="B15418" s="1" t="n">
        <v>45580</v>
      </c>
      <c r="C15418" s="1" t="n">
        <v>45657</v>
      </c>
      <c r="D15418" t="inlineStr">
        <is>
          <t>VÄSTERNORRLANDS LÄN</t>
        </is>
      </c>
      <c r="E15418" t="inlineStr">
        <is>
          <t>HÄRNÖSAND</t>
        </is>
      </c>
      <c r="G15418" t="n">
        <v>14.2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46032-2024</t>
        </is>
      </c>
      <c r="B15419" s="1" t="n">
        <v>45580</v>
      </c>
      <c r="C15419" s="1" t="n">
        <v>45657</v>
      </c>
      <c r="D15419" t="inlineStr">
        <is>
          <t>VÄSTERNORRLANDS LÄN</t>
        </is>
      </c>
      <c r="E15419" t="inlineStr">
        <is>
          <t>SUNDSVALL</t>
        </is>
      </c>
      <c r="F15419" t="inlineStr">
        <is>
          <t>SCA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46010-2024</t>
        </is>
      </c>
      <c r="B15420" s="1" t="n">
        <v>45580</v>
      </c>
      <c r="C15420" s="1" t="n">
        <v>45657</v>
      </c>
      <c r="D15420" t="inlineStr">
        <is>
          <t>VÄSTERNORRLANDS LÄN</t>
        </is>
      </c>
      <c r="E15420" t="inlineStr">
        <is>
          <t>ÖRNSKÖLDSVIK</t>
        </is>
      </c>
      <c r="F15420" t="inlineStr">
        <is>
          <t>Holmen skog AB</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45928-2024</t>
        </is>
      </c>
      <c r="B15421" s="1" t="n">
        <v>45580</v>
      </c>
      <c r="C15421" s="1" t="n">
        <v>45657</v>
      </c>
      <c r="D15421" t="inlineStr">
        <is>
          <t>VÄSTERNORRLANDS LÄN</t>
        </is>
      </c>
      <c r="E15421" t="inlineStr">
        <is>
          <t>ÅNGE</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45940-2024</t>
        </is>
      </c>
      <c r="B15422" s="1" t="n">
        <v>45580</v>
      </c>
      <c r="C15422" s="1" t="n">
        <v>45657</v>
      </c>
      <c r="D15422" t="inlineStr">
        <is>
          <t>VÄSTERNORRLANDS LÄN</t>
        </is>
      </c>
      <c r="E15422" t="inlineStr">
        <is>
          <t>SOLLEFTEÅ</t>
        </is>
      </c>
      <c r="F15422" t="inlineStr">
        <is>
          <t>SCA</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45976-2024</t>
        </is>
      </c>
      <c r="B15423" s="1" t="n">
        <v>45580</v>
      </c>
      <c r="C15423" s="1" t="n">
        <v>45657</v>
      </c>
      <c r="D15423" t="inlineStr">
        <is>
          <t>VÄSTERNORRLANDS LÄN</t>
        </is>
      </c>
      <c r="E15423" t="inlineStr">
        <is>
          <t>SUNDSVALL</t>
        </is>
      </c>
      <c r="F15423" t="inlineStr">
        <is>
          <t>SCA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45989-2024</t>
        </is>
      </c>
      <c r="B15424" s="1" t="n">
        <v>45580</v>
      </c>
      <c r="C15424" s="1" t="n">
        <v>45657</v>
      </c>
      <c r="D15424" t="inlineStr">
        <is>
          <t>VÄSTERNORRLANDS LÄN</t>
        </is>
      </c>
      <c r="E15424" t="inlineStr">
        <is>
          <t>KRAMFORS</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45993-2024</t>
        </is>
      </c>
      <c r="B15425" s="1" t="n">
        <v>45580</v>
      </c>
      <c r="C15425" s="1" t="n">
        <v>45657</v>
      </c>
      <c r="D15425" t="inlineStr">
        <is>
          <t>VÄSTERNORRLANDS LÄN</t>
        </is>
      </c>
      <c r="E15425" t="inlineStr">
        <is>
          <t>ÅNGE</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46001-2024</t>
        </is>
      </c>
      <c r="B15426" s="1" t="n">
        <v>45580</v>
      </c>
      <c r="C15426" s="1" t="n">
        <v>45657</v>
      </c>
      <c r="D15426" t="inlineStr">
        <is>
          <t>VÄSTERNORRLANDS LÄN</t>
        </is>
      </c>
      <c r="E15426" t="inlineStr">
        <is>
          <t>ÖRNSKÖLDSVIK</t>
        </is>
      </c>
      <c r="F15426" t="inlineStr">
        <is>
          <t>Holmen skog AB</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46005-2024</t>
        </is>
      </c>
      <c r="B15427" s="1" t="n">
        <v>45580</v>
      </c>
      <c r="C15427" s="1" t="n">
        <v>45657</v>
      </c>
      <c r="D15427" t="inlineStr">
        <is>
          <t>VÄSTERNORRLANDS LÄN</t>
        </is>
      </c>
      <c r="E15427" t="inlineStr">
        <is>
          <t>ÖRNSKÖLDSVIK</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45886-2024</t>
        </is>
      </c>
      <c r="B15428" s="1" t="n">
        <v>45580</v>
      </c>
      <c r="C15428" s="1" t="n">
        <v>45657</v>
      </c>
      <c r="D15428" t="inlineStr">
        <is>
          <t>VÄSTERNORRLANDS LÄN</t>
        </is>
      </c>
      <c r="E15428" t="inlineStr">
        <is>
          <t>TIMRÅ</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45942-2024</t>
        </is>
      </c>
      <c r="B15429" s="1" t="n">
        <v>45580</v>
      </c>
      <c r="C15429" s="1" t="n">
        <v>45657</v>
      </c>
      <c r="D15429" t="inlineStr">
        <is>
          <t>VÄSTERNORRLANDS LÄN</t>
        </is>
      </c>
      <c r="E15429" t="inlineStr">
        <is>
          <t>TIMRÅ</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45970-2024</t>
        </is>
      </c>
      <c r="B15430" s="1" t="n">
        <v>45580</v>
      </c>
      <c r="C15430" s="1" t="n">
        <v>45657</v>
      </c>
      <c r="D15430" t="inlineStr">
        <is>
          <t>VÄSTERNORRLANDS LÄN</t>
        </is>
      </c>
      <c r="E15430" t="inlineStr">
        <is>
          <t>ÖRNSKÖLDSVIK</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45986-2024</t>
        </is>
      </c>
      <c r="B15431" s="1" t="n">
        <v>45580</v>
      </c>
      <c r="C15431" s="1" t="n">
        <v>45657</v>
      </c>
      <c r="D15431" t="inlineStr">
        <is>
          <t>VÄSTERNORRLANDS LÄN</t>
        </is>
      </c>
      <c r="E15431" t="inlineStr">
        <is>
          <t>ÖRNSKÖLDSVIK</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46003-2024</t>
        </is>
      </c>
      <c r="B15432" s="1" t="n">
        <v>45580</v>
      </c>
      <c r="C15432" s="1" t="n">
        <v>45657</v>
      </c>
      <c r="D15432" t="inlineStr">
        <is>
          <t>VÄSTERNORRLANDS LÄN</t>
        </is>
      </c>
      <c r="E15432" t="inlineStr">
        <is>
          <t>ÖRNSKÖLDSVIK</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46015-2024</t>
        </is>
      </c>
      <c r="B15433" s="1" t="n">
        <v>45580</v>
      </c>
      <c r="C15433" s="1" t="n">
        <v>45657</v>
      </c>
      <c r="D15433" t="inlineStr">
        <is>
          <t>VÄSTERNORRLANDS LÄN</t>
        </is>
      </c>
      <c r="E15433" t="inlineStr">
        <is>
          <t>ÅNGE</t>
        </is>
      </c>
      <c r="F15433" t="inlineStr">
        <is>
          <t>SCA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46114-2024</t>
        </is>
      </c>
      <c r="B15434" s="1" t="n">
        <v>45581</v>
      </c>
      <c r="C15434" s="1" t="n">
        <v>45657</v>
      </c>
      <c r="D15434" t="inlineStr">
        <is>
          <t>VÄSTERNORRLANDS LÄN</t>
        </is>
      </c>
      <c r="E15434" t="inlineStr">
        <is>
          <t>ÖRNSKÖLDSVIK</t>
        </is>
      </c>
      <c r="F15434" t="inlineStr">
        <is>
          <t>Holmen skog AB</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46126-2024</t>
        </is>
      </c>
      <c r="B15435" s="1" t="n">
        <v>45581</v>
      </c>
      <c r="C15435" s="1" t="n">
        <v>45657</v>
      </c>
      <c r="D15435" t="inlineStr">
        <is>
          <t>VÄSTERNORRLANDS LÄN</t>
        </is>
      </c>
      <c r="E15435" t="inlineStr">
        <is>
          <t>SUNDSVALL</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46255-2024</t>
        </is>
      </c>
      <c r="B15436" s="1" t="n">
        <v>45581</v>
      </c>
      <c r="C15436" s="1" t="n">
        <v>45657</v>
      </c>
      <c r="D15436" t="inlineStr">
        <is>
          <t>VÄSTERNORRLANDS LÄN</t>
        </is>
      </c>
      <c r="E15436" t="inlineStr">
        <is>
          <t>SOLLEFTEÅ</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46101-2024</t>
        </is>
      </c>
      <c r="B15437" s="1" t="n">
        <v>45581</v>
      </c>
      <c r="C15437" s="1" t="n">
        <v>45657</v>
      </c>
      <c r="D15437" t="inlineStr">
        <is>
          <t>VÄSTERNORRLANDS LÄN</t>
        </is>
      </c>
      <c r="E15437" t="inlineStr">
        <is>
          <t>SOLLEFTEÅ</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46105-2024</t>
        </is>
      </c>
      <c r="B15438" s="1" t="n">
        <v>45581</v>
      </c>
      <c r="C15438" s="1" t="n">
        <v>45657</v>
      </c>
      <c r="D15438" t="inlineStr">
        <is>
          <t>VÄSTERNORRLANDS LÄN</t>
        </is>
      </c>
      <c r="E15438" t="inlineStr">
        <is>
          <t>ÖRNSKÖLDSVIK</t>
        </is>
      </c>
      <c r="G15438" t="n">
        <v>5.7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46121-2024</t>
        </is>
      </c>
      <c r="B15439" s="1" t="n">
        <v>45581</v>
      </c>
      <c r="C15439" s="1" t="n">
        <v>45657</v>
      </c>
      <c r="D15439" t="inlineStr">
        <is>
          <t>VÄSTERNORRLANDS LÄN</t>
        </is>
      </c>
      <c r="E15439" t="inlineStr">
        <is>
          <t>SUNDSVALL</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46172-2024</t>
        </is>
      </c>
      <c r="B15440" s="1" t="n">
        <v>45581</v>
      </c>
      <c r="C15440" s="1" t="n">
        <v>45657</v>
      </c>
      <c r="D15440" t="inlineStr">
        <is>
          <t>VÄSTERNORRLANDS LÄN</t>
        </is>
      </c>
      <c r="E15440" t="inlineStr">
        <is>
          <t>ÅNGE</t>
        </is>
      </c>
      <c r="G15440" t="n">
        <v>4.4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46215-2024</t>
        </is>
      </c>
      <c r="B15441" s="1" t="n">
        <v>45581</v>
      </c>
      <c r="C15441" s="1" t="n">
        <v>45657</v>
      </c>
      <c r="D15441" t="inlineStr">
        <is>
          <t>VÄSTERNORRLANDS LÄN</t>
        </is>
      </c>
      <c r="E15441" t="inlineStr">
        <is>
          <t>ÖRNSKÖLDSVIK</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46198-2024</t>
        </is>
      </c>
      <c r="B15442" s="1" t="n">
        <v>45581</v>
      </c>
      <c r="C15442" s="1" t="n">
        <v>45657</v>
      </c>
      <c r="D15442" t="inlineStr">
        <is>
          <t>VÄSTERNORRLANDS LÄN</t>
        </is>
      </c>
      <c r="E15442" t="inlineStr">
        <is>
          <t>ÅNGE</t>
        </is>
      </c>
      <c r="F15442" t="inlineStr">
        <is>
          <t>Övriga Aktiebolag</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46204-2024</t>
        </is>
      </c>
      <c r="B15443" s="1" t="n">
        <v>45581</v>
      </c>
      <c r="C15443" s="1" t="n">
        <v>45657</v>
      </c>
      <c r="D15443" t="inlineStr">
        <is>
          <t>VÄSTERNORRLANDS LÄN</t>
        </is>
      </c>
      <c r="E15443" t="inlineStr">
        <is>
          <t>ÖRNSKÖLDSVIK</t>
        </is>
      </c>
      <c r="G15443" t="n">
        <v>0.2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46159-2024</t>
        </is>
      </c>
      <c r="B15444" s="1" t="n">
        <v>45581</v>
      </c>
      <c r="C15444" s="1" t="n">
        <v>45657</v>
      </c>
      <c r="D15444" t="inlineStr">
        <is>
          <t>VÄSTERNORRLANDS LÄN</t>
        </is>
      </c>
      <c r="E15444" t="inlineStr">
        <is>
          <t>SUNDSVALL</t>
        </is>
      </c>
      <c r="F15444" t="inlineStr">
        <is>
          <t>SCA</t>
        </is>
      </c>
      <c r="G15444" t="n">
        <v>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46155-2024</t>
        </is>
      </c>
      <c r="B15445" s="1" t="n">
        <v>45581</v>
      </c>
      <c r="C15445" s="1" t="n">
        <v>45657</v>
      </c>
      <c r="D15445" t="inlineStr">
        <is>
          <t>VÄSTERNORRLANDS LÄN</t>
        </is>
      </c>
      <c r="E15445" t="inlineStr">
        <is>
          <t>ÖRNSKÖLDSVIK</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46136-2024</t>
        </is>
      </c>
      <c r="B15446" s="1" t="n">
        <v>45581</v>
      </c>
      <c r="C15446" s="1" t="n">
        <v>45657</v>
      </c>
      <c r="D15446" t="inlineStr">
        <is>
          <t>VÄSTERNORRLANDS LÄN</t>
        </is>
      </c>
      <c r="E15446" t="inlineStr">
        <is>
          <t>SUNDSVALL</t>
        </is>
      </c>
      <c r="F15446" t="inlineStr">
        <is>
          <t>SCA</t>
        </is>
      </c>
      <c r="G15446" t="n">
        <v>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46131-2024</t>
        </is>
      </c>
      <c r="B15447" s="1" t="n">
        <v>45581</v>
      </c>
      <c r="C15447" s="1" t="n">
        <v>45657</v>
      </c>
      <c r="D15447" t="inlineStr">
        <is>
          <t>VÄSTERNORRLANDS LÄN</t>
        </is>
      </c>
      <c r="E15447" t="inlineStr">
        <is>
          <t>TIMRÅ</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46265-2024</t>
        </is>
      </c>
      <c r="B15448" s="1" t="n">
        <v>45581</v>
      </c>
      <c r="C15448" s="1" t="n">
        <v>45657</v>
      </c>
      <c r="D15448" t="inlineStr">
        <is>
          <t>VÄSTERNORRLANDS LÄN</t>
        </is>
      </c>
      <c r="E15448" t="inlineStr">
        <is>
          <t>ÖRNSKÖLDSVIK</t>
        </is>
      </c>
      <c r="F15448" t="inlineStr">
        <is>
          <t>Holmen skog AB</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46266-2024</t>
        </is>
      </c>
      <c r="B15449" s="1" t="n">
        <v>45581</v>
      </c>
      <c r="C15449" s="1" t="n">
        <v>45657</v>
      </c>
      <c r="D15449" t="inlineStr">
        <is>
          <t>VÄSTERNORRLANDS LÄN</t>
        </is>
      </c>
      <c r="E15449" t="inlineStr">
        <is>
          <t>ÖRNSKÖLDSVIK</t>
        </is>
      </c>
      <c r="F15449" t="inlineStr">
        <is>
          <t>SCA</t>
        </is>
      </c>
      <c r="G15449" t="n">
        <v>6.8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46261-2024</t>
        </is>
      </c>
      <c r="B15450" s="1" t="n">
        <v>45581</v>
      </c>
      <c r="C15450" s="1" t="n">
        <v>45657</v>
      </c>
      <c r="D15450" t="inlineStr">
        <is>
          <t>VÄSTERNORRLANDS LÄN</t>
        </is>
      </c>
      <c r="E15450" t="inlineStr">
        <is>
          <t>SOLLEFTEÅ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46249-2024</t>
        </is>
      </c>
      <c r="B15451" s="1" t="n">
        <v>45581</v>
      </c>
      <c r="C15451" s="1" t="n">
        <v>45657</v>
      </c>
      <c r="D15451" t="inlineStr">
        <is>
          <t>VÄSTERNORRLANDS LÄN</t>
        </is>
      </c>
      <c r="E15451" t="inlineStr">
        <is>
          <t>ÅNGE</t>
        </is>
      </c>
      <c r="F15451" t="inlineStr">
        <is>
          <t>SCA</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46210-2024</t>
        </is>
      </c>
      <c r="B15452" s="1" t="n">
        <v>45581</v>
      </c>
      <c r="C15452" s="1" t="n">
        <v>45657</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46508-2024</t>
        </is>
      </c>
      <c r="B15453" s="1" t="n">
        <v>45582</v>
      </c>
      <c r="C15453" s="1" t="n">
        <v>45657</v>
      </c>
      <c r="D15453" t="inlineStr">
        <is>
          <t>VÄSTERNORRLANDS LÄN</t>
        </is>
      </c>
      <c r="E15453" t="inlineStr">
        <is>
          <t>ÖRNSKÖLDSVIK</t>
        </is>
      </c>
      <c r="F15453" t="inlineStr">
        <is>
          <t>Holmen skog AB</t>
        </is>
      </c>
      <c r="G15453" t="n">
        <v>7.3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46524-2024</t>
        </is>
      </c>
      <c r="B15454" s="1" t="n">
        <v>45582</v>
      </c>
      <c r="C15454" s="1" t="n">
        <v>45657</v>
      </c>
      <c r="D15454" t="inlineStr">
        <is>
          <t>VÄSTERNORRLANDS LÄN</t>
        </is>
      </c>
      <c r="E15454" t="inlineStr">
        <is>
          <t>SOLLEFTEÅ</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46568-2024</t>
        </is>
      </c>
      <c r="B15455" s="1" t="n">
        <v>45582</v>
      </c>
      <c r="C15455" s="1" t="n">
        <v>45657</v>
      </c>
      <c r="D15455" t="inlineStr">
        <is>
          <t>VÄSTERNORRLANDS LÄN</t>
        </is>
      </c>
      <c r="E15455" t="inlineStr">
        <is>
          <t>ÖRNSKÖLDSVIK</t>
        </is>
      </c>
      <c r="F15455" t="inlineStr">
        <is>
          <t>Holmen skog AB</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46558-2024</t>
        </is>
      </c>
      <c r="B15456" s="1" t="n">
        <v>45582</v>
      </c>
      <c r="C15456" s="1" t="n">
        <v>45657</v>
      </c>
      <c r="D15456" t="inlineStr">
        <is>
          <t>VÄSTERNORRLANDS LÄN</t>
        </is>
      </c>
      <c r="E15456" t="inlineStr">
        <is>
          <t>ÖRNSKÖLDSVIK</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46570-2024</t>
        </is>
      </c>
      <c r="B15457" s="1" t="n">
        <v>45582</v>
      </c>
      <c r="C15457" s="1" t="n">
        <v>45657</v>
      </c>
      <c r="D15457" t="inlineStr">
        <is>
          <t>VÄSTERNORRLANDS LÄN</t>
        </is>
      </c>
      <c r="E15457" t="inlineStr">
        <is>
          <t>ÖRNSKÖLDSVIK</t>
        </is>
      </c>
      <c r="F15457" t="inlineStr">
        <is>
          <t>Holmen skog AB</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46354-2024</t>
        </is>
      </c>
      <c r="B15458" s="1" t="n">
        <v>45582</v>
      </c>
      <c r="C15458" s="1" t="n">
        <v>45657</v>
      </c>
      <c r="D15458" t="inlineStr">
        <is>
          <t>VÄSTERNORRLANDS LÄN</t>
        </is>
      </c>
      <c r="E15458" t="inlineStr">
        <is>
          <t>ÅNGE</t>
        </is>
      </c>
      <c r="F15458" t="inlineStr">
        <is>
          <t>SCA</t>
        </is>
      </c>
      <c r="G15458" t="n">
        <v>32.8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46350-2024</t>
        </is>
      </c>
      <c r="B15459" s="1" t="n">
        <v>45582</v>
      </c>
      <c r="C15459" s="1" t="n">
        <v>45657</v>
      </c>
      <c r="D15459" t="inlineStr">
        <is>
          <t>VÄSTERNORRLANDS LÄN</t>
        </is>
      </c>
      <c r="E15459" t="inlineStr">
        <is>
          <t>ÖRNSKÖLDSVIK</t>
        </is>
      </c>
      <c r="F15459" t="inlineStr">
        <is>
          <t>Holmen skog AB</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46563-2024</t>
        </is>
      </c>
      <c r="B15460" s="1" t="n">
        <v>45582</v>
      </c>
      <c r="C15460" s="1" t="n">
        <v>45657</v>
      </c>
      <c r="D15460" t="inlineStr">
        <is>
          <t>VÄSTERNORRLANDS LÄN</t>
        </is>
      </c>
      <c r="E15460" t="inlineStr">
        <is>
          <t>ÖRNSKÖLDSVIK</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46356-2024</t>
        </is>
      </c>
      <c r="B15461" s="1" t="n">
        <v>45582</v>
      </c>
      <c r="C15461" s="1" t="n">
        <v>45657</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46553-2024</t>
        </is>
      </c>
      <c r="B15462" s="1" t="n">
        <v>45582</v>
      </c>
      <c r="C15462" s="1" t="n">
        <v>45657</v>
      </c>
      <c r="D15462" t="inlineStr">
        <is>
          <t>VÄSTERNORRLANDS LÄN</t>
        </is>
      </c>
      <c r="E15462" t="inlineStr">
        <is>
          <t>ÖRNSKÖLDSVIK</t>
        </is>
      </c>
      <c r="F15462" t="inlineStr">
        <is>
          <t>Holmen skog AB</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46772-2024</t>
        </is>
      </c>
      <c r="B15463" s="1" t="n">
        <v>45583</v>
      </c>
      <c r="C15463" s="1" t="n">
        <v>45657</v>
      </c>
      <c r="D15463" t="inlineStr">
        <is>
          <t>VÄSTERNORRLANDS LÄN</t>
        </is>
      </c>
      <c r="E15463" t="inlineStr">
        <is>
          <t>SOLLEFTEÅ</t>
        </is>
      </c>
      <c r="F15463" t="inlineStr">
        <is>
          <t>SCA</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46780-2024</t>
        </is>
      </c>
      <c r="B15464" s="1" t="n">
        <v>45583</v>
      </c>
      <c r="C15464" s="1" t="n">
        <v>45657</v>
      </c>
      <c r="D15464" t="inlineStr">
        <is>
          <t>VÄSTERNORRLANDS LÄN</t>
        </is>
      </c>
      <c r="E15464" t="inlineStr">
        <is>
          <t>ÅNGE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46850-2024</t>
        </is>
      </c>
      <c r="B15465" s="1" t="n">
        <v>45583</v>
      </c>
      <c r="C15465" s="1" t="n">
        <v>45657</v>
      </c>
      <c r="D15465" t="inlineStr">
        <is>
          <t>VÄSTERNORRLANDS LÄN</t>
        </is>
      </c>
      <c r="E15465" t="inlineStr">
        <is>
          <t>SOLLEFTEÅ</t>
        </is>
      </c>
      <c r="F15465" t="inlineStr">
        <is>
          <t>SCA</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46826-2024</t>
        </is>
      </c>
      <c r="B15466" s="1" t="n">
        <v>45583</v>
      </c>
      <c r="C15466" s="1" t="n">
        <v>45657</v>
      </c>
      <c r="D15466" t="inlineStr">
        <is>
          <t>VÄSTERNORRLANDS LÄN</t>
        </is>
      </c>
      <c r="E15466" t="inlineStr">
        <is>
          <t>ÖRNSKÖLDSVIK</t>
        </is>
      </c>
      <c r="F15466" t="inlineStr">
        <is>
          <t>Holmen skog AB</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46814-2024</t>
        </is>
      </c>
      <c r="B15467" s="1" t="n">
        <v>45583</v>
      </c>
      <c r="C15467" s="1" t="n">
        <v>45657</v>
      </c>
      <c r="D15467" t="inlineStr">
        <is>
          <t>VÄSTERNORRLANDS LÄN</t>
        </is>
      </c>
      <c r="E15467" t="inlineStr">
        <is>
          <t>SUNDSVALL</t>
        </is>
      </c>
      <c r="F15467" t="inlineStr">
        <is>
          <t>SCA</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46733-2024</t>
        </is>
      </c>
      <c r="B15468" s="1" t="n">
        <v>45583</v>
      </c>
      <c r="C15468" s="1" t="n">
        <v>45657</v>
      </c>
      <c r="D15468" t="inlineStr">
        <is>
          <t>VÄSTERNORRLANDS LÄN</t>
        </is>
      </c>
      <c r="E15468" t="inlineStr">
        <is>
          <t>ÅNGE</t>
        </is>
      </c>
      <c r="F15468" t="inlineStr">
        <is>
          <t>SCA</t>
        </is>
      </c>
      <c r="G15468" t="n">
        <v>8.6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46707-2024</t>
        </is>
      </c>
      <c r="B15469" s="1" t="n">
        <v>45583</v>
      </c>
      <c r="C15469" s="1" t="n">
        <v>45657</v>
      </c>
      <c r="D15469" t="inlineStr">
        <is>
          <t>VÄSTERNORRLANDS LÄN</t>
        </is>
      </c>
      <c r="E15469" t="inlineStr">
        <is>
          <t>HÄRNÖSAND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46765-2024</t>
        </is>
      </c>
      <c r="B15470" s="1" t="n">
        <v>45583</v>
      </c>
      <c r="C15470" s="1" t="n">
        <v>45657</v>
      </c>
      <c r="D15470" t="inlineStr">
        <is>
          <t>VÄSTERNORRLANDS LÄN</t>
        </is>
      </c>
      <c r="E15470" t="inlineStr">
        <is>
          <t>SOLLEFTEÅ</t>
        </is>
      </c>
      <c r="F15470" t="inlineStr">
        <is>
          <t>SCA</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46755-2024</t>
        </is>
      </c>
      <c r="B15471" s="1" t="n">
        <v>45583</v>
      </c>
      <c r="C15471" s="1" t="n">
        <v>45657</v>
      </c>
      <c r="D15471" t="inlineStr">
        <is>
          <t>VÄSTERNORRLANDS LÄN</t>
        </is>
      </c>
      <c r="E15471" t="inlineStr">
        <is>
          <t>SOLLEFTEÅ</t>
        </is>
      </c>
      <c r="F15471" t="inlineStr">
        <is>
          <t>SCA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46759-2024</t>
        </is>
      </c>
      <c r="B15472" s="1" t="n">
        <v>45583</v>
      </c>
      <c r="C15472" s="1" t="n">
        <v>45657</v>
      </c>
      <c r="D15472" t="inlineStr">
        <is>
          <t>VÄSTERNORRLANDS LÄN</t>
        </is>
      </c>
      <c r="E15472" t="inlineStr">
        <is>
          <t>SOLLEFTEÅ</t>
        </is>
      </c>
      <c r="F15472" t="inlineStr">
        <is>
          <t>SCA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46767-2024</t>
        </is>
      </c>
      <c r="B15473" s="1" t="n">
        <v>45583</v>
      </c>
      <c r="C15473" s="1" t="n">
        <v>45657</v>
      </c>
      <c r="D15473" t="inlineStr">
        <is>
          <t>VÄSTERNORRLANDS LÄN</t>
        </is>
      </c>
      <c r="E15473" t="inlineStr">
        <is>
          <t>SOLLEFTEÅ</t>
        </is>
      </c>
      <c r="F15473" t="inlineStr">
        <is>
          <t>SCA</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46775-2024</t>
        </is>
      </c>
      <c r="B15474" s="1" t="n">
        <v>45583</v>
      </c>
      <c r="C15474" s="1" t="n">
        <v>45657</v>
      </c>
      <c r="D15474" t="inlineStr">
        <is>
          <t>VÄSTERNORRLANDS LÄN</t>
        </is>
      </c>
      <c r="E15474" t="inlineStr">
        <is>
          <t>ÅNGE</t>
        </is>
      </c>
      <c r="F15474" t="inlineStr">
        <is>
          <t>SCA</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46770-2024</t>
        </is>
      </c>
      <c r="B15475" s="1" t="n">
        <v>45583</v>
      </c>
      <c r="C15475" s="1" t="n">
        <v>45657</v>
      </c>
      <c r="D15475" t="inlineStr">
        <is>
          <t>VÄSTERNORRLANDS LÄN</t>
        </is>
      </c>
      <c r="E15475" t="inlineStr">
        <is>
          <t>SOLLEFTEÅ</t>
        </is>
      </c>
      <c r="F15475" t="inlineStr">
        <is>
          <t>SCA</t>
        </is>
      </c>
      <c r="G15475" t="n">
        <v>5.1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46758-2024</t>
        </is>
      </c>
      <c r="B15476" s="1" t="n">
        <v>45583</v>
      </c>
      <c r="C15476" s="1" t="n">
        <v>45657</v>
      </c>
      <c r="D15476" t="inlineStr">
        <is>
          <t>VÄSTERNORRLANDS LÄN</t>
        </is>
      </c>
      <c r="E15476" t="inlineStr">
        <is>
          <t>SOLLEFTEÅ</t>
        </is>
      </c>
      <c r="F15476" t="inlineStr">
        <is>
          <t>SCA</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46685-2024</t>
        </is>
      </c>
      <c r="B15477" s="1" t="n">
        <v>45583</v>
      </c>
      <c r="C15477" s="1" t="n">
        <v>45657</v>
      </c>
      <c r="D15477" t="inlineStr">
        <is>
          <t>VÄSTERNORRLANDS LÄN</t>
        </is>
      </c>
      <c r="E15477" t="inlineStr">
        <is>
          <t>ÖRNSKÖLDSVIK</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46623-2024</t>
        </is>
      </c>
      <c r="B15478" s="1" t="n">
        <v>45583</v>
      </c>
      <c r="C15478" s="1" t="n">
        <v>45657</v>
      </c>
      <c r="D15478" t="inlineStr">
        <is>
          <t>VÄSTERNORRLANDS LÄN</t>
        </is>
      </c>
      <c r="E15478" t="inlineStr">
        <is>
          <t>ÖRNSKÖLDSVIK</t>
        </is>
      </c>
      <c r="G15478" t="n">
        <v>7.4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46678-2024</t>
        </is>
      </c>
      <c r="B15479" s="1" t="n">
        <v>45583</v>
      </c>
      <c r="C15479" s="1" t="n">
        <v>45657</v>
      </c>
      <c r="D15479" t="inlineStr">
        <is>
          <t>VÄSTERNORRLANDS LÄN</t>
        </is>
      </c>
      <c r="E15479" t="inlineStr">
        <is>
          <t>ÅNGE</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46630-2024</t>
        </is>
      </c>
      <c r="B15480" s="1" t="n">
        <v>45583</v>
      </c>
      <c r="C15480" s="1" t="n">
        <v>45657</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46907-2024</t>
        </is>
      </c>
      <c r="B15481" s="1" t="n">
        <v>45583</v>
      </c>
      <c r="C15481" s="1" t="n">
        <v>45657</v>
      </c>
      <c r="D15481" t="inlineStr">
        <is>
          <t>VÄSTERNORRLANDS LÄN</t>
        </is>
      </c>
      <c r="E15481" t="inlineStr">
        <is>
          <t>SUNDSVALL</t>
        </is>
      </c>
      <c r="F15481" t="inlineStr">
        <is>
          <t>SCA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46971-2024</t>
        </is>
      </c>
      <c r="B15482" s="1" t="n">
        <v>45586</v>
      </c>
      <c r="C15482" s="1" t="n">
        <v>45657</v>
      </c>
      <c r="D15482" t="inlineStr">
        <is>
          <t>VÄSTERNORRLANDS LÄN</t>
        </is>
      </c>
      <c r="E15482" t="inlineStr">
        <is>
          <t>ÖRNSKÖLDSVIK</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46977-2024</t>
        </is>
      </c>
      <c r="B15483" s="1" t="n">
        <v>45586</v>
      </c>
      <c r="C15483" s="1" t="n">
        <v>45657</v>
      </c>
      <c r="D15483" t="inlineStr">
        <is>
          <t>VÄSTERNORRLANDS LÄN</t>
        </is>
      </c>
      <c r="E15483" t="inlineStr">
        <is>
          <t>ÖRNSKÖLDSVIK</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46992-2024</t>
        </is>
      </c>
      <c r="B15484" s="1" t="n">
        <v>45586</v>
      </c>
      <c r="C15484" s="1" t="n">
        <v>45657</v>
      </c>
      <c r="D15484" t="inlineStr">
        <is>
          <t>VÄSTERNORRLANDS LÄN</t>
        </is>
      </c>
      <c r="E15484" t="inlineStr">
        <is>
          <t>ÖRNSKÖLDSVIK</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47175-2024</t>
        </is>
      </c>
      <c r="B15485" s="1" t="n">
        <v>45586</v>
      </c>
      <c r="C15485" s="1" t="n">
        <v>45657</v>
      </c>
      <c r="D15485" t="inlineStr">
        <is>
          <t>VÄSTERNORRLANDS LÄN</t>
        </is>
      </c>
      <c r="E15485" t="inlineStr">
        <is>
          <t>SOLLEFTEÅ</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47179-2024</t>
        </is>
      </c>
      <c r="B15486" s="1" t="n">
        <v>45586</v>
      </c>
      <c r="C15486" s="1" t="n">
        <v>45657</v>
      </c>
      <c r="D15486" t="inlineStr">
        <is>
          <t>VÄSTERNORRLANDS LÄN</t>
        </is>
      </c>
      <c r="E15486" t="inlineStr">
        <is>
          <t>SOLLEFTEÅ</t>
        </is>
      </c>
      <c r="F15486" t="inlineStr">
        <is>
          <t>SCA</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47243-2024</t>
        </is>
      </c>
      <c r="B15487" s="1" t="n">
        <v>45586</v>
      </c>
      <c r="C15487" s="1" t="n">
        <v>45657</v>
      </c>
      <c r="D15487" t="inlineStr">
        <is>
          <t>VÄSTERNORRLANDS LÄN</t>
        </is>
      </c>
      <c r="E15487" t="inlineStr">
        <is>
          <t>ÅNGE</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47177-2024</t>
        </is>
      </c>
      <c r="B15488" s="1" t="n">
        <v>45586</v>
      </c>
      <c r="C15488" s="1" t="n">
        <v>45657</v>
      </c>
      <c r="D15488" t="inlineStr">
        <is>
          <t>VÄSTERNORRLANDS LÄN</t>
        </is>
      </c>
      <c r="E15488" t="inlineStr">
        <is>
          <t>SUNDSVALL</t>
        </is>
      </c>
      <c r="F15488" t="inlineStr">
        <is>
          <t>SCA</t>
        </is>
      </c>
      <c r="G15488" t="n">
        <v>12.3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47112-2024</t>
        </is>
      </c>
      <c r="B15489" s="1" t="n">
        <v>45586</v>
      </c>
      <c r="C15489" s="1" t="n">
        <v>45657</v>
      </c>
      <c r="D15489" t="inlineStr">
        <is>
          <t>VÄSTERNORRLANDS LÄN</t>
        </is>
      </c>
      <c r="E15489" t="inlineStr">
        <is>
          <t>HÄRNÖSAND</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47269-2024</t>
        </is>
      </c>
      <c r="B15490" s="1" t="n">
        <v>45586</v>
      </c>
      <c r="C15490" s="1" t="n">
        <v>45657</v>
      </c>
      <c r="D15490" t="inlineStr">
        <is>
          <t>VÄSTERNORRLANDS LÄN</t>
        </is>
      </c>
      <c r="E15490" t="inlineStr">
        <is>
          <t>SUNDSVALL</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47244-2024</t>
        </is>
      </c>
      <c r="B15491" s="1" t="n">
        <v>45586</v>
      </c>
      <c r="C15491" s="1" t="n">
        <v>45657</v>
      </c>
      <c r="D15491" t="inlineStr">
        <is>
          <t>VÄSTERNORRLANDS LÄN</t>
        </is>
      </c>
      <c r="E15491" t="inlineStr">
        <is>
          <t>ÖRNSKÖLDSVIK</t>
        </is>
      </c>
      <c r="F15491" t="inlineStr">
        <is>
          <t>SCA</t>
        </is>
      </c>
      <c r="G15491" t="n">
        <v>6.3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47208-2024</t>
        </is>
      </c>
      <c r="B15492" s="1" t="n">
        <v>45586</v>
      </c>
      <c r="C15492" s="1" t="n">
        <v>45657</v>
      </c>
      <c r="D15492" t="inlineStr">
        <is>
          <t>VÄSTERNORRLANDS LÄN</t>
        </is>
      </c>
      <c r="E15492" t="inlineStr">
        <is>
          <t>ÖRNSKÖLDSVIK</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47172-2024</t>
        </is>
      </c>
      <c r="B15493" s="1" t="n">
        <v>45586</v>
      </c>
      <c r="C15493" s="1" t="n">
        <v>45657</v>
      </c>
      <c r="D15493" t="inlineStr">
        <is>
          <t>VÄSTERNORRLANDS LÄN</t>
        </is>
      </c>
      <c r="E15493" t="inlineStr">
        <is>
          <t>SUNDSVALL</t>
        </is>
      </c>
      <c r="F15493" t="inlineStr">
        <is>
          <t>SCA</t>
        </is>
      </c>
      <c r="G15493" t="n">
        <v>9.800000000000001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47023-2024</t>
        </is>
      </c>
      <c r="B15494" s="1" t="n">
        <v>45586</v>
      </c>
      <c r="C15494" s="1" t="n">
        <v>45657</v>
      </c>
      <c r="D15494" t="inlineStr">
        <is>
          <t>VÄSTERNORRLANDS LÄN</t>
        </is>
      </c>
      <c r="E15494" t="inlineStr">
        <is>
          <t>SUNDSVALL</t>
        </is>
      </c>
      <c r="G15494" t="n">
        <v>9.300000000000001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47015-2024</t>
        </is>
      </c>
      <c r="B15495" s="1" t="n">
        <v>45586</v>
      </c>
      <c r="C15495" s="1" t="n">
        <v>45657</v>
      </c>
      <c r="D15495" t="inlineStr">
        <is>
          <t>VÄSTERNORRLANDS LÄN</t>
        </is>
      </c>
      <c r="E15495" t="inlineStr">
        <is>
          <t>ÖRNSKÖLDSVIK</t>
        </is>
      </c>
      <c r="F15495" t="inlineStr">
        <is>
          <t>Holmen skog AB</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46989-2024</t>
        </is>
      </c>
      <c r="B15496" s="1" t="n">
        <v>45586</v>
      </c>
      <c r="C15496" s="1" t="n">
        <v>45657</v>
      </c>
      <c r="D15496" t="inlineStr">
        <is>
          <t>VÄSTERNORRLANDS LÄN</t>
        </is>
      </c>
      <c r="E15496" t="inlineStr">
        <is>
          <t>ÖRNSKÖLDSVIK</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46973-2024</t>
        </is>
      </c>
      <c r="B15497" s="1" t="n">
        <v>45586</v>
      </c>
      <c r="C15497" s="1" t="n">
        <v>45657</v>
      </c>
      <c r="D15497" t="inlineStr">
        <is>
          <t>VÄSTERNORRLANDS LÄN</t>
        </is>
      </c>
      <c r="E15497" t="inlineStr">
        <is>
          <t>SOLLEFTEÅ</t>
        </is>
      </c>
      <c r="F15497" t="inlineStr">
        <is>
          <t>SCA</t>
        </is>
      </c>
      <c r="G15497" t="n">
        <v>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46995-2024</t>
        </is>
      </c>
      <c r="B15498" s="1" t="n">
        <v>45586</v>
      </c>
      <c r="C15498" s="1" t="n">
        <v>45657</v>
      </c>
      <c r="D15498" t="inlineStr">
        <is>
          <t>VÄSTERNORRLANDS LÄN</t>
        </is>
      </c>
      <c r="E15498" t="inlineStr">
        <is>
          <t>ÖRNSKÖLDSVIK</t>
        </is>
      </c>
      <c r="F15498" t="inlineStr">
        <is>
          <t>Holmen skog AB</t>
        </is>
      </c>
      <c r="G15498" t="n">
        <v>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47033-2024</t>
        </is>
      </c>
      <c r="B15499" s="1" t="n">
        <v>45586</v>
      </c>
      <c r="C15499" s="1" t="n">
        <v>45657</v>
      </c>
      <c r="D15499" t="inlineStr">
        <is>
          <t>VÄSTERNORRLANDS LÄN</t>
        </is>
      </c>
      <c r="E15499" t="inlineStr">
        <is>
          <t>ÖRNSKÖLDSVIK</t>
        </is>
      </c>
      <c r="F15499" t="inlineStr">
        <is>
          <t>Holmen skog AB</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47089-2024</t>
        </is>
      </c>
      <c r="B15500" s="1" t="n">
        <v>45586</v>
      </c>
      <c r="C15500" s="1" t="n">
        <v>45657</v>
      </c>
      <c r="D15500" t="inlineStr">
        <is>
          <t>VÄSTERNORRLANDS LÄN</t>
        </is>
      </c>
      <c r="E15500" t="inlineStr">
        <is>
          <t>TIMRÅ</t>
        </is>
      </c>
      <c r="F15500" t="inlineStr">
        <is>
          <t>SCA</t>
        </is>
      </c>
      <c r="G15500" t="n">
        <v>5.4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47040-2024</t>
        </is>
      </c>
      <c r="B15501" s="1" t="n">
        <v>45586</v>
      </c>
      <c r="C15501" s="1" t="n">
        <v>45657</v>
      </c>
      <c r="D15501" t="inlineStr">
        <is>
          <t>VÄSTERNORRLANDS LÄN</t>
        </is>
      </c>
      <c r="E15501" t="inlineStr">
        <is>
          <t>ÖRNSKÖLDSVIK</t>
        </is>
      </c>
      <c r="F15501" t="inlineStr">
        <is>
          <t>Holmen skog AB</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47032-2024</t>
        </is>
      </c>
      <c r="B15502" s="1" t="n">
        <v>45586</v>
      </c>
      <c r="C15502" s="1" t="n">
        <v>45657</v>
      </c>
      <c r="D15502" t="inlineStr">
        <is>
          <t>VÄSTERNORRLANDS LÄN</t>
        </is>
      </c>
      <c r="E15502" t="inlineStr">
        <is>
          <t>HÄRNÖSAND</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47016-2024</t>
        </is>
      </c>
      <c r="B15503" s="1" t="n">
        <v>45586</v>
      </c>
      <c r="C15503" s="1" t="n">
        <v>45657</v>
      </c>
      <c r="D15503" t="inlineStr">
        <is>
          <t>VÄSTERNORRLANDS LÄN</t>
        </is>
      </c>
      <c r="E15503" t="inlineStr">
        <is>
          <t>ÖRNSKÖLDSVIK</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46986-2024</t>
        </is>
      </c>
      <c r="B15504" s="1" t="n">
        <v>45586</v>
      </c>
      <c r="C15504" s="1" t="n">
        <v>45657</v>
      </c>
      <c r="D15504" t="inlineStr">
        <is>
          <t>VÄSTERNORRLANDS LÄN</t>
        </is>
      </c>
      <c r="E15504" t="inlineStr">
        <is>
          <t>ÖRNSKÖLDSVIK</t>
        </is>
      </c>
      <c r="F15504" t="inlineStr">
        <is>
          <t>Holmen skog AB</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47268-2024</t>
        </is>
      </c>
      <c r="B15505" s="1" t="n">
        <v>45586</v>
      </c>
      <c r="C15505" s="1" t="n">
        <v>45657</v>
      </c>
      <c r="D15505" t="inlineStr">
        <is>
          <t>VÄSTERNORRLANDS LÄN</t>
        </is>
      </c>
      <c r="E15505" t="inlineStr">
        <is>
          <t>SUNDSVALL</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47174-2024</t>
        </is>
      </c>
      <c r="B15506" s="1" t="n">
        <v>45586</v>
      </c>
      <c r="C15506" s="1" t="n">
        <v>45657</v>
      </c>
      <c r="D15506" t="inlineStr">
        <is>
          <t>VÄSTERNORRLANDS LÄN</t>
        </is>
      </c>
      <c r="E15506" t="inlineStr">
        <is>
          <t>SUNDSVALL</t>
        </is>
      </c>
      <c r="F15506" t="inlineStr">
        <is>
          <t>SCA</t>
        </is>
      </c>
      <c r="G15506" t="n">
        <v>5.5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47178-2024</t>
        </is>
      </c>
      <c r="B15507" s="1" t="n">
        <v>45586</v>
      </c>
      <c r="C15507" s="1" t="n">
        <v>45657</v>
      </c>
      <c r="D15507" t="inlineStr">
        <is>
          <t>VÄSTERNORRLANDS LÄN</t>
        </is>
      </c>
      <c r="E15507" t="inlineStr">
        <is>
          <t>ÖRNSKÖLDSVIK</t>
        </is>
      </c>
      <c r="F15507" t="inlineStr">
        <is>
          <t>SCA</t>
        </is>
      </c>
      <c r="G15507" t="n">
        <v>10.4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47246-2024</t>
        </is>
      </c>
      <c r="B15508" s="1" t="n">
        <v>45586</v>
      </c>
      <c r="C15508" s="1" t="n">
        <v>45657</v>
      </c>
      <c r="D15508" t="inlineStr">
        <is>
          <t>VÄSTERNORRLANDS LÄN</t>
        </is>
      </c>
      <c r="E15508" t="inlineStr">
        <is>
          <t>SUNDSVALL</t>
        </is>
      </c>
      <c r="F15508" t="inlineStr">
        <is>
          <t>SCA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47566-2024</t>
        </is>
      </c>
      <c r="B15509" s="1" t="n">
        <v>45587</v>
      </c>
      <c r="C15509" s="1" t="n">
        <v>45657</v>
      </c>
      <c r="D15509" t="inlineStr">
        <is>
          <t>VÄSTERNORRLANDS LÄN</t>
        </is>
      </c>
      <c r="E15509" t="inlineStr">
        <is>
          <t>ÖRNSKÖLDSVIK</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47535-2024</t>
        </is>
      </c>
      <c r="B15510" s="1" t="n">
        <v>45587</v>
      </c>
      <c r="C15510" s="1" t="n">
        <v>45657</v>
      </c>
      <c r="D15510" t="inlineStr">
        <is>
          <t>VÄSTERNORRLANDS LÄN</t>
        </is>
      </c>
      <c r="E15510" t="inlineStr">
        <is>
          <t>ÖRNSKÖLDSVIK</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47523-2024</t>
        </is>
      </c>
      <c r="B15511" s="1" t="n">
        <v>45587</v>
      </c>
      <c r="C15511" s="1" t="n">
        <v>45657</v>
      </c>
      <c r="D15511" t="inlineStr">
        <is>
          <t>VÄSTERNORRLANDS LÄN</t>
        </is>
      </c>
      <c r="E15511" t="inlineStr">
        <is>
          <t>KRAMFORS</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47469-2024</t>
        </is>
      </c>
      <c r="B15512" s="1" t="n">
        <v>45587</v>
      </c>
      <c r="C15512" s="1" t="n">
        <v>45657</v>
      </c>
      <c r="D15512" t="inlineStr">
        <is>
          <t>VÄSTERNORRLANDS LÄN</t>
        </is>
      </c>
      <c r="E15512" t="inlineStr">
        <is>
          <t>ÖRNSKÖLDSVIK</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47477-2024</t>
        </is>
      </c>
      <c r="B15513" s="1" t="n">
        <v>45587</v>
      </c>
      <c r="C15513" s="1" t="n">
        <v>45657</v>
      </c>
      <c r="D15513" t="inlineStr">
        <is>
          <t>VÄSTERNORRLANDS LÄN</t>
        </is>
      </c>
      <c r="E15513" t="inlineStr">
        <is>
          <t>ÖRNSKÖLDSVIK</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47480-2024</t>
        </is>
      </c>
      <c r="B15514" s="1" t="n">
        <v>45587</v>
      </c>
      <c r="C15514" s="1" t="n">
        <v>45657</v>
      </c>
      <c r="D15514" t="inlineStr">
        <is>
          <t>VÄSTERNORRLANDS LÄN</t>
        </is>
      </c>
      <c r="E15514" t="inlineStr">
        <is>
          <t>ÖRNSKÖLDSVIK</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47471-2024</t>
        </is>
      </c>
      <c r="B15515" s="1" t="n">
        <v>45587</v>
      </c>
      <c r="C15515" s="1" t="n">
        <v>45657</v>
      </c>
      <c r="D15515" t="inlineStr">
        <is>
          <t>VÄSTERNORRLANDS LÄN</t>
        </is>
      </c>
      <c r="E15515" t="inlineStr">
        <is>
          <t>SOLLEFTEÅ</t>
        </is>
      </c>
      <c r="F15515" t="inlineStr">
        <is>
          <t>SCA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47438-2024</t>
        </is>
      </c>
      <c r="B15516" s="1" t="n">
        <v>45587</v>
      </c>
      <c r="C15516" s="1" t="n">
        <v>45657</v>
      </c>
      <c r="D15516" t="inlineStr">
        <is>
          <t>VÄSTERNORRLANDS LÄN</t>
        </is>
      </c>
      <c r="E15516" t="inlineStr">
        <is>
          <t>ÖRNSKÖLDSVIK</t>
        </is>
      </c>
      <c r="G15516" t="n">
        <v>11.8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47354-2024</t>
        </is>
      </c>
      <c r="B15517" s="1" t="n">
        <v>45587</v>
      </c>
      <c r="C15517" s="1" t="n">
        <v>45657</v>
      </c>
      <c r="D15517" t="inlineStr">
        <is>
          <t>VÄSTERNORRLANDS LÄN</t>
        </is>
      </c>
      <c r="E15517" t="inlineStr">
        <is>
          <t>SOLLEFTEÅ</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47312-2024</t>
        </is>
      </c>
      <c r="B15518" s="1" t="n">
        <v>45587</v>
      </c>
      <c r="C15518" s="1" t="n">
        <v>45657</v>
      </c>
      <c r="D15518" t="inlineStr">
        <is>
          <t>VÄSTERNORRLANDS LÄN</t>
        </is>
      </c>
      <c r="E15518" t="inlineStr">
        <is>
          <t>ÖRNSKÖLDSVIK</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47298-2024</t>
        </is>
      </c>
      <c r="B15519" s="1" t="n">
        <v>45587</v>
      </c>
      <c r="C15519" s="1" t="n">
        <v>45657</v>
      </c>
      <c r="D15519" t="inlineStr">
        <is>
          <t>VÄSTERNORRLANDS LÄN</t>
        </is>
      </c>
      <c r="E15519" t="inlineStr">
        <is>
          <t>ÅNGE</t>
        </is>
      </c>
      <c r="F15519" t="inlineStr">
        <is>
          <t>SCA</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47339-2024</t>
        </is>
      </c>
      <c r="B15520" s="1" t="n">
        <v>45587</v>
      </c>
      <c r="C15520" s="1" t="n">
        <v>45657</v>
      </c>
      <c r="D15520" t="inlineStr">
        <is>
          <t>VÄSTERNORRLANDS LÄN</t>
        </is>
      </c>
      <c r="E15520" t="inlineStr">
        <is>
          <t>ÖRNSKÖLDSVIK</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47341-2024</t>
        </is>
      </c>
      <c r="B15521" s="1" t="n">
        <v>45587</v>
      </c>
      <c r="C15521" s="1" t="n">
        <v>45657</v>
      </c>
      <c r="D15521" t="inlineStr">
        <is>
          <t>VÄSTERNORRLANDS LÄN</t>
        </is>
      </c>
      <c r="E15521" t="inlineStr">
        <is>
          <t>TIMRÅ</t>
        </is>
      </c>
      <c r="F15521" t="inlineStr">
        <is>
          <t>SCA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47605-2024</t>
        </is>
      </c>
      <c r="B15522" s="1" t="n">
        <v>45587</v>
      </c>
      <c r="C15522" s="1" t="n">
        <v>45657</v>
      </c>
      <c r="D15522" t="inlineStr">
        <is>
          <t>VÄSTERNORRLANDS LÄN</t>
        </is>
      </c>
      <c r="E15522" t="inlineStr">
        <is>
          <t>ÖRNSKÖLDSVIK</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47286-2024</t>
        </is>
      </c>
      <c r="B15523" s="1" t="n">
        <v>45587</v>
      </c>
      <c r="C15523" s="1" t="n">
        <v>45657</v>
      </c>
      <c r="D15523" t="inlineStr">
        <is>
          <t>VÄSTERNORRLANDS LÄN</t>
        </is>
      </c>
      <c r="E15523" t="inlineStr">
        <is>
          <t>ÖRNSKÖLDSVIK</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47526-2024</t>
        </is>
      </c>
      <c r="B15524" s="1" t="n">
        <v>45587</v>
      </c>
      <c r="C15524" s="1" t="n">
        <v>45657</v>
      </c>
      <c r="D15524" t="inlineStr">
        <is>
          <t>VÄSTERNORRLANDS LÄN</t>
        </is>
      </c>
      <c r="E15524" t="inlineStr">
        <is>
          <t>ÖRNSKÖLDSVIK</t>
        </is>
      </c>
      <c r="F15524" t="inlineStr">
        <is>
          <t>Holmen skog AB</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47542-2024</t>
        </is>
      </c>
      <c r="B15525" s="1" t="n">
        <v>45587</v>
      </c>
      <c r="C15525" s="1" t="n">
        <v>45657</v>
      </c>
      <c r="D15525" t="inlineStr">
        <is>
          <t>VÄSTERNORRLANDS LÄN</t>
        </is>
      </c>
      <c r="E15525" t="inlineStr">
        <is>
          <t>ÖRNSKÖLDSVIK</t>
        </is>
      </c>
      <c r="F15525" t="inlineStr">
        <is>
          <t>Holmen skog AB</t>
        </is>
      </c>
      <c r="G15525" t="n">
        <v>12.2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47547-2024</t>
        </is>
      </c>
      <c r="B15526" s="1" t="n">
        <v>45587</v>
      </c>
      <c r="C15526" s="1" t="n">
        <v>45657</v>
      </c>
      <c r="D15526" t="inlineStr">
        <is>
          <t>VÄSTERNORRLANDS LÄN</t>
        </is>
      </c>
      <c r="E15526" t="inlineStr">
        <is>
          <t>SOLLEFTEÅ</t>
        </is>
      </c>
      <c r="F15526" t="inlineStr">
        <is>
          <t>SCA</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47296-2024</t>
        </is>
      </c>
      <c r="B15527" s="1" t="n">
        <v>45587</v>
      </c>
      <c r="C15527" s="1" t="n">
        <v>45657</v>
      </c>
      <c r="D15527" t="inlineStr">
        <is>
          <t>VÄSTERNORRLANDS LÄN</t>
        </is>
      </c>
      <c r="E15527" t="inlineStr">
        <is>
          <t>ÅNGE</t>
        </is>
      </c>
      <c r="F15527" t="inlineStr">
        <is>
          <t>SCA</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47629-2024</t>
        </is>
      </c>
      <c r="B15528" s="1" t="n">
        <v>45588</v>
      </c>
      <c r="C15528" s="1" t="n">
        <v>45657</v>
      </c>
      <c r="D15528" t="inlineStr">
        <is>
          <t>VÄSTERNORRLANDS LÄN</t>
        </is>
      </c>
      <c r="E15528" t="inlineStr">
        <is>
          <t>SUNDSVALL</t>
        </is>
      </c>
      <c r="F15528" t="inlineStr">
        <is>
          <t>SCA</t>
        </is>
      </c>
      <c r="G15528" t="n">
        <v>5.4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47670-2024</t>
        </is>
      </c>
      <c r="B15529" s="1" t="n">
        <v>45588</v>
      </c>
      <c r="C15529" s="1" t="n">
        <v>45657</v>
      </c>
      <c r="D15529" t="inlineStr">
        <is>
          <t>VÄSTERNORRLANDS LÄN</t>
        </is>
      </c>
      <c r="E15529" t="inlineStr">
        <is>
          <t>ÖRNSKÖLDSVIK</t>
        </is>
      </c>
      <c r="F15529" t="inlineStr">
        <is>
          <t>Holmen skog AB</t>
        </is>
      </c>
      <c r="G15529" t="n">
        <v>9.4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47624-2024</t>
        </is>
      </c>
      <c r="B15530" s="1" t="n">
        <v>45588</v>
      </c>
      <c r="C15530" s="1" t="n">
        <v>45657</v>
      </c>
      <c r="D15530" t="inlineStr">
        <is>
          <t>VÄSTERNORRLANDS LÄN</t>
        </is>
      </c>
      <c r="E15530" t="inlineStr">
        <is>
          <t>ÅNGE</t>
        </is>
      </c>
      <c r="F15530" t="inlineStr">
        <is>
          <t>Holmen skog AB</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47769-2024</t>
        </is>
      </c>
      <c r="B15531" s="1" t="n">
        <v>45588</v>
      </c>
      <c r="C15531" s="1" t="n">
        <v>45657</v>
      </c>
      <c r="D15531" t="inlineStr">
        <is>
          <t>VÄSTERNORRLANDS LÄN</t>
        </is>
      </c>
      <c r="E15531" t="inlineStr">
        <is>
          <t>SUNDSVALL</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47652-2024</t>
        </is>
      </c>
      <c r="B15532" s="1" t="n">
        <v>45588</v>
      </c>
      <c r="C15532" s="1" t="n">
        <v>45657</v>
      </c>
      <c r="D15532" t="inlineStr">
        <is>
          <t>VÄSTERNORRLANDS LÄN</t>
        </is>
      </c>
      <c r="E15532" t="inlineStr">
        <is>
          <t>KRAMFORS</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47704-2024</t>
        </is>
      </c>
      <c r="B15533" s="1" t="n">
        <v>45588</v>
      </c>
      <c r="C15533" s="1" t="n">
        <v>45657</v>
      </c>
      <c r="D15533" t="inlineStr">
        <is>
          <t>VÄSTERNORRLANDS LÄN</t>
        </is>
      </c>
      <c r="E15533" t="inlineStr">
        <is>
          <t>ÖRNSKÖLDSVIK</t>
        </is>
      </c>
      <c r="F15533" t="inlineStr">
        <is>
          <t>Holmen skog AB</t>
        </is>
      </c>
      <c r="G15533" t="n">
        <v>12.9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47675-2024</t>
        </is>
      </c>
      <c r="B15534" s="1" t="n">
        <v>45588</v>
      </c>
      <c r="C15534" s="1" t="n">
        <v>45657</v>
      </c>
      <c r="D15534" t="inlineStr">
        <is>
          <t>VÄSTERNORRLANDS LÄN</t>
        </is>
      </c>
      <c r="E15534" t="inlineStr">
        <is>
          <t>KRAMFORS</t>
        </is>
      </c>
      <c r="G15534" t="n">
        <v>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47667-2024</t>
        </is>
      </c>
      <c r="B15535" s="1" t="n">
        <v>45588</v>
      </c>
      <c r="C15535" s="1" t="n">
        <v>45657</v>
      </c>
      <c r="D15535" t="inlineStr">
        <is>
          <t>VÄSTERNORRLANDS LÄN</t>
        </is>
      </c>
      <c r="E15535" t="inlineStr">
        <is>
          <t>KRAMFORS</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47659-2024</t>
        </is>
      </c>
      <c r="B15536" s="1" t="n">
        <v>45588</v>
      </c>
      <c r="C15536" s="1" t="n">
        <v>45657</v>
      </c>
      <c r="D15536" t="inlineStr">
        <is>
          <t>VÄSTERNORRLANDS LÄN</t>
        </is>
      </c>
      <c r="E15536" t="inlineStr">
        <is>
          <t>KRAMFORS</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47733-2024</t>
        </is>
      </c>
      <c r="B15537" s="1" t="n">
        <v>45588</v>
      </c>
      <c r="C15537" s="1" t="n">
        <v>45657</v>
      </c>
      <c r="D15537" t="inlineStr">
        <is>
          <t>VÄSTERNORRLANDS LÄN</t>
        </is>
      </c>
      <c r="E15537" t="inlineStr">
        <is>
          <t>SUNDSVALL</t>
        </is>
      </c>
      <c r="G15537" t="n">
        <v>11.4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47745-2024</t>
        </is>
      </c>
      <c r="B15538" s="1" t="n">
        <v>45588</v>
      </c>
      <c r="C15538" s="1" t="n">
        <v>45657</v>
      </c>
      <c r="D15538" t="inlineStr">
        <is>
          <t>VÄSTERNORRLANDS LÄN</t>
        </is>
      </c>
      <c r="E15538" t="inlineStr">
        <is>
          <t>SOLLEFTEÅ</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47786-2024</t>
        </is>
      </c>
      <c r="B15539" s="1" t="n">
        <v>45588</v>
      </c>
      <c r="C15539" s="1" t="n">
        <v>45657</v>
      </c>
      <c r="D15539" t="inlineStr">
        <is>
          <t>VÄSTERNORRLANDS LÄN</t>
        </is>
      </c>
      <c r="E15539" t="inlineStr">
        <is>
          <t>ÅNGE</t>
        </is>
      </c>
      <c r="F15539" t="inlineStr">
        <is>
          <t>SCA</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47641-2024</t>
        </is>
      </c>
      <c r="B15540" s="1" t="n">
        <v>45588</v>
      </c>
      <c r="C15540" s="1" t="n">
        <v>45657</v>
      </c>
      <c r="D15540" t="inlineStr">
        <is>
          <t>VÄSTERNORRLANDS LÄN</t>
        </is>
      </c>
      <c r="E15540" t="inlineStr">
        <is>
          <t>SOLLEFTEÅ</t>
        </is>
      </c>
      <c r="F15540" t="inlineStr">
        <is>
          <t>SCA</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47673-2024</t>
        </is>
      </c>
      <c r="B15541" s="1" t="n">
        <v>45588</v>
      </c>
      <c r="C15541" s="1" t="n">
        <v>45657</v>
      </c>
      <c r="D15541" t="inlineStr">
        <is>
          <t>VÄSTERNORRLANDS LÄN</t>
        </is>
      </c>
      <c r="E15541" t="inlineStr">
        <is>
          <t>KRAMFORS</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47714-2024</t>
        </is>
      </c>
      <c r="B15542" s="1" t="n">
        <v>45588</v>
      </c>
      <c r="C15542" s="1" t="n">
        <v>45657</v>
      </c>
      <c r="D15542" t="inlineStr">
        <is>
          <t>VÄSTERNORRLANDS LÄN</t>
        </is>
      </c>
      <c r="E15542" t="inlineStr">
        <is>
          <t>SUNDSVALL</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47718-2024</t>
        </is>
      </c>
      <c r="B15543" s="1" t="n">
        <v>45588</v>
      </c>
      <c r="C15543" s="1" t="n">
        <v>45657</v>
      </c>
      <c r="D15543" t="inlineStr">
        <is>
          <t>VÄSTERNORRLANDS LÄN</t>
        </is>
      </c>
      <c r="E15543" t="inlineStr">
        <is>
          <t>SUNDSVALL</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47639-2024</t>
        </is>
      </c>
      <c r="B15544" s="1" t="n">
        <v>45588</v>
      </c>
      <c r="C15544" s="1" t="n">
        <v>45657</v>
      </c>
      <c r="D15544" t="inlineStr">
        <is>
          <t>VÄSTERNORRLANDS LÄN</t>
        </is>
      </c>
      <c r="E15544" t="inlineStr">
        <is>
          <t>HÄRNÖSAND</t>
        </is>
      </c>
      <c r="F15544" t="inlineStr">
        <is>
          <t>SCA</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47631-2024</t>
        </is>
      </c>
      <c r="B15545" s="1" t="n">
        <v>45588</v>
      </c>
      <c r="C15545" s="1" t="n">
        <v>45657</v>
      </c>
      <c r="D15545" t="inlineStr">
        <is>
          <t>VÄSTERNORRLANDS LÄN</t>
        </is>
      </c>
      <c r="E15545" t="inlineStr">
        <is>
          <t>SOLLEFTEÅ</t>
        </is>
      </c>
      <c r="F15545" t="inlineStr">
        <is>
          <t>SCA</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47854-2024</t>
        </is>
      </c>
      <c r="B15546" s="1" t="n">
        <v>45588</v>
      </c>
      <c r="C15546" s="1" t="n">
        <v>45657</v>
      </c>
      <c r="D15546" t="inlineStr">
        <is>
          <t>VÄSTERNORRLANDS LÄN</t>
        </is>
      </c>
      <c r="E15546" t="inlineStr">
        <is>
          <t>ÖRNSKÖLDSVIK</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47874-2024</t>
        </is>
      </c>
      <c r="B15547" s="1" t="n">
        <v>45588</v>
      </c>
      <c r="C15547" s="1" t="n">
        <v>45657</v>
      </c>
      <c r="D15547" t="inlineStr">
        <is>
          <t>VÄSTERNORRLANDS LÄN</t>
        </is>
      </c>
      <c r="E15547" t="inlineStr">
        <is>
          <t>ÅNGE</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47848-2024</t>
        </is>
      </c>
      <c r="B15548" s="1" t="n">
        <v>45588</v>
      </c>
      <c r="C15548" s="1" t="n">
        <v>45657</v>
      </c>
      <c r="D15548" t="inlineStr">
        <is>
          <t>VÄSTERNORRLANDS LÄN</t>
        </is>
      </c>
      <c r="E15548" t="inlineStr">
        <is>
          <t>TIMRÅ</t>
        </is>
      </c>
      <c r="F15548" t="inlineStr">
        <is>
          <t>SCA</t>
        </is>
      </c>
      <c r="G15548" t="n">
        <v>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47868-2024</t>
        </is>
      </c>
      <c r="B15549" s="1" t="n">
        <v>45588</v>
      </c>
      <c r="C15549" s="1" t="n">
        <v>45657</v>
      </c>
      <c r="D15549" t="inlineStr">
        <is>
          <t>VÄSTERNORRLANDS LÄN</t>
        </is>
      </c>
      <c r="E15549" t="inlineStr">
        <is>
          <t>SOLLEFTEÅ</t>
        </is>
      </c>
      <c r="F15549" t="inlineStr">
        <is>
          <t>SCA</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47872-2024</t>
        </is>
      </c>
      <c r="B15550" s="1" t="n">
        <v>45588</v>
      </c>
      <c r="C15550" s="1" t="n">
        <v>45657</v>
      </c>
      <c r="D15550" t="inlineStr">
        <is>
          <t>VÄSTERNORRLANDS LÄN</t>
        </is>
      </c>
      <c r="E15550" t="inlineStr">
        <is>
          <t>HÄRNÖSAND</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47886-2024</t>
        </is>
      </c>
      <c r="B15551" s="1" t="n">
        <v>45588</v>
      </c>
      <c r="C15551" s="1" t="n">
        <v>45657</v>
      </c>
      <c r="D15551" t="inlineStr">
        <is>
          <t>VÄSTERNORRLANDS LÄN</t>
        </is>
      </c>
      <c r="E15551" t="inlineStr">
        <is>
          <t>SUNDSVALL</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47871-2024</t>
        </is>
      </c>
      <c r="B15552" s="1" t="n">
        <v>45588</v>
      </c>
      <c r="C15552" s="1" t="n">
        <v>45657</v>
      </c>
      <c r="D15552" t="inlineStr">
        <is>
          <t>VÄSTERNORRLANDS LÄN</t>
        </is>
      </c>
      <c r="E15552" t="inlineStr">
        <is>
          <t>ÖRNSKÖLDSVIK</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47682-2024</t>
        </is>
      </c>
      <c r="B15553" s="1" t="n">
        <v>45588</v>
      </c>
      <c r="C15553" s="1" t="n">
        <v>45657</v>
      </c>
      <c r="D15553" t="inlineStr">
        <is>
          <t>VÄSTERNORRLANDS LÄN</t>
        </is>
      </c>
      <c r="E15553" t="inlineStr">
        <is>
          <t>SUNDSVALL</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47788-2024</t>
        </is>
      </c>
      <c r="B15554" s="1" t="n">
        <v>45588</v>
      </c>
      <c r="C15554" s="1" t="n">
        <v>45657</v>
      </c>
      <c r="D15554" t="inlineStr">
        <is>
          <t>VÄSTERNORRLANDS LÄN</t>
        </is>
      </c>
      <c r="E15554" t="inlineStr">
        <is>
          <t>SUNDSVALL</t>
        </is>
      </c>
      <c r="F15554" t="inlineStr">
        <is>
          <t>SCA</t>
        </is>
      </c>
      <c r="G15554" t="n">
        <v>4.7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48105-2024</t>
        </is>
      </c>
      <c r="B15555" s="1" t="n">
        <v>45589</v>
      </c>
      <c r="C15555" s="1" t="n">
        <v>45657</v>
      </c>
      <c r="D15555" t="inlineStr">
        <is>
          <t>VÄSTERNORRLANDS LÄN</t>
        </is>
      </c>
      <c r="E15555" t="inlineStr">
        <is>
          <t>SUNDSVALL</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48118-2024</t>
        </is>
      </c>
      <c r="B15556" s="1" t="n">
        <v>45589</v>
      </c>
      <c r="C15556" s="1" t="n">
        <v>45657</v>
      </c>
      <c r="D15556" t="inlineStr">
        <is>
          <t>VÄSTERNORRLANDS LÄN</t>
        </is>
      </c>
      <c r="E15556" t="inlineStr">
        <is>
          <t>SOLLEFTEÅ</t>
        </is>
      </c>
      <c r="F15556" t="inlineStr">
        <is>
          <t>SCA</t>
        </is>
      </c>
      <c r="G15556" t="n">
        <v>11.9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48133-2024</t>
        </is>
      </c>
      <c r="B15557" s="1" t="n">
        <v>45589</v>
      </c>
      <c r="C15557" s="1" t="n">
        <v>45657</v>
      </c>
      <c r="D15557" t="inlineStr">
        <is>
          <t>VÄSTERNORRLANDS LÄN</t>
        </is>
      </c>
      <c r="E15557" t="inlineStr">
        <is>
          <t>ÖRNSKÖLDSVIK</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48038-2024</t>
        </is>
      </c>
      <c r="B15558" s="1" t="n">
        <v>45589</v>
      </c>
      <c r="C15558" s="1" t="n">
        <v>45657</v>
      </c>
      <c r="D15558" t="inlineStr">
        <is>
          <t>VÄSTERNORRLANDS LÄN</t>
        </is>
      </c>
      <c r="E15558" t="inlineStr">
        <is>
          <t>SOLLEFTEÅ</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48050-2024</t>
        </is>
      </c>
      <c r="B15559" s="1" t="n">
        <v>45589</v>
      </c>
      <c r="C15559" s="1" t="n">
        <v>45657</v>
      </c>
      <c r="D15559" t="inlineStr">
        <is>
          <t>VÄSTERNORRLANDS LÄN</t>
        </is>
      </c>
      <c r="E15559" t="inlineStr">
        <is>
          <t>ÅNGE</t>
        </is>
      </c>
      <c r="F15559" t="inlineStr">
        <is>
          <t>SCA</t>
        </is>
      </c>
      <c r="G15559" t="n">
        <v>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48127-2024</t>
        </is>
      </c>
      <c r="B15560" s="1" t="n">
        <v>45589</v>
      </c>
      <c r="C15560" s="1" t="n">
        <v>45657</v>
      </c>
      <c r="D15560" t="inlineStr">
        <is>
          <t>VÄSTERNORRLANDS LÄN</t>
        </is>
      </c>
      <c r="E15560" t="inlineStr">
        <is>
          <t>KRAMFORS</t>
        </is>
      </c>
      <c r="G15560" t="n">
        <v>6.3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48146-2024</t>
        </is>
      </c>
      <c r="B15561" s="1" t="n">
        <v>45589</v>
      </c>
      <c r="C15561" s="1" t="n">
        <v>45657</v>
      </c>
      <c r="D15561" t="inlineStr">
        <is>
          <t>VÄSTERNORRLANDS LÄN</t>
        </is>
      </c>
      <c r="E15561" t="inlineStr">
        <is>
          <t>ÖRNSKÖLDSVIK</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48141-2024</t>
        </is>
      </c>
      <c r="B15562" s="1" t="n">
        <v>45589</v>
      </c>
      <c r="C15562" s="1" t="n">
        <v>45657</v>
      </c>
      <c r="D15562" t="inlineStr">
        <is>
          <t>VÄSTERNORRLANDS LÄN</t>
        </is>
      </c>
      <c r="E15562" t="inlineStr">
        <is>
          <t>ÖRNSKÖLDSVIK</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47955-2024</t>
        </is>
      </c>
      <c r="B15563" s="1" t="n">
        <v>45589</v>
      </c>
      <c r="C15563" s="1" t="n">
        <v>45657</v>
      </c>
      <c r="D15563" t="inlineStr">
        <is>
          <t>VÄSTERNORRLANDS LÄN</t>
        </is>
      </c>
      <c r="E15563" t="inlineStr">
        <is>
          <t>SOLLEFTEÅ</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47959-2024</t>
        </is>
      </c>
      <c r="B15564" s="1" t="n">
        <v>45589</v>
      </c>
      <c r="C15564" s="1" t="n">
        <v>45657</v>
      </c>
      <c r="D15564" t="inlineStr">
        <is>
          <t>VÄSTERNORRLANDS LÄN</t>
        </is>
      </c>
      <c r="E15564" t="inlineStr">
        <is>
          <t>SUNDSVALL</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47963-2024</t>
        </is>
      </c>
      <c r="B15565" s="1" t="n">
        <v>45589</v>
      </c>
      <c r="C15565" s="1" t="n">
        <v>45657</v>
      </c>
      <c r="D15565" t="inlineStr">
        <is>
          <t>VÄSTERNORRLANDS LÄN</t>
        </is>
      </c>
      <c r="E15565" t="inlineStr">
        <is>
          <t>SOLLEFTEÅ</t>
        </is>
      </c>
      <c r="F15565" t="inlineStr">
        <is>
          <t>SCA</t>
        </is>
      </c>
      <c r="G15565" t="n">
        <v>8.9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47987-2024</t>
        </is>
      </c>
      <c r="B15566" s="1" t="n">
        <v>45589</v>
      </c>
      <c r="C15566" s="1" t="n">
        <v>45657</v>
      </c>
      <c r="D15566" t="inlineStr">
        <is>
          <t>VÄSTERNORRLANDS LÄN</t>
        </is>
      </c>
      <c r="E15566" t="inlineStr">
        <is>
          <t>SOLLEFTEÅ</t>
        </is>
      </c>
      <c r="F15566" t="inlineStr">
        <is>
          <t>SCA</t>
        </is>
      </c>
      <c r="G15566" t="n">
        <v>6.8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48019-2024</t>
        </is>
      </c>
      <c r="B15567" s="1" t="n">
        <v>45589</v>
      </c>
      <c r="C15567" s="1" t="n">
        <v>45657</v>
      </c>
      <c r="D15567" t="inlineStr">
        <is>
          <t>VÄSTERNORRLANDS LÄN</t>
        </is>
      </c>
      <c r="E15567" t="inlineStr">
        <is>
          <t>SOLLEFTEÅ</t>
        </is>
      </c>
      <c r="G15567" t="n">
        <v>10.4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48031-2024</t>
        </is>
      </c>
      <c r="B15568" s="1" t="n">
        <v>45589</v>
      </c>
      <c r="C15568" s="1" t="n">
        <v>45657</v>
      </c>
      <c r="D15568" t="inlineStr">
        <is>
          <t>VÄSTERNORRLANDS LÄN</t>
        </is>
      </c>
      <c r="E15568" t="inlineStr">
        <is>
          <t>TIMRÅ</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48120-2024</t>
        </is>
      </c>
      <c r="B15569" s="1" t="n">
        <v>45589</v>
      </c>
      <c r="C15569" s="1" t="n">
        <v>45657</v>
      </c>
      <c r="D15569" t="inlineStr">
        <is>
          <t>VÄSTERNORRLANDS LÄN</t>
        </is>
      </c>
      <c r="E15569" t="inlineStr">
        <is>
          <t>SUNDSVALL</t>
        </is>
      </c>
      <c r="F15569" t="inlineStr">
        <is>
          <t>SCA</t>
        </is>
      </c>
      <c r="G15569" t="n">
        <v>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48144-2024</t>
        </is>
      </c>
      <c r="B15570" s="1" t="n">
        <v>45589</v>
      </c>
      <c r="C15570" s="1" t="n">
        <v>45657</v>
      </c>
      <c r="D15570" t="inlineStr">
        <is>
          <t>VÄSTERNORRLANDS LÄN</t>
        </is>
      </c>
      <c r="E15570" t="inlineStr">
        <is>
          <t>ÖRNSKÖLDSVIK</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47990-2024</t>
        </is>
      </c>
      <c r="B15571" s="1" t="n">
        <v>45589</v>
      </c>
      <c r="C15571" s="1" t="n">
        <v>45657</v>
      </c>
      <c r="D15571" t="inlineStr">
        <is>
          <t>VÄSTERNORRLANDS LÄN</t>
        </is>
      </c>
      <c r="E15571" t="inlineStr">
        <is>
          <t>SUNDSVALL</t>
        </is>
      </c>
      <c r="F15571" t="inlineStr">
        <is>
          <t>SCA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47982-2024</t>
        </is>
      </c>
      <c r="B15572" s="1" t="n">
        <v>45589</v>
      </c>
      <c r="C15572" s="1" t="n">
        <v>45657</v>
      </c>
      <c r="D15572" t="inlineStr">
        <is>
          <t>VÄSTERNORRLANDS LÄN</t>
        </is>
      </c>
      <c r="E15572" t="inlineStr">
        <is>
          <t>ÖRNSKÖLDSVIK</t>
        </is>
      </c>
      <c r="F15572" t="inlineStr">
        <is>
          <t>Holmen skog AB</t>
        </is>
      </c>
      <c r="G15572" t="n">
        <v>5.5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47966-2024</t>
        </is>
      </c>
      <c r="B15573" s="1" t="n">
        <v>45589</v>
      </c>
      <c r="C15573" s="1" t="n">
        <v>45657</v>
      </c>
      <c r="D15573" t="inlineStr">
        <is>
          <t>VÄSTERNORRLANDS LÄN</t>
        </is>
      </c>
      <c r="E15573" t="inlineStr">
        <is>
          <t>KRAMFORS</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47962-2024</t>
        </is>
      </c>
      <c r="B15574" s="1" t="n">
        <v>45589</v>
      </c>
      <c r="C15574" s="1" t="n">
        <v>45657</v>
      </c>
      <c r="D15574" t="inlineStr">
        <is>
          <t>VÄSTERNORRLANDS LÄN</t>
        </is>
      </c>
      <c r="E15574" t="inlineStr">
        <is>
          <t>ÖRNSKÖLDSVIK</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47950-2024</t>
        </is>
      </c>
      <c r="B15575" s="1" t="n">
        <v>45589</v>
      </c>
      <c r="C15575" s="1" t="n">
        <v>45657</v>
      </c>
      <c r="D15575" t="inlineStr">
        <is>
          <t>VÄSTERNORRLANDS LÄN</t>
        </is>
      </c>
      <c r="E15575" t="inlineStr">
        <is>
          <t>ÅNGE</t>
        </is>
      </c>
      <c r="F15575" t="inlineStr">
        <is>
          <t>SCA</t>
        </is>
      </c>
      <c r="G15575" t="n">
        <v>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48081-2024</t>
        </is>
      </c>
      <c r="B15576" s="1" t="n">
        <v>45589</v>
      </c>
      <c r="C15576" s="1" t="n">
        <v>45657</v>
      </c>
      <c r="D15576" t="inlineStr">
        <is>
          <t>VÄSTERNORRLANDS LÄN</t>
        </is>
      </c>
      <c r="E15576" t="inlineStr">
        <is>
          <t>SOLLEFTEÅ</t>
        </is>
      </c>
      <c r="G15576" t="n">
        <v>3.4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48049-2024</t>
        </is>
      </c>
      <c r="B15577" s="1" t="n">
        <v>45589</v>
      </c>
      <c r="C15577" s="1" t="n">
        <v>45657</v>
      </c>
      <c r="D15577" t="inlineStr">
        <is>
          <t>VÄSTERNORRLANDS LÄN</t>
        </is>
      </c>
      <c r="E15577" t="inlineStr">
        <is>
          <t>SOLLEFTEÅ</t>
        </is>
      </c>
      <c r="F15577" t="inlineStr">
        <is>
          <t>SCA</t>
        </is>
      </c>
      <c r="G15577" t="n">
        <v>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48021-2024</t>
        </is>
      </c>
      <c r="B15578" s="1" t="n">
        <v>45589</v>
      </c>
      <c r="C15578" s="1" t="n">
        <v>45657</v>
      </c>
      <c r="D15578" t="inlineStr">
        <is>
          <t>VÄSTERNORRLANDS LÄN</t>
        </is>
      </c>
      <c r="E15578" t="inlineStr">
        <is>
          <t>SOLLEFTEÅ</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48017-2024</t>
        </is>
      </c>
      <c r="B15579" s="1" t="n">
        <v>45589</v>
      </c>
      <c r="C15579" s="1" t="n">
        <v>45657</v>
      </c>
      <c r="D15579" t="inlineStr">
        <is>
          <t>VÄSTERNORRLANDS LÄN</t>
        </is>
      </c>
      <c r="E15579" t="inlineStr">
        <is>
          <t>SOLLEFTEÅ</t>
        </is>
      </c>
      <c r="F15579" t="inlineStr">
        <is>
          <t>SCA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48005-2024</t>
        </is>
      </c>
      <c r="B15580" s="1" t="n">
        <v>45589</v>
      </c>
      <c r="C15580" s="1" t="n">
        <v>45657</v>
      </c>
      <c r="D15580" t="inlineStr">
        <is>
          <t>VÄSTERNORRLANDS LÄN</t>
        </is>
      </c>
      <c r="E15580" t="inlineStr">
        <is>
          <t>TIMRÅ</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48001-2024</t>
        </is>
      </c>
      <c r="B15581" s="1" t="n">
        <v>45589</v>
      </c>
      <c r="C15581" s="1" t="n">
        <v>45657</v>
      </c>
      <c r="D15581" t="inlineStr">
        <is>
          <t>VÄSTERNORRLANDS LÄN</t>
        </is>
      </c>
      <c r="E15581" t="inlineStr">
        <is>
          <t>SOLLEFTEÅ</t>
        </is>
      </c>
      <c r="F15581" t="inlineStr">
        <is>
          <t>SCA</t>
        </is>
      </c>
      <c r="G15581" t="n">
        <v>7.6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47965-2024</t>
        </is>
      </c>
      <c r="B15582" s="1" t="n">
        <v>45589</v>
      </c>
      <c r="C15582" s="1" t="n">
        <v>45657</v>
      </c>
      <c r="D15582" t="inlineStr">
        <is>
          <t>VÄSTERNORRLANDS LÄN</t>
        </is>
      </c>
      <c r="E15582" t="inlineStr">
        <is>
          <t>SOLLEFTEÅ</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47957-2024</t>
        </is>
      </c>
      <c r="B15583" s="1" t="n">
        <v>45589</v>
      </c>
      <c r="C15583" s="1" t="n">
        <v>45657</v>
      </c>
      <c r="D15583" t="inlineStr">
        <is>
          <t>VÄSTERNORRLANDS LÄN</t>
        </is>
      </c>
      <c r="E15583" t="inlineStr">
        <is>
          <t>SUNDSVALL</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48020-2024</t>
        </is>
      </c>
      <c r="B15584" s="1" t="n">
        <v>45589</v>
      </c>
      <c r="C15584" s="1" t="n">
        <v>45657</v>
      </c>
      <c r="D15584" t="inlineStr">
        <is>
          <t>VÄSTERNORRLANDS LÄN</t>
        </is>
      </c>
      <c r="E15584" t="inlineStr">
        <is>
          <t>SOLLEFTEÅ</t>
        </is>
      </c>
      <c r="G15584" t="n">
        <v>9.300000000000001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47968-2024</t>
        </is>
      </c>
      <c r="B15585" s="1" t="n">
        <v>45589</v>
      </c>
      <c r="C15585" s="1" t="n">
        <v>45657</v>
      </c>
      <c r="D15585" t="inlineStr">
        <is>
          <t>VÄSTERNORRLANDS LÄN</t>
        </is>
      </c>
      <c r="E15585" t="inlineStr">
        <is>
          <t>ÖRNSKÖLDSVIK</t>
        </is>
      </c>
      <c r="F15585" t="inlineStr">
        <is>
          <t>Kommuner</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47960-2024</t>
        </is>
      </c>
      <c r="B15586" s="1" t="n">
        <v>45589</v>
      </c>
      <c r="C15586" s="1" t="n">
        <v>45657</v>
      </c>
      <c r="D15586" t="inlineStr">
        <is>
          <t>VÄSTERNORRLANDS LÄN</t>
        </is>
      </c>
      <c r="E15586" t="inlineStr">
        <is>
          <t>ÖRNSKÖLDSVIK</t>
        </is>
      </c>
      <c r="F15586" t="inlineStr">
        <is>
          <t>Kommuner</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47952-2024</t>
        </is>
      </c>
      <c r="B15587" s="1" t="n">
        <v>45589</v>
      </c>
      <c r="C15587" s="1" t="n">
        <v>45657</v>
      </c>
      <c r="D15587" t="inlineStr">
        <is>
          <t>VÄSTERNORRLANDS LÄN</t>
        </is>
      </c>
      <c r="E15587" t="inlineStr">
        <is>
          <t>TIMRÅ</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47948-2024</t>
        </is>
      </c>
      <c r="B15588" s="1" t="n">
        <v>45589</v>
      </c>
      <c r="C15588" s="1" t="n">
        <v>45657</v>
      </c>
      <c r="D15588" t="inlineStr">
        <is>
          <t>VÄSTERNORRLANDS LÄN</t>
        </is>
      </c>
      <c r="E15588" t="inlineStr">
        <is>
          <t>ÖRNSKÖLDSVIK</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48228-2024</t>
        </is>
      </c>
      <c r="B15589" s="1" t="n">
        <v>45590</v>
      </c>
      <c r="C15589" s="1" t="n">
        <v>45657</v>
      </c>
      <c r="D15589" t="inlineStr">
        <is>
          <t>VÄSTERNORRLANDS LÄN</t>
        </is>
      </c>
      <c r="E15589" t="inlineStr">
        <is>
          <t>ÖRNSKÖLDSVIK</t>
        </is>
      </c>
      <c r="F15589" t="inlineStr">
        <is>
          <t>Holmen skog AB</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48252-2024</t>
        </is>
      </c>
      <c r="B15590" s="1" t="n">
        <v>45590</v>
      </c>
      <c r="C15590" s="1" t="n">
        <v>45657</v>
      </c>
      <c r="D15590" t="inlineStr">
        <is>
          <t>VÄSTERNORRLANDS LÄN</t>
        </is>
      </c>
      <c r="E15590" t="inlineStr">
        <is>
          <t>ÅNGE</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48280-2024</t>
        </is>
      </c>
      <c r="B15591" s="1" t="n">
        <v>45590</v>
      </c>
      <c r="C15591" s="1" t="n">
        <v>45657</v>
      </c>
      <c r="D15591" t="inlineStr">
        <is>
          <t>VÄSTERNORRLANDS LÄN</t>
        </is>
      </c>
      <c r="E15591" t="inlineStr">
        <is>
          <t>ÖRNSKÖLDSVIK</t>
        </is>
      </c>
      <c r="F15591" t="inlineStr">
        <is>
          <t>Holmen skog AB</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48304-2024</t>
        </is>
      </c>
      <c r="B15592" s="1" t="n">
        <v>45590</v>
      </c>
      <c r="C15592" s="1" t="n">
        <v>45657</v>
      </c>
      <c r="D15592" t="inlineStr">
        <is>
          <t>VÄSTERNORRLANDS LÄN</t>
        </is>
      </c>
      <c r="E15592" t="inlineStr">
        <is>
          <t>ÖRNSKÖLDSVIK</t>
        </is>
      </c>
      <c r="F15592" t="inlineStr">
        <is>
          <t>Holmen skog AB</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48316-2024</t>
        </is>
      </c>
      <c r="B15593" s="1" t="n">
        <v>45590</v>
      </c>
      <c r="C15593" s="1" t="n">
        <v>45657</v>
      </c>
      <c r="D15593" t="inlineStr">
        <is>
          <t>VÄSTERNORRLANDS LÄN</t>
        </is>
      </c>
      <c r="E15593" t="inlineStr">
        <is>
          <t>SUNDSVALL</t>
        </is>
      </c>
      <c r="F15593" t="inlineStr">
        <is>
          <t>SCA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48333-2024</t>
        </is>
      </c>
      <c r="B15594" s="1" t="n">
        <v>45590</v>
      </c>
      <c r="C15594" s="1" t="n">
        <v>45657</v>
      </c>
      <c r="D15594" t="inlineStr">
        <is>
          <t>VÄSTERNORRLANDS LÄN</t>
        </is>
      </c>
      <c r="E15594" t="inlineStr">
        <is>
          <t>SUNDSVALL</t>
        </is>
      </c>
      <c r="F15594" t="inlineStr">
        <is>
          <t>SCA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48372-2024</t>
        </is>
      </c>
      <c r="B15595" s="1" t="n">
        <v>45590</v>
      </c>
      <c r="C15595" s="1" t="n">
        <v>45657</v>
      </c>
      <c r="D15595" t="inlineStr">
        <is>
          <t>VÄSTERNORRLANDS LÄN</t>
        </is>
      </c>
      <c r="E15595" t="inlineStr">
        <is>
          <t>SUNDSVALL</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48396-2024</t>
        </is>
      </c>
      <c r="B15596" s="1" t="n">
        <v>45590</v>
      </c>
      <c r="C15596" s="1" t="n">
        <v>45657</v>
      </c>
      <c r="D15596" t="inlineStr">
        <is>
          <t>VÄSTERNORRLANDS LÄN</t>
        </is>
      </c>
      <c r="E15596" t="inlineStr">
        <is>
          <t>SOLLEFTEÅ</t>
        </is>
      </c>
      <c r="F15596" t="inlineStr">
        <is>
          <t>SCA</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48442-2024</t>
        </is>
      </c>
      <c r="B15597" s="1" t="n">
        <v>45590</v>
      </c>
      <c r="C15597" s="1" t="n">
        <v>45657</v>
      </c>
      <c r="D15597" t="inlineStr">
        <is>
          <t>VÄSTERNORRLANDS LÄN</t>
        </is>
      </c>
      <c r="E15597" t="inlineStr">
        <is>
          <t>SUNDSVALL</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48397-2024</t>
        </is>
      </c>
      <c r="B15598" s="1" t="n">
        <v>45590</v>
      </c>
      <c r="C15598" s="1" t="n">
        <v>45657</v>
      </c>
      <c r="D15598" t="inlineStr">
        <is>
          <t>VÄSTERNORRLANDS LÄN</t>
        </is>
      </c>
      <c r="E15598" t="inlineStr">
        <is>
          <t>TIMRÅ</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48369-2024</t>
        </is>
      </c>
      <c r="B15599" s="1" t="n">
        <v>45590</v>
      </c>
      <c r="C15599" s="1" t="n">
        <v>45657</v>
      </c>
      <c r="D15599" t="inlineStr">
        <is>
          <t>VÄSTERNORRLANDS LÄN</t>
        </is>
      </c>
      <c r="E15599" t="inlineStr">
        <is>
          <t>ÅNGE</t>
        </is>
      </c>
      <c r="F15599" t="inlineStr">
        <is>
          <t>SCA</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48441-2024</t>
        </is>
      </c>
      <c r="B15600" s="1" t="n">
        <v>45590</v>
      </c>
      <c r="C15600" s="1" t="n">
        <v>45657</v>
      </c>
      <c r="D15600" t="inlineStr">
        <is>
          <t>VÄSTERNORRLANDS LÄN</t>
        </is>
      </c>
      <c r="E15600" t="inlineStr">
        <is>
          <t>SUNDSVALL</t>
        </is>
      </c>
      <c r="G15600" t="n">
        <v>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48265-2024</t>
        </is>
      </c>
      <c r="B15601" s="1" t="n">
        <v>45590</v>
      </c>
      <c r="C15601" s="1" t="n">
        <v>45657</v>
      </c>
      <c r="D15601" t="inlineStr">
        <is>
          <t>VÄSTERNORRLANDS LÄN</t>
        </is>
      </c>
      <c r="E15601" t="inlineStr">
        <is>
          <t>SOLLEFTEÅ</t>
        </is>
      </c>
      <c r="F15601" t="inlineStr">
        <is>
          <t>SCA</t>
        </is>
      </c>
      <c r="G15601" t="n">
        <v>3.6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48374-2024</t>
        </is>
      </c>
      <c r="B15602" s="1" t="n">
        <v>45590</v>
      </c>
      <c r="C15602" s="1" t="n">
        <v>45657</v>
      </c>
      <c r="D15602" t="inlineStr">
        <is>
          <t>VÄSTERNORRLANDS LÄN</t>
        </is>
      </c>
      <c r="E15602" t="inlineStr">
        <is>
          <t>ÅNGE</t>
        </is>
      </c>
      <c r="G15602" t="n">
        <v>6.6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48361-2024</t>
        </is>
      </c>
      <c r="B15603" s="1" t="n">
        <v>45590</v>
      </c>
      <c r="C15603" s="1" t="n">
        <v>45657</v>
      </c>
      <c r="D15603" t="inlineStr">
        <is>
          <t>VÄSTERNORRLANDS LÄN</t>
        </is>
      </c>
      <c r="E15603" t="inlineStr">
        <is>
          <t>ÖRNSKÖLDSVIK</t>
        </is>
      </c>
      <c r="F15603" t="inlineStr">
        <is>
          <t>SCA</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48274-2024</t>
        </is>
      </c>
      <c r="B15604" s="1" t="n">
        <v>45590</v>
      </c>
      <c r="C15604" s="1" t="n">
        <v>45657</v>
      </c>
      <c r="D15604" t="inlineStr">
        <is>
          <t>VÄSTERNORRLANDS LÄN</t>
        </is>
      </c>
      <c r="E15604" t="inlineStr">
        <is>
          <t>SUNDSVALL</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48226-2024</t>
        </is>
      </c>
      <c r="B15605" s="1" t="n">
        <v>45590</v>
      </c>
      <c r="C15605" s="1" t="n">
        <v>45657</v>
      </c>
      <c r="D15605" t="inlineStr">
        <is>
          <t>VÄSTERNORRLANDS LÄN</t>
        </is>
      </c>
      <c r="E15605" t="inlineStr">
        <is>
          <t>ÖRNSKÖLDSVIK</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48419-2024</t>
        </is>
      </c>
      <c r="B15606" s="1" t="n">
        <v>45590</v>
      </c>
      <c r="C15606" s="1" t="n">
        <v>45657</v>
      </c>
      <c r="D15606" t="inlineStr">
        <is>
          <t>VÄSTERNORRLANDS LÄN</t>
        </is>
      </c>
      <c r="E15606" t="inlineStr">
        <is>
          <t>SOLLEFTEÅ</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48251-2024</t>
        </is>
      </c>
      <c r="B15607" s="1" t="n">
        <v>45590</v>
      </c>
      <c r="C15607" s="1" t="n">
        <v>45657</v>
      </c>
      <c r="D15607" t="inlineStr">
        <is>
          <t>VÄSTERNORRLANDS LÄN</t>
        </is>
      </c>
      <c r="E15607" t="inlineStr">
        <is>
          <t>SUNDSVALL</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48235-2024</t>
        </is>
      </c>
      <c r="B15608" s="1" t="n">
        <v>45590</v>
      </c>
      <c r="C15608" s="1" t="n">
        <v>45657</v>
      </c>
      <c r="D15608" t="inlineStr">
        <is>
          <t>VÄSTERNORRLANDS LÄN</t>
        </is>
      </c>
      <c r="E15608" t="inlineStr">
        <is>
          <t>SOLLEFTEÅ</t>
        </is>
      </c>
      <c r="F15608" t="inlineStr">
        <is>
          <t>SCA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48490-2024</t>
        </is>
      </c>
      <c r="B15609" s="1" t="n">
        <v>45592</v>
      </c>
      <c r="C15609" s="1" t="n">
        <v>45657</v>
      </c>
      <c r="D15609" t="inlineStr">
        <is>
          <t>VÄSTERNORRLANDS LÄN</t>
        </is>
      </c>
      <c r="E15609" t="inlineStr">
        <is>
          <t>SOLLEFTEÅ</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48489-2024</t>
        </is>
      </c>
      <c r="B15610" s="1" t="n">
        <v>45592</v>
      </c>
      <c r="C15610" s="1" t="n">
        <v>45657</v>
      </c>
      <c r="D15610" t="inlineStr">
        <is>
          <t>VÄSTERNORRLANDS LÄN</t>
        </is>
      </c>
      <c r="E15610" t="inlineStr">
        <is>
          <t>SOLLEFTEÅ</t>
        </is>
      </c>
      <c r="F15610" t="inlineStr">
        <is>
          <t>SCA</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48491-2024</t>
        </is>
      </c>
      <c r="B15611" s="1" t="n">
        <v>45592</v>
      </c>
      <c r="C15611" s="1" t="n">
        <v>45657</v>
      </c>
      <c r="D15611" t="inlineStr">
        <is>
          <t>VÄSTERNORRLANDS LÄN</t>
        </is>
      </c>
      <c r="E15611" t="inlineStr">
        <is>
          <t>SOLLEFTEÅ</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48588-2024</t>
        </is>
      </c>
      <c r="B15612" s="1" t="n">
        <v>45593</v>
      </c>
      <c r="C15612" s="1" t="n">
        <v>45657</v>
      </c>
      <c r="D15612" t="inlineStr">
        <is>
          <t>VÄSTERNORRLANDS LÄN</t>
        </is>
      </c>
      <c r="E15612" t="inlineStr">
        <is>
          <t>KRAMFORS</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48583-2024</t>
        </is>
      </c>
      <c r="B15613" s="1" t="n">
        <v>45593</v>
      </c>
      <c r="C15613" s="1" t="n">
        <v>45657</v>
      </c>
      <c r="D15613" t="inlineStr">
        <is>
          <t>VÄSTERNORRLANDS LÄN</t>
        </is>
      </c>
      <c r="E15613" t="inlineStr">
        <is>
          <t>KRAMFORS</t>
        </is>
      </c>
      <c r="G15613" t="n">
        <v>8.4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48595-2024</t>
        </is>
      </c>
      <c r="B15614" s="1" t="n">
        <v>45593</v>
      </c>
      <c r="C15614" s="1" t="n">
        <v>45657</v>
      </c>
      <c r="D15614" t="inlineStr">
        <is>
          <t>VÄSTERNORRLANDS LÄN</t>
        </is>
      </c>
      <c r="E15614" t="inlineStr">
        <is>
          <t>SUNDSVALL</t>
        </is>
      </c>
      <c r="G15614" t="n">
        <v>15.5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48672-2024</t>
        </is>
      </c>
      <c r="B15615" s="1" t="n">
        <v>45593</v>
      </c>
      <c r="C15615" s="1" t="n">
        <v>45657</v>
      </c>
      <c r="D15615" t="inlineStr">
        <is>
          <t>VÄSTERNORRLANDS LÄN</t>
        </is>
      </c>
      <c r="E15615" t="inlineStr">
        <is>
          <t>SUNDSVALL</t>
        </is>
      </c>
      <c r="F15615" t="inlineStr">
        <is>
          <t>SCA</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48715-2024</t>
        </is>
      </c>
      <c r="B15616" s="1" t="n">
        <v>45593</v>
      </c>
      <c r="C15616" s="1" t="n">
        <v>45657</v>
      </c>
      <c r="D15616" t="inlineStr">
        <is>
          <t>VÄSTERNORRLANDS LÄN</t>
        </is>
      </c>
      <c r="E15616" t="inlineStr">
        <is>
          <t>ÖRNSKÖLDSVIK</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48704-2024</t>
        </is>
      </c>
      <c r="B15617" s="1" t="n">
        <v>45593</v>
      </c>
      <c r="C15617" s="1" t="n">
        <v>45657</v>
      </c>
      <c r="D15617" t="inlineStr">
        <is>
          <t>VÄSTERNORRLANDS LÄN</t>
        </is>
      </c>
      <c r="E15617" t="inlineStr">
        <is>
          <t>TIMRÅ</t>
        </is>
      </c>
      <c r="F15617" t="inlineStr">
        <is>
          <t>SCA</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48720-2024</t>
        </is>
      </c>
      <c r="B15618" s="1" t="n">
        <v>45593</v>
      </c>
      <c r="C15618" s="1" t="n">
        <v>45657</v>
      </c>
      <c r="D15618" t="inlineStr">
        <is>
          <t>VÄSTERNORRLANDS LÄN</t>
        </is>
      </c>
      <c r="E15618" t="inlineStr">
        <is>
          <t>SOLLEFTEÅ</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48605-2024</t>
        </is>
      </c>
      <c r="B15619" s="1" t="n">
        <v>45593</v>
      </c>
      <c r="C15619" s="1" t="n">
        <v>45657</v>
      </c>
      <c r="D15619" t="inlineStr">
        <is>
          <t>VÄSTERNORRLANDS LÄN</t>
        </is>
      </c>
      <c r="E15619" t="inlineStr">
        <is>
          <t>ÖRNSKÖLDSVIK</t>
        </is>
      </c>
      <c r="F15619" t="inlineStr">
        <is>
          <t>Holmen skog AB</t>
        </is>
      </c>
      <c r="G15619" t="n">
        <v>3.5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48609-2024</t>
        </is>
      </c>
      <c r="B15620" s="1" t="n">
        <v>45593</v>
      </c>
      <c r="C15620" s="1" t="n">
        <v>45657</v>
      </c>
      <c r="D15620" t="inlineStr">
        <is>
          <t>VÄSTERNORRLANDS LÄN</t>
        </is>
      </c>
      <c r="E15620" t="inlineStr">
        <is>
          <t>ÖRNSKÖLDSVIK</t>
        </is>
      </c>
      <c r="F15620" t="inlineStr">
        <is>
          <t>Holmen skog AB</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48669-2024</t>
        </is>
      </c>
      <c r="B15621" s="1" t="n">
        <v>45593</v>
      </c>
      <c r="C15621" s="1" t="n">
        <v>45657</v>
      </c>
      <c r="D15621" t="inlineStr">
        <is>
          <t>VÄSTERNORRLANDS LÄN</t>
        </is>
      </c>
      <c r="E15621" t="inlineStr">
        <is>
          <t>TIMRÅ</t>
        </is>
      </c>
      <c r="F15621" t="inlineStr">
        <is>
          <t>SCA</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48673-2024</t>
        </is>
      </c>
      <c r="B15622" s="1" t="n">
        <v>45593</v>
      </c>
      <c r="C15622" s="1" t="n">
        <v>45657</v>
      </c>
      <c r="D15622" t="inlineStr">
        <is>
          <t>VÄSTERNORRLANDS LÄN</t>
        </is>
      </c>
      <c r="E15622" t="inlineStr">
        <is>
          <t>SOLLEFTEÅ</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48697-2024</t>
        </is>
      </c>
      <c r="B15623" s="1" t="n">
        <v>45593</v>
      </c>
      <c r="C15623" s="1" t="n">
        <v>45657</v>
      </c>
      <c r="D15623" t="inlineStr">
        <is>
          <t>VÄSTERNORRLANDS LÄN</t>
        </is>
      </c>
      <c r="E15623" t="inlineStr">
        <is>
          <t>ÅNGE</t>
        </is>
      </c>
      <c r="F15623" t="inlineStr">
        <is>
          <t>SCA</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48528-2024</t>
        </is>
      </c>
      <c r="B15624" s="1" t="n">
        <v>45593</v>
      </c>
      <c r="C15624" s="1" t="n">
        <v>45657</v>
      </c>
      <c r="D15624" t="inlineStr">
        <is>
          <t>VÄSTERNORRLANDS LÄN</t>
        </is>
      </c>
      <c r="E15624" t="inlineStr">
        <is>
          <t>SOLLEFTEÅ</t>
        </is>
      </c>
      <c r="F15624" t="inlineStr">
        <is>
          <t>SCA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48701-2024</t>
        </is>
      </c>
      <c r="B15625" s="1" t="n">
        <v>45593</v>
      </c>
      <c r="C15625" s="1" t="n">
        <v>45657</v>
      </c>
      <c r="D15625" t="inlineStr">
        <is>
          <t>VÄSTERNORRLANDS LÄN</t>
        </is>
      </c>
      <c r="E15625" t="inlineStr">
        <is>
          <t>ÖRNSKÖLDSVIK</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48725-2024</t>
        </is>
      </c>
      <c r="B15626" s="1" t="n">
        <v>45593</v>
      </c>
      <c r="C15626" s="1" t="n">
        <v>45657</v>
      </c>
      <c r="D15626" t="inlineStr">
        <is>
          <t>VÄSTERNORRLANDS LÄN</t>
        </is>
      </c>
      <c r="E15626" t="inlineStr">
        <is>
          <t>ÅNGE</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48770-2024</t>
        </is>
      </c>
      <c r="B15627" s="1" t="n">
        <v>45593</v>
      </c>
      <c r="C15627" s="1" t="n">
        <v>45657</v>
      </c>
      <c r="D15627" t="inlineStr">
        <is>
          <t>VÄSTERNORRLANDS LÄN</t>
        </is>
      </c>
      <c r="E15627" t="inlineStr">
        <is>
          <t>ÅNGE</t>
        </is>
      </c>
      <c r="G15627" t="n">
        <v>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48812-2024</t>
        </is>
      </c>
      <c r="B15628" s="1" t="n">
        <v>45593</v>
      </c>
      <c r="C15628" s="1" t="n">
        <v>45657</v>
      </c>
      <c r="D15628" t="inlineStr">
        <is>
          <t>VÄSTERNORRLANDS LÄN</t>
        </is>
      </c>
      <c r="E15628" t="inlineStr">
        <is>
          <t>ÖRNSKÖLDSVIK</t>
        </is>
      </c>
      <c r="F15628" t="inlineStr">
        <is>
          <t>Holmen skog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48827-2024</t>
        </is>
      </c>
      <c r="B15629" s="1" t="n">
        <v>45593</v>
      </c>
      <c r="C15629" s="1" t="n">
        <v>45657</v>
      </c>
      <c r="D15629" t="inlineStr">
        <is>
          <t>VÄSTERNORRLANDS LÄN</t>
        </is>
      </c>
      <c r="E15629" t="inlineStr">
        <is>
          <t>ÖRNSKÖLDSVIK</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48513-2024</t>
        </is>
      </c>
      <c r="B15630" s="1" t="n">
        <v>45593</v>
      </c>
      <c r="C15630" s="1" t="n">
        <v>45657</v>
      </c>
      <c r="D15630" t="inlineStr">
        <is>
          <t>VÄSTERNORRLANDS LÄN</t>
        </is>
      </c>
      <c r="E15630" t="inlineStr">
        <is>
          <t>ÖRNSKÖLDSVIK</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48529-2024</t>
        </is>
      </c>
      <c r="B15631" s="1" t="n">
        <v>45593</v>
      </c>
      <c r="C15631" s="1" t="n">
        <v>45657</v>
      </c>
      <c r="D15631" t="inlineStr">
        <is>
          <t>VÄSTERNORRLANDS LÄN</t>
        </is>
      </c>
      <c r="E15631" t="inlineStr">
        <is>
          <t>SOLLEFTEÅ</t>
        </is>
      </c>
      <c r="F15631" t="inlineStr">
        <is>
          <t>SCA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48549-2024</t>
        </is>
      </c>
      <c r="B15632" s="1" t="n">
        <v>45593</v>
      </c>
      <c r="C15632" s="1" t="n">
        <v>45657</v>
      </c>
      <c r="D15632" t="inlineStr">
        <is>
          <t>VÄSTERNORRLANDS LÄN</t>
        </is>
      </c>
      <c r="E15632" t="inlineStr">
        <is>
          <t>SUNDSVALL</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48578-2024</t>
        </is>
      </c>
      <c r="B15633" s="1" t="n">
        <v>45593</v>
      </c>
      <c r="C15633" s="1" t="n">
        <v>45657</v>
      </c>
      <c r="D15633" t="inlineStr">
        <is>
          <t>VÄSTERNORRLANDS LÄN</t>
        </is>
      </c>
      <c r="E15633" t="inlineStr">
        <is>
          <t>SUNDSVALL</t>
        </is>
      </c>
      <c r="G15633" t="n">
        <v>3.4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48602-2024</t>
        </is>
      </c>
      <c r="B15634" s="1" t="n">
        <v>45593</v>
      </c>
      <c r="C15634" s="1" t="n">
        <v>45657</v>
      </c>
      <c r="D15634" t="inlineStr">
        <is>
          <t>VÄSTERNORRLANDS LÄN</t>
        </is>
      </c>
      <c r="E15634" t="inlineStr">
        <is>
          <t>ÖRNSKÖLDSVIK</t>
        </is>
      </c>
      <c r="F15634" t="inlineStr">
        <is>
          <t>Holmen skog AB</t>
        </is>
      </c>
      <c r="G15634" t="n">
        <v>5.4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48606-2024</t>
        </is>
      </c>
      <c r="B15635" s="1" t="n">
        <v>45593</v>
      </c>
      <c r="C15635" s="1" t="n">
        <v>45657</v>
      </c>
      <c r="D15635" t="inlineStr">
        <is>
          <t>VÄSTERNORRLANDS LÄN</t>
        </is>
      </c>
      <c r="E15635" t="inlineStr">
        <is>
          <t>SOLLEFTEÅ</t>
        </is>
      </c>
      <c r="F15635" t="inlineStr">
        <is>
          <t>SCA</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48690-2024</t>
        </is>
      </c>
      <c r="B15636" s="1" t="n">
        <v>45593</v>
      </c>
      <c r="C15636" s="1" t="n">
        <v>45657</v>
      </c>
      <c r="D15636" t="inlineStr">
        <is>
          <t>VÄSTERNORRLANDS LÄN</t>
        </is>
      </c>
      <c r="E15636" t="inlineStr">
        <is>
          <t>ÅNGE</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48694-2024</t>
        </is>
      </c>
      <c r="B15637" s="1" t="n">
        <v>45593</v>
      </c>
      <c r="C15637" s="1" t="n">
        <v>45657</v>
      </c>
      <c r="D15637" t="inlineStr">
        <is>
          <t>VÄSTERNORRLANDS LÄN</t>
        </is>
      </c>
      <c r="E15637" t="inlineStr">
        <is>
          <t>TIMRÅ</t>
        </is>
      </c>
      <c r="F15637" t="inlineStr">
        <is>
          <t>SCA</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48698-2024</t>
        </is>
      </c>
      <c r="B15638" s="1" t="n">
        <v>45593</v>
      </c>
      <c r="C15638" s="1" t="n">
        <v>45657</v>
      </c>
      <c r="D15638" t="inlineStr">
        <is>
          <t>VÄSTERNORRLANDS LÄN</t>
        </is>
      </c>
      <c r="E15638" t="inlineStr">
        <is>
          <t>ÖRNSKÖLDSVIK</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48787-2024</t>
        </is>
      </c>
      <c r="B15639" s="1" t="n">
        <v>45593</v>
      </c>
      <c r="C15639" s="1" t="n">
        <v>45657</v>
      </c>
      <c r="D15639" t="inlineStr">
        <is>
          <t>VÄSTERNORRLANDS LÄN</t>
        </is>
      </c>
      <c r="E15639" t="inlineStr">
        <is>
          <t>ÅNGE</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48824-2024</t>
        </is>
      </c>
      <c r="B15640" s="1" t="n">
        <v>45593</v>
      </c>
      <c r="C15640" s="1" t="n">
        <v>45657</v>
      </c>
      <c r="D15640" t="inlineStr">
        <is>
          <t>VÄSTERNORRLANDS LÄN</t>
        </is>
      </c>
      <c r="E15640" t="inlineStr">
        <is>
          <t>KRAMFORS</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48828-2024</t>
        </is>
      </c>
      <c r="B15641" s="1" t="n">
        <v>45593</v>
      </c>
      <c r="C15641" s="1" t="n">
        <v>45657</v>
      </c>
      <c r="D15641" t="inlineStr">
        <is>
          <t>VÄSTERNORRLANDS LÄN</t>
        </is>
      </c>
      <c r="E15641" t="inlineStr">
        <is>
          <t>ÖRNSKÖLDSVIK</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48785-2024</t>
        </is>
      </c>
      <c r="B15642" s="1" t="n">
        <v>45593</v>
      </c>
      <c r="C15642" s="1" t="n">
        <v>45657</v>
      </c>
      <c r="D15642" t="inlineStr">
        <is>
          <t>VÄSTERNORRLANDS LÄN</t>
        </is>
      </c>
      <c r="E15642" t="inlineStr">
        <is>
          <t>SOLLEFTEÅ</t>
        </is>
      </c>
      <c r="F15642" t="inlineStr">
        <is>
          <t>SCA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48777-2024</t>
        </is>
      </c>
      <c r="B15643" s="1" t="n">
        <v>45593</v>
      </c>
      <c r="C15643" s="1" t="n">
        <v>45657</v>
      </c>
      <c r="D15643" t="inlineStr">
        <is>
          <t>VÄSTERNORRLANDS LÄN</t>
        </is>
      </c>
      <c r="E15643" t="inlineStr">
        <is>
          <t>ÖRNSKÖLDSVIK</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48534-2024</t>
        </is>
      </c>
      <c r="B15644" s="1" t="n">
        <v>45593</v>
      </c>
      <c r="C15644" s="1" t="n">
        <v>45657</v>
      </c>
      <c r="D15644" t="inlineStr">
        <is>
          <t>VÄSTERNORRLANDS LÄN</t>
        </is>
      </c>
      <c r="E15644" t="inlineStr">
        <is>
          <t>ÖRNSKÖLDSVIK</t>
        </is>
      </c>
      <c r="F15644" t="inlineStr">
        <is>
          <t>SCA</t>
        </is>
      </c>
      <c r="G15644" t="n">
        <v>8.6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48563-2024</t>
        </is>
      </c>
      <c r="B15645" s="1" t="n">
        <v>45593</v>
      </c>
      <c r="C15645" s="1" t="n">
        <v>45657</v>
      </c>
      <c r="D15645" t="inlineStr">
        <is>
          <t>VÄSTERNORRLANDS LÄN</t>
        </is>
      </c>
      <c r="E15645" t="inlineStr">
        <is>
          <t>TIMRÅ</t>
        </is>
      </c>
      <c r="F15645" t="inlineStr">
        <is>
          <t>SCA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48547-2024</t>
        </is>
      </c>
      <c r="B15646" s="1" t="n">
        <v>45593</v>
      </c>
      <c r="C15646" s="1" t="n">
        <v>45657</v>
      </c>
      <c r="D15646" t="inlineStr">
        <is>
          <t>VÄSTERNORRLANDS LÄN</t>
        </is>
      </c>
      <c r="E15646" t="inlineStr">
        <is>
          <t>ÖRNSKÖLDSVIK</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48882-2024</t>
        </is>
      </c>
      <c r="B15647" s="1" t="n">
        <v>45594</v>
      </c>
      <c r="C15647" s="1" t="n">
        <v>45657</v>
      </c>
      <c r="D15647" t="inlineStr">
        <is>
          <t>VÄSTERNORRLANDS LÄN</t>
        </is>
      </c>
      <c r="E15647" t="inlineStr">
        <is>
          <t>ÖRNSKÖLDSVIK</t>
        </is>
      </c>
      <c r="G15647" t="n">
        <v>9.300000000000001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49023-2024</t>
        </is>
      </c>
      <c r="B15648" s="1" t="n">
        <v>45594</v>
      </c>
      <c r="C15648" s="1" t="n">
        <v>45657</v>
      </c>
      <c r="D15648" t="inlineStr">
        <is>
          <t>VÄSTERNORRLANDS LÄN</t>
        </is>
      </c>
      <c r="E15648" t="inlineStr">
        <is>
          <t>ÖRNSKÖLDSVIK</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49027-2024</t>
        </is>
      </c>
      <c r="B15649" s="1" t="n">
        <v>45594</v>
      </c>
      <c r="C15649" s="1" t="n">
        <v>45657</v>
      </c>
      <c r="D15649" t="inlineStr">
        <is>
          <t>VÄSTERNORRLANDS LÄN</t>
        </is>
      </c>
      <c r="E15649" t="inlineStr">
        <is>
          <t>ÖRNSKÖLDSVIK</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49072-2024</t>
        </is>
      </c>
      <c r="B15650" s="1" t="n">
        <v>45594</v>
      </c>
      <c r="C15650" s="1" t="n">
        <v>45657</v>
      </c>
      <c r="D15650" t="inlineStr">
        <is>
          <t>VÄSTERNORRLANDS LÄN</t>
        </is>
      </c>
      <c r="E15650" t="inlineStr">
        <is>
          <t>TIMRÅ</t>
        </is>
      </c>
      <c r="F15650" t="inlineStr">
        <is>
          <t>SCA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48884-2024</t>
        </is>
      </c>
      <c r="B15651" s="1" t="n">
        <v>45594</v>
      </c>
      <c r="C15651" s="1" t="n">
        <v>45657</v>
      </c>
      <c r="D15651" t="inlineStr">
        <is>
          <t>VÄSTERNORRLANDS LÄN</t>
        </is>
      </c>
      <c r="E15651" t="inlineStr">
        <is>
          <t>ÖRNSKÖLDSVIK</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48962-2024</t>
        </is>
      </c>
      <c r="B15652" s="1" t="n">
        <v>45594</v>
      </c>
      <c r="C15652" s="1" t="n">
        <v>45657</v>
      </c>
      <c r="D15652" t="inlineStr">
        <is>
          <t>VÄSTERNORRLANDS LÄN</t>
        </is>
      </c>
      <c r="E15652" t="inlineStr">
        <is>
          <t>SOLLEFTEÅ</t>
        </is>
      </c>
      <c r="F15652" t="inlineStr">
        <is>
          <t>SCA</t>
        </is>
      </c>
      <c r="G15652" t="n">
        <v>6.1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48950-2024</t>
        </is>
      </c>
      <c r="B15653" s="1" t="n">
        <v>45594</v>
      </c>
      <c r="C15653" s="1" t="n">
        <v>45657</v>
      </c>
      <c r="D15653" t="inlineStr">
        <is>
          <t>VÄSTERNORRLANDS LÄN</t>
        </is>
      </c>
      <c r="E15653" t="inlineStr">
        <is>
          <t>SUNDSVALL</t>
        </is>
      </c>
      <c r="F15653" t="inlineStr">
        <is>
          <t>SCA</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48946-2024</t>
        </is>
      </c>
      <c r="B15654" s="1" t="n">
        <v>45594</v>
      </c>
      <c r="C15654" s="1" t="n">
        <v>45657</v>
      </c>
      <c r="D15654" t="inlineStr">
        <is>
          <t>VÄSTERNORRLANDS LÄN</t>
        </is>
      </c>
      <c r="E15654" t="inlineStr">
        <is>
          <t>ÅNGE</t>
        </is>
      </c>
      <c r="F15654" t="inlineStr">
        <is>
          <t>SCA</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48934-2024</t>
        </is>
      </c>
      <c r="B15655" s="1" t="n">
        <v>45594</v>
      </c>
      <c r="C15655" s="1" t="n">
        <v>45657</v>
      </c>
      <c r="D15655" t="inlineStr">
        <is>
          <t>VÄSTERNORRLANDS LÄN</t>
        </is>
      </c>
      <c r="E15655" t="inlineStr">
        <is>
          <t>SUNDSVALL</t>
        </is>
      </c>
      <c r="F15655" t="inlineStr">
        <is>
          <t>SCA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48992-2024</t>
        </is>
      </c>
      <c r="B15656" s="1" t="n">
        <v>45594</v>
      </c>
      <c r="C15656" s="1" t="n">
        <v>45657</v>
      </c>
      <c r="D15656" t="inlineStr">
        <is>
          <t>VÄSTERNORRLANDS LÄN</t>
        </is>
      </c>
      <c r="E15656" t="inlineStr">
        <is>
          <t>ÖRNSKÖLDSVIK</t>
        </is>
      </c>
      <c r="G15656" t="n">
        <v>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48896-2024</t>
        </is>
      </c>
      <c r="B15657" s="1" t="n">
        <v>45594</v>
      </c>
      <c r="C15657" s="1" t="n">
        <v>45657</v>
      </c>
      <c r="D15657" t="inlineStr">
        <is>
          <t>VÄSTERNORRLANDS LÄN</t>
        </is>
      </c>
      <c r="E15657" t="inlineStr">
        <is>
          <t>ÖRNSKÖLDSVIK</t>
        </is>
      </c>
      <c r="F15657" t="inlineStr">
        <is>
          <t>SCA</t>
        </is>
      </c>
      <c r="G15657" t="n">
        <v>5.8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48914-2024</t>
        </is>
      </c>
      <c r="B15658" s="1" t="n">
        <v>45594</v>
      </c>
      <c r="C15658" s="1" t="n">
        <v>45657</v>
      </c>
      <c r="D15658" t="inlineStr">
        <is>
          <t>VÄSTERNORRLANDS LÄN</t>
        </is>
      </c>
      <c r="E15658" t="inlineStr">
        <is>
          <t>KRAMFORS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48898-2024</t>
        </is>
      </c>
      <c r="B15659" s="1" t="n">
        <v>45594</v>
      </c>
      <c r="C15659" s="1" t="n">
        <v>45657</v>
      </c>
      <c r="D15659" t="inlineStr">
        <is>
          <t>VÄSTERNORRLANDS LÄN</t>
        </is>
      </c>
      <c r="E15659" t="inlineStr">
        <is>
          <t>ÅNGE</t>
        </is>
      </c>
      <c r="F15659" t="inlineStr">
        <is>
          <t>SCA</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48886-2024</t>
        </is>
      </c>
      <c r="B15660" s="1" t="n">
        <v>45594</v>
      </c>
      <c r="C15660" s="1" t="n">
        <v>45657</v>
      </c>
      <c r="D15660" t="inlineStr">
        <is>
          <t>VÄSTERNORRLANDS LÄN</t>
        </is>
      </c>
      <c r="E15660" t="inlineStr">
        <is>
          <t>ÖRNSKÖLDSVIK</t>
        </is>
      </c>
      <c r="G15660" t="n">
        <v>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49128-2024</t>
        </is>
      </c>
      <c r="B15661" s="1" t="n">
        <v>45594</v>
      </c>
      <c r="C15661" s="1" t="n">
        <v>45657</v>
      </c>
      <c r="D15661" t="inlineStr">
        <is>
          <t>VÄSTERNORRLANDS LÄN</t>
        </is>
      </c>
      <c r="E15661" t="inlineStr">
        <is>
          <t>ÅNGE</t>
        </is>
      </c>
      <c r="F15661" t="inlineStr">
        <is>
          <t>SCA</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48881-2024</t>
        </is>
      </c>
      <c r="B15662" s="1" t="n">
        <v>45594</v>
      </c>
      <c r="C15662" s="1" t="n">
        <v>45657</v>
      </c>
      <c r="D15662" t="inlineStr">
        <is>
          <t>VÄSTERNORRLANDS LÄN</t>
        </is>
      </c>
      <c r="E15662" t="inlineStr">
        <is>
          <t>ÖRNSKÖLDSVIK</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48897-2024</t>
        </is>
      </c>
      <c r="B15663" s="1" t="n">
        <v>45594</v>
      </c>
      <c r="C15663" s="1" t="n">
        <v>45657</v>
      </c>
      <c r="D15663" t="inlineStr">
        <is>
          <t>VÄSTERNORRLANDS LÄN</t>
        </is>
      </c>
      <c r="E15663" t="inlineStr">
        <is>
          <t>SOLLEFTEÅ</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49061-2024</t>
        </is>
      </c>
      <c r="B15664" s="1" t="n">
        <v>45594</v>
      </c>
      <c r="C15664" s="1" t="n">
        <v>45657</v>
      </c>
      <c r="D15664" t="inlineStr">
        <is>
          <t>VÄSTERNORRLANDS LÄN</t>
        </is>
      </c>
      <c r="E15664" t="inlineStr">
        <is>
          <t>TIMRÅ</t>
        </is>
      </c>
      <c r="F15664" t="inlineStr">
        <is>
          <t>SCA</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49156-2024</t>
        </is>
      </c>
      <c r="B15665" s="1" t="n">
        <v>45594</v>
      </c>
      <c r="C15665" s="1" t="n">
        <v>45657</v>
      </c>
      <c r="D15665" t="inlineStr">
        <is>
          <t>VÄSTERNORRLANDS LÄN</t>
        </is>
      </c>
      <c r="E15665" t="inlineStr">
        <is>
          <t>SOLLEFTEÅ</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48915-2024</t>
        </is>
      </c>
      <c r="B15666" s="1" t="n">
        <v>45594</v>
      </c>
      <c r="C15666" s="1" t="n">
        <v>45657</v>
      </c>
      <c r="D15666" t="inlineStr">
        <is>
          <t>VÄSTERNORRLANDS LÄN</t>
        </is>
      </c>
      <c r="E15666" t="inlineStr">
        <is>
          <t>ÖRNSKÖLDSVIK</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48895-2024</t>
        </is>
      </c>
      <c r="B15667" s="1" t="n">
        <v>45594</v>
      </c>
      <c r="C15667" s="1" t="n">
        <v>45657</v>
      </c>
      <c r="D15667" t="inlineStr">
        <is>
          <t>VÄSTERNORRLANDS LÄN</t>
        </is>
      </c>
      <c r="E15667" t="inlineStr">
        <is>
          <t>SOLLEFTEÅ</t>
        </is>
      </c>
      <c r="F15667" t="inlineStr">
        <is>
          <t>SCA</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49093-2024</t>
        </is>
      </c>
      <c r="B15668" s="1" t="n">
        <v>45594</v>
      </c>
      <c r="C15668" s="1" t="n">
        <v>45657</v>
      </c>
      <c r="D15668" t="inlineStr">
        <is>
          <t>VÄSTERNORRLANDS LÄN</t>
        </is>
      </c>
      <c r="E15668" t="inlineStr">
        <is>
          <t>ÖRNSKÖLDSVIK</t>
        </is>
      </c>
      <c r="F15668" t="inlineStr">
        <is>
          <t>Holmen skog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48961-2024</t>
        </is>
      </c>
      <c r="B15669" s="1" t="n">
        <v>45594</v>
      </c>
      <c r="C15669" s="1" t="n">
        <v>45657</v>
      </c>
      <c r="D15669" t="inlineStr">
        <is>
          <t>VÄSTERNORRLANDS LÄN</t>
        </is>
      </c>
      <c r="E15669" t="inlineStr">
        <is>
          <t>SUNDSVALL</t>
        </is>
      </c>
      <c r="F15669" t="inlineStr">
        <is>
          <t>SCA</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49046-2024</t>
        </is>
      </c>
      <c r="B15670" s="1" t="n">
        <v>45594</v>
      </c>
      <c r="C15670" s="1" t="n">
        <v>45657</v>
      </c>
      <c r="D15670" t="inlineStr">
        <is>
          <t>VÄSTERNORRLANDS LÄN</t>
        </is>
      </c>
      <c r="E15670" t="inlineStr">
        <is>
          <t>ÖRNSKÖLDSVIK</t>
        </is>
      </c>
      <c r="F15670" t="inlineStr">
        <is>
          <t>Holmen skog AB</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49169-2024</t>
        </is>
      </c>
      <c r="B15671" s="1" t="n">
        <v>45595</v>
      </c>
      <c r="C15671" s="1" t="n">
        <v>45657</v>
      </c>
      <c r="D15671" t="inlineStr">
        <is>
          <t>VÄSTERNORRLANDS LÄN</t>
        </is>
      </c>
      <c r="E15671" t="inlineStr">
        <is>
          <t>ÖRNSKÖLDSVIK</t>
        </is>
      </c>
      <c r="F15671" t="inlineStr">
        <is>
          <t>Holmen skog AB</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49222-2024</t>
        </is>
      </c>
      <c r="B15672" s="1" t="n">
        <v>45595</v>
      </c>
      <c r="C15672" s="1" t="n">
        <v>45657</v>
      </c>
      <c r="D15672" t="inlineStr">
        <is>
          <t>VÄSTERNORRLANDS LÄN</t>
        </is>
      </c>
      <c r="E15672" t="inlineStr">
        <is>
          <t>ÖRNSKÖLDSVIK</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49238-2024</t>
        </is>
      </c>
      <c r="B15673" s="1" t="n">
        <v>45595</v>
      </c>
      <c r="C15673" s="1" t="n">
        <v>45657</v>
      </c>
      <c r="D15673" t="inlineStr">
        <is>
          <t>VÄSTERNORRLANDS LÄN</t>
        </is>
      </c>
      <c r="E15673" t="inlineStr">
        <is>
          <t>SOLLEFTEÅ</t>
        </is>
      </c>
      <c r="F15673" t="inlineStr">
        <is>
          <t>SCA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49187-2024</t>
        </is>
      </c>
      <c r="B15674" s="1" t="n">
        <v>45595</v>
      </c>
      <c r="C15674" s="1" t="n">
        <v>45657</v>
      </c>
      <c r="D15674" t="inlineStr">
        <is>
          <t>VÄSTERNORRLANDS LÄN</t>
        </is>
      </c>
      <c r="E15674" t="inlineStr">
        <is>
          <t>ÅNGE</t>
        </is>
      </c>
      <c r="F15674" t="inlineStr">
        <is>
          <t>SCA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49373-2024</t>
        </is>
      </c>
      <c r="B15675" s="1" t="n">
        <v>45595</v>
      </c>
      <c r="C15675" s="1" t="n">
        <v>45657</v>
      </c>
      <c r="D15675" t="inlineStr">
        <is>
          <t>VÄSTERNORRLANDS LÄN</t>
        </is>
      </c>
      <c r="E15675" t="inlineStr">
        <is>
          <t>SOLLEFTEÅ</t>
        </is>
      </c>
      <c r="F15675" t="inlineStr">
        <is>
          <t>SCA</t>
        </is>
      </c>
      <c r="G15675" t="n">
        <v>4.5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49318-2024</t>
        </is>
      </c>
      <c r="B15676" s="1" t="n">
        <v>45595</v>
      </c>
      <c r="C15676" s="1" t="n">
        <v>45657</v>
      </c>
      <c r="D15676" t="inlineStr">
        <is>
          <t>VÄSTERNORRLANDS LÄN</t>
        </is>
      </c>
      <c r="E15676" t="inlineStr">
        <is>
          <t>ÖRNSKÖLDSVIK</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49346-2024</t>
        </is>
      </c>
      <c r="B15677" s="1" t="n">
        <v>45595</v>
      </c>
      <c r="C15677" s="1" t="n">
        <v>45657</v>
      </c>
      <c r="D15677" t="inlineStr">
        <is>
          <t>VÄSTERNORRLANDS LÄN</t>
        </is>
      </c>
      <c r="E15677" t="inlineStr">
        <is>
          <t>HÄRNÖSAND</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49310-2024</t>
        </is>
      </c>
      <c r="B15678" s="1" t="n">
        <v>45595</v>
      </c>
      <c r="C15678" s="1" t="n">
        <v>45657</v>
      </c>
      <c r="D15678" t="inlineStr">
        <is>
          <t>VÄSTERNORRLANDS LÄN</t>
        </is>
      </c>
      <c r="E15678" t="inlineStr">
        <is>
          <t>TIMRÅ</t>
        </is>
      </c>
      <c r="F15678" t="inlineStr">
        <is>
          <t>SCA</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49179-2024</t>
        </is>
      </c>
      <c r="B15679" s="1" t="n">
        <v>45595</v>
      </c>
      <c r="C15679" s="1" t="n">
        <v>45657</v>
      </c>
      <c r="D15679" t="inlineStr">
        <is>
          <t>VÄSTERNORRLANDS LÄN</t>
        </is>
      </c>
      <c r="E15679" t="inlineStr">
        <is>
          <t>ÖRNSKÖLDSVIK</t>
        </is>
      </c>
      <c r="F15679" t="inlineStr">
        <is>
          <t>Holmen skog AB</t>
        </is>
      </c>
      <c r="G15679" t="n">
        <v>7.9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49403-2024</t>
        </is>
      </c>
      <c r="B15680" s="1" t="n">
        <v>45595</v>
      </c>
      <c r="C15680" s="1" t="n">
        <v>45657</v>
      </c>
      <c r="D15680" t="inlineStr">
        <is>
          <t>VÄSTERNORRLANDS LÄN</t>
        </is>
      </c>
      <c r="E15680" t="inlineStr">
        <is>
          <t>SOLLEFTEÅ</t>
        </is>
      </c>
      <c r="F15680" t="inlineStr">
        <is>
          <t>SCA</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49312-2024</t>
        </is>
      </c>
      <c r="B15681" s="1" t="n">
        <v>45595</v>
      </c>
      <c r="C15681" s="1" t="n">
        <v>45657</v>
      </c>
      <c r="D15681" t="inlineStr">
        <is>
          <t>VÄSTERNORRLANDS LÄN</t>
        </is>
      </c>
      <c r="E15681" t="inlineStr">
        <is>
          <t>ÖRNSKÖLDSVIK</t>
        </is>
      </c>
      <c r="G15681" t="n">
        <v>7.8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49360-2024</t>
        </is>
      </c>
      <c r="B15682" s="1" t="n">
        <v>45595</v>
      </c>
      <c r="C15682" s="1" t="n">
        <v>45657</v>
      </c>
      <c r="D15682" t="inlineStr">
        <is>
          <t>VÄSTERNORRLANDS LÄN</t>
        </is>
      </c>
      <c r="E15682" t="inlineStr">
        <is>
          <t>SUNDSVALL</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49364-2024</t>
        </is>
      </c>
      <c r="B15683" s="1" t="n">
        <v>45595</v>
      </c>
      <c r="C15683" s="1" t="n">
        <v>45657</v>
      </c>
      <c r="D15683" t="inlineStr">
        <is>
          <t>VÄSTERNORRLANDS LÄN</t>
        </is>
      </c>
      <c r="E15683" t="inlineStr">
        <is>
          <t>HÄRNÖSAND</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49368-2024</t>
        </is>
      </c>
      <c r="B15684" s="1" t="n">
        <v>45595</v>
      </c>
      <c r="C15684" s="1" t="n">
        <v>45657</v>
      </c>
      <c r="D15684" t="inlineStr">
        <is>
          <t>VÄSTERNORRLANDS LÄN</t>
        </is>
      </c>
      <c r="E15684" t="inlineStr">
        <is>
          <t>SUNDSVALL</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49376-2024</t>
        </is>
      </c>
      <c r="B15685" s="1" t="n">
        <v>45595</v>
      </c>
      <c r="C15685" s="1" t="n">
        <v>45657</v>
      </c>
      <c r="D15685" t="inlineStr">
        <is>
          <t>VÄSTERNORRLANDS LÄN</t>
        </is>
      </c>
      <c r="E15685" t="inlineStr">
        <is>
          <t>HÄRNÖSAND</t>
        </is>
      </c>
      <c r="F15685" t="inlineStr">
        <is>
          <t>SCA</t>
        </is>
      </c>
      <c r="G15685" t="n">
        <v>9.300000000000001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49253-2024</t>
        </is>
      </c>
      <c r="B15686" s="1" t="n">
        <v>45595</v>
      </c>
      <c r="C15686" s="1" t="n">
        <v>45657</v>
      </c>
      <c r="D15686" t="inlineStr">
        <is>
          <t>VÄSTERNORRLANDS LÄN</t>
        </is>
      </c>
      <c r="E15686" t="inlineStr">
        <is>
          <t>SOLLEFTEÅ</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49668-2024</t>
        </is>
      </c>
      <c r="B15687" s="1" t="n">
        <v>45596</v>
      </c>
      <c r="C15687" s="1" t="n">
        <v>45657</v>
      </c>
      <c r="D15687" t="inlineStr">
        <is>
          <t>VÄSTERNORRLANDS LÄN</t>
        </is>
      </c>
      <c r="E15687" t="inlineStr">
        <is>
          <t>ÖRNSKÖLDSVIK</t>
        </is>
      </c>
      <c r="F15687" t="inlineStr">
        <is>
          <t>Holmen skog AB</t>
        </is>
      </c>
      <c r="G15687" t="n">
        <v>11.1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49673-2024</t>
        </is>
      </c>
      <c r="B15688" s="1" t="n">
        <v>45596</v>
      </c>
      <c r="C15688" s="1" t="n">
        <v>45657</v>
      </c>
      <c r="D15688" t="inlineStr">
        <is>
          <t>VÄSTERNORRLANDS LÄN</t>
        </is>
      </c>
      <c r="E15688" t="inlineStr">
        <is>
          <t>SOLLEFTEÅ</t>
        </is>
      </c>
      <c r="F15688" t="inlineStr">
        <is>
          <t>SCA</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49469-2024</t>
        </is>
      </c>
      <c r="B15689" s="1" t="n">
        <v>45596</v>
      </c>
      <c r="C15689" s="1" t="n">
        <v>45657</v>
      </c>
      <c r="D15689" t="inlineStr">
        <is>
          <t>VÄSTERNORRLANDS LÄN</t>
        </is>
      </c>
      <c r="E15689" t="inlineStr">
        <is>
          <t>ÖRNSKÖLDSVIK</t>
        </is>
      </c>
      <c r="F15689" t="inlineStr">
        <is>
          <t>Holmen skog AB</t>
        </is>
      </c>
      <c r="G15689" t="n">
        <v>11.7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49497-2024</t>
        </is>
      </c>
      <c r="B15690" s="1" t="n">
        <v>45596</v>
      </c>
      <c r="C15690" s="1" t="n">
        <v>45657</v>
      </c>
      <c r="D15690" t="inlineStr">
        <is>
          <t>VÄSTERNORRLANDS LÄN</t>
        </is>
      </c>
      <c r="E15690" t="inlineStr">
        <is>
          <t>ÖRNSKÖLDSVIK</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49711-2024</t>
        </is>
      </c>
      <c r="B15691" s="1" t="n">
        <v>45596</v>
      </c>
      <c r="C15691" s="1" t="n">
        <v>45657</v>
      </c>
      <c r="D15691" t="inlineStr">
        <is>
          <t>VÄSTERNORRLANDS LÄN</t>
        </is>
      </c>
      <c r="E15691" t="inlineStr">
        <is>
          <t>ÅNGE</t>
        </is>
      </c>
      <c r="F15691" t="inlineStr">
        <is>
          <t>SCA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49487-2024</t>
        </is>
      </c>
      <c r="B15692" s="1" t="n">
        <v>45596</v>
      </c>
      <c r="C15692" s="1" t="n">
        <v>45657</v>
      </c>
      <c r="D15692" t="inlineStr">
        <is>
          <t>VÄSTERNORRLANDS LÄN</t>
        </is>
      </c>
      <c r="E15692" t="inlineStr">
        <is>
          <t>ÅNGE</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49495-2024</t>
        </is>
      </c>
      <c r="B15693" s="1" t="n">
        <v>45596</v>
      </c>
      <c r="C15693" s="1" t="n">
        <v>45657</v>
      </c>
      <c r="D15693" t="inlineStr">
        <is>
          <t>VÄSTERNORRLANDS LÄN</t>
        </is>
      </c>
      <c r="E15693" t="inlineStr">
        <is>
          <t>TIMRÅ</t>
        </is>
      </c>
      <c r="F15693" t="inlineStr">
        <is>
          <t>SCA</t>
        </is>
      </c>
      <c r="G15693" t="n">
        <v>6.9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49631-2024</t>
        </is>
      </c>
      <c r="B15694" s="1" t="n">
        <v>45596</v>
      </c>
      <c r="C15694" s="1" t="n">
        <v>45657</v>
      </c>
      <c r="D15694" t="inlineStr">
        <is>
          <t>VÄSTERNORRLANDS LÄN</t>
        </is>
      </c>
      <c r="E15694" t="inlineStr">
        <is>
          <t>SUNDSVALL</t>
        </is>
      </c>
      <c r="F15694" t="inlineStr">
        <is>
          <t>Holmen skog AB</t>
        </is>
      </c>
      <c r="G15694" t="n">
        <v>13.3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49532-2024</t>
        </is>
      </c>
      <c r="B15695" s="1" t="n">
        <v>45596</v>
      </c>
      <c r="C15695" s="1" t="n">
        <v>45657</v>
      </c>
      <c r="D15695" t="inlineStr">
        <is>
          <t>VÄSTERNORRLANDS LÄN</t>
        </is>
      </c>
      <c r="E15695" t="inlineStr">
        <is>
          <t>ÅNGE</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49593-2024</t>
        </is>
      </c>
      <c r="B15696" s="1" t="n">
        <v>45596</v>
      </c>
      <c r="C15696" s="1" t="n">
        <v>45657</v>
      </c>
      <c r="D15696" t="inlineStr">
        <is>
          <t>VÄSTERNORRLANDS LÄN</t>
        </is>
      </c>
      <c r="E15696" t="inlineStr">
        <is>
          <t>ÖRNSKÖLDSVIK</t>
        </is>
      </c>
      <c r="F15696" t="inlineStr">
        <is>
          <t>Holmen skog AB</t>
        </is>
      </c>
      <c r="G15696" t="n">
        <v>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49494-2024</t>
        </is>
      </c>
      <c r="B15697" s="1" t="n">
        <v>45596</v>
      </c>
      <c r="C15697" s="1" t="n">
        <v>45657</v>
      </c>
      <c r="D15697" t="inlineStr">
        <is>
          <t>VÄSTERNORRLANDS LÄN</t>
        </is>
      </c>
      <c r="E15697" t="inlineStr">
        <is>
          <t>ÖRNSKÖLDSVIK</t>
        </is>
      </c>
      <c r="F15697" t="inlineStr">
        <is>
          <t>Holmen skog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49515-2024</t>
        </is>
      </c>
      <c r="B15698" s="1" t="n">
        <v>45596</v>
      </c>
      <c r="C15698" s="1" t="n">
        <v>45657</v>
      </c>
      <c r="D15698" t="inlineStr">
        <is>
          <t>VÄSTERNORRLANDS LÄN</t>
        </is>
      </c>
      <c r="E15698" t="inlineStr">
        <is>
          <t>ÖRNSKÖLDSVIK</t>
        </is>
      </c>
      <c r="F15698" t="inlineStr">
        <is>
          <t>Holmen skog AB</t>
        </is>
      </c>
      <c r="G15698" t="n">
        <v>5.4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49567-2024</t>
        </is>
      </c>
      <c r="B15699" s="1" t="n">
        <v>45596</v>
      </c>
      <c r="C15699" s="1" t="n">
        <v>45657</v>
      </c>
      <c r="D15699" t="inlineStr">
        <is>
          <t>VÄSTERNORRLANDS LÄN</t>
        </is>
      </c>
      <c r="E15699" t="inlineStr">
        <is>
          <t>SOLLEFTEÅ</t>
        </is>
      </c>
      <c r="F15699" t="inlineStr">
        <is>
          <t>SCA</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49629-2024</t>
        </is>
      </c>
      <c r="B15700" s="1" t="n">
        <v>45596</v>
      </c>
      <c r="C15700" s="1" t="n">
        <v>45657</v>
      </c>
      <c r="D15700" t="inlineStr">
        <is>
          <t>VÄSTERNORRLANDS LÄN</t>
        </is>
      </c>
      <c r="E15700" t="inlineStr">
        <is>
          <t>SOLLEFTEÅ</t>
        </is>
      </c>
      <c r="F15700" t="inlineStr">
        <is>
          <t>SCA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49790-2024</t>
        </is>
      </c>
      <c r="B15701" s="1" t="n">
        <v>45597</v>
      </c>
      <c r="C15701" s="1" t="n">
        <v>45657</v>
      </c>
      <c r="D15701" t="inlineStr">
        <is>
          <t>VÄSTERNORRLANDS LÄN</t>
        </is>
      </c>
      <c r="E15701" t="inlineStr">
        <is>
          <t>ÖRNSKÖLDSVIK</t>
        </is>
      </c>
      <c r="F15701" t="inlineStr">
        <is>
          <t>Holmen skog AB</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49771-2024</t>
        </is>
      </c>
      <c r="B15702" s="1" t="n">
        <v>45597</v>
      </c>
      <c r="C15702" s="1" t="n">
        <v>45657</v>
      </c>
      <c r="D15702" t="inlineStr">
        <is>
          <t>VÄSTERNORRLANDS LÄN</t>
        </is>
      </c>
      <c r="E15702" t="inlineStr">
        <is>
          <t>SOLLEFTEÅ</t>
        </is>
      </c>
      <c r="F15702" t="inlineStr">
        <is>
          <t>SCA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49831-2024</t>
        </is>
      </c>
      <c r="B15703" s="1" t="n">
        <v>45597</v>
      </c>
      <c r="C15703" s="1" t="n">
        <v>45657</v>
      </c>
      <c r="D15703" t="inlineStr">
        <is>
          <t>VÄSTERNORRLANDS LÄN</t>
        </is>
      </c>
      <c r="E15703" t="inlineStr">
        <is>
          <t>ÖRNSKÖLDSVIK</t>
        </is>
      </c>
      <c r="F15703" t="inlineStr">
        <is>
          <t>Holmen skog AB</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49843-2024</t>
        </is>
      </c>
      <c r="B15704" s="1" t="n">
        <v>45597</v>
      </c>
      <c r="C15704" s="1" t="n">
        <v>45657</v>
      </c>
      <c r="D15704" t="inlineStr">
        <is>
          <t>VÄSTERNORRLANDS LÄN</t>
        </is>
      </c>
      <c r="E15704" t="inlineStr">
        <is>
          <t>ÖRNSKÖLDSVIK</t>
        </is>
      </c>
      <c r="F15704" t="inlineStr">
        <is>
          <t>Holmen skog AB</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49829-2024</t>
        </is>
      </c>
      <c r="B15705" s="1" t="n">
        <v>45597</v>
      </c>
      <c r="C15705" s="1" t="n">
        <v>45657</v>
      </c>
      <c r="D15705" t="inlineStr">
        <is>
          <t>VÄSTERNORRLANDS LÄN</t>
        </is>
      </c>
      <c r="E15705" t="inlineStr">
        <is>
          <t>SOLLEFTEÅ</t>
        </is>
      </c>
      <c r="F15705" t="inlineStr">
        <is>
          <t>SCA</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49842-2024</t>
        </is>
      </c>
      <c r="B15706" s="1" t="n">
        <v>45597</v>
      </c>
      <c r="C15706" s="1" t="n">
        <v>45657</v>
      </c>
      <c r="D15706" t="inlineStr">
        <is>
          <t>VÄSTERNORRLANDS LÄN</t>
        </is>
      </c>
      <c r="E15706" t="inlineStr">
        <is>
          <t>ÖRNSKÖLDSVIK</t>
        </is>
      </c>
      <c r="F15706" t="inlineStr">
        <is>
          <t>Holmen skog AB</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49860-2024</t>
        </is>
      </c>
      <c r="B15707" s="1" t="n">
        <v>45597</v>
      </c>
      <c r="C15707" s="1" t="n">
        <v>45657</v>
      </c>
      <c r="D15707" t="inlineStr">
        <is>
          <t>VÄSTERNORRLANDS LÄN</t>
        </is>
      </c>
      <c r="E15707" t="inlineStr">
        <is>
          <t>ÖRNSKÖLDSVIK</t>
        </is>
      </c>
      <c r="F15707" t="inlineStr">
        <is>
          <t>Holmen skog AB</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49929-2024</t>
        </is>
      </c>
      <c r="B15708" s="1" t="n">
        <v>45597</v>
      </c>
      <c r="C15708" s="1" t="n">
        <v>45657</v>
      </c>
      <c r="D15708" t="inlineStr">
        <is>
          <t>VÄSTERNORRLANDS LÄN</t>
        </is>
      </c>
      <c r="E15708" t="inlineStr">
        <is>
          <t>SUNDSVALL</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49871-2024</t>
        </is>
      </c>
      <c r="B15709" s="1" t="n">
        <v>45597</v>
      </c>
      <c r="C15709" s="1" t="n">
        <v>45657</v>
      </c>
      <c r="D15709" t="inlineStr">
        <is>
          <t>VÄSTERNORRLANDS LÄN</t>
        </is>
      </c>
      <c r="E15709" t="inlineStr">
        <is>
          <t>ÅNGE</t>
        </is>
      </c>
      <c r="F15709" t="inlineStr">
        <is>
          <t>SCA</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49887-2024</t>
        </is>
      </c>
      <c r="B15710" s="1" t="n">
        <v>45597</v>
      </c>
      <c r="C15710" s="1" t="n">
        <v>45657</v>
      </c>
      <c r="D15710" t="inlineStr">
        <is>
          <t>VÄSTERNORRLANDS LÄN</t>
        </is>
      </c>
      <c r="E15710" t="inlineStr">
        <is>
          <t>ÖRNSKÖLDSVIK</t>
        </is>
      </c>
      <c r="F15710" t="inlineStr">
        <is>
          <t>SCA</t>
        </is>
      </c>
      <c r="G15710" t="n">
        <v>5.7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49899-2024</t>
        </is>
      </c>
      <c r="B15711" s="1" t="n">
        <v>45597</v>
      </c>
      <c r="C15711" s="1" t="n">
        <v>45657</v>
      </c>
      <c r="D15711" t="inlineStr">
        <is>
          <t>VÄSTERNORRLANDS LÄN</t>
        </is>
      </c>
      <c r="E15711" t="inlineStr">
        <is>
          <t>SUNDSVALL</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49789-2024</t>
        </is>
      </c>
      <c r="B15712" s="1" t="n">
        <v>45597</v>
      </c>
      <c r="C15712" s="1" t="n">
        <v>45657</v>
      </c>
      <c r="D15712" t="inlineStr">
        <is>
          <t>VÄSTERNORRLANDS LÄN</t>
        </is>
      </c>
      <c r="E15712" t="inlineStr">
        <is>
          <t>SUNDSVALL</t>
        </is>
      </c>
      <c r="F15712" t="inlineStr">
        <is>
          <t>SCA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49772-2024</t>
        </is>
      </c>
      <c r="B15713" s="1" t="n">
        <v>45597</v>
      </c>
      <c r="C15713" s="1" t="n">
        <v>45657</v>
      </c>
      <c r="D15713" t="inlineStr">
        <is>
          <t>VÄSTERNORRLANDS LÄN</t>
        </is>
      </c>
      <c r="E15713" t="inlineStr">
        <is>
          <t>SOLLEFTEÅ</t>
        </is>
      </c>
      <c r="F15713" t="inlineStr">
        <is>
          <t>SCA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49868-2024</t>
        </is>
      </c>
      <c r="B15714" s="1" t="n">
        <v>45597</v>
      </c>
      <c r="C15714" s="1" t="n">
        <v>45657</v>
      </c>
      <c r="D15714" t="inlineStr">
        <is>
          <t>VÄSTERNORRLANDS LÄN</t>
        </is>
      </c>
      <c r="E15714" t="inlineStr">
        <is>
          <t>ÖRNSKÖLDSVIK</t>
        </is>
      </c>
      <c r="F15714" t="inlineStr">
        <is>
          <t>Holmen skog AB</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50007-2024</t>
        </is>
      </c>
      <c r="B15715" s="1" t="n">
        <v>45598</v>
      </c>
      <c r="C15715" s="1" t="n">
        <v>45657</v>
      </c>
      <c r="D15715" t="inlineStr">
        <is>
          <t>VÄSTERNORRLANDS LÄN</t>
        </is>
      </c>
      <c r="E15715" t="inlineStr">
        <is>
          <t>SOLLEFTEÅ</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50013-2024</t>
        </is>
      </c>
      <c r="B15716" s="1" t="n">
        <v>45598</v>
      </c>
      <c r="C15716" s="1" t="n">
        <v>45657</v>
      </c>
      <c r="D15716" t="inlineStr">
        <is>
          <t>VÄSTERNORRLANDS LÄN</t>
        </is>
      </c>
      <c r="E15716" t="inlineStr">
        <is>
          <t>SUNDSVALL</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50012-2024</t>
        </is>
      </c>
      <c r="B15717" s="1" t="n">
        <v>45598</v>
      </c>
      <c r="C15717" s="1" t="n">
        <v>45657</v>
      </c>
      <c r="D15717" t="inlineStr">
        <is>
          <t>VÄSTERNORRLANDS LÄN</t>
        </is>
      </c>
      <c r="E15717" t="inlineStr">
        <is>
          <t>SUNDSVALL</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50008-2024</t>
        </is>
      </c>
      <c r="B15718" s="1" t="n">
        <v>45598</v>
      </c>
      <c r="C15718" s="1" t="n">
        <v>45657</v>
      </c>
      <c r="D15718" t="inlineStr">
        <is>
          <t>VÄSTERNORRLANDS LÄN</t>
        </is>
      </c>
      <c r="E15718" t="inlineStr">
        <is>
          <t>SOLLEFTEÅ</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49999-2024</t>
        </is>
      </c>
      <c r="B15719" s="1" t="n">
        <v>45598</v>
      </c>
      <c r="C15719" s="1" t="n">
        <v>45657</v>
      </c>
      <c r="D15719" t="inlineStr">
        <is>
          <t>VÄSTERNORRLANDS LÄN</t>
        </is>
      </c>
      <c r="E15719" t="inlineStr">
        <is>
          <t>SOLLEFTEÅ</t>
        </is>
      </c>
      <c r="F15719" t="inlineStr">
        <is>
          <t>SCA</t>
        </is>
      </c>
      <c r="G15719" t="n">
        <v>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50006-2024</t>
        </is>
      </c>
      <c r="B15720" s="1" t="n">
        <v>45598</v>
      </c>
      <c r="C15720" s="1" t="n">
        <v>45657</v>
      </c>
      <c r="D15720" t="inlineStr">
        <is>
          <t>VÄSTERNORRLANDS LÄN</t>
        </is>
      </c>
      <c r="E15720" t="inlineStr">
        <is>
          <t>SOLLEFTEÅ</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50036-2024</t>
        </is>
      </c>
      <c r="B15721" s="1" t="n">
        <v>45599</v>
      </c>
      <c r="C15721" s="1" t="n">
        <v>45657</v>
      </c>
      <c r="D15721" t="inlineStr">
        <is>
          <t>VÄSTERNORRLANDS LÄN</t>
        </is>
      </c>
      <c r="E15721" t="inlineStr">
        <is>
          <t>SOLLEFTEÅ</t>
        </is>
      </c>
      <c r="G15721" t="n">
        <v>17.9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50077-2024</t>
        </is>
      </c>
      <c r="B15722" s="1" t="n">
        <v>45600</v>
      </c>
      <c r="C15722" s="1" t="n">
        <v>45657</v>
      </c>
      <c r="D15722" t="inlineStr">
        <is>
          <t>VÄSTERNORRLANDS LÄN</t>
        </is>
      </c>
      <c r="E15722" t="inlineStr">
        <is>
          <t>ÖRNSKÖLDSVIK</t>
        </is>
      </c>
      <c r="F15722" t="inlineStr">
        <is>
          <t>Holmen skog AB</t>
        </is>
      </c>
      <c r="G15722" t="n">
        <v>9.1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50089-2024</t>
        </is>
      </c>
      <c r="B15723" s="1" t="n">
        <v>45600</v>
      </c>
      <c r="C15723" s="1" t="n">
        <v>45657</v>
      </c>
      <c r="D15723" t="inlineStr">
        <is>
          <t>VÄSTERNORRLANDS LÄN</t>
        </is>
      </c>
      <c r="E15723" t="inlineStr">
        <is>
          <t>SOLLEFTEÅ</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50067-2024</t>
        </is>
      </c>
      <c r="B15724" s="1" t="n">
        <v>45600</v>
      </c>
      <c r="C15724" s="1" t="n">
        <v>45657</v>
      </c>
      <c r="D15724" t="inlineStr">
        <is>
          <t>VÄSTERNORRLANDS LÄN</t>
        </is>
      </c>
      <c r="E15724" t="inlineStr">
        <is>
          <t>ÖRNSKÖLDSVIK</t>
        </is>
      </c>
      <c r="G15724" t="n">
        <v>6.3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50203-2024</t>
        </is>
      </c>
      <c r="B15725" s="1" t="n">
        <v>45600</v>
      </c>
      <c r="C15725" s="1" t="n">
        <v>45657</v>
      </c>
      <c r="D15725" t="inlineStr">
        <is>
          <t>VÄSTERNORRLANDS LÄN</t>
        </is>
      </c>
      <c r="E15725" t="inlineStr">
        <is>
          <t>SUNDSVALL</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50220-2024</t>
        </is>
      </c>
      <c r="B15726" s="1" t="n">
        <v>45600</v>
      </c>
      <c r="C15726" s="1" t="n">
        <v>45657</v>
      </c>
      <c r="D15726" t="inlineStr">
        <is>
          <t>VÄSTERNORRLANDS LÄN</t>
        </is>
      </c>
      <c r="E15726" t="inlineStr">
        <is>
          <t>SUNDSVALL</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50293-2024</t>
        </is>
      </c>
      <c r="B15727" s="1" t="n">
        <v>45600</v>
      </c>
      <c r="C15727" s="1" t="n">
        <v>45657</v>
      </c>
      <c r="D15727" t="inlineStr">
        <is>
          <t>VÄSTERNORRLANDS LÄN</t>
        </is>
      </c>
      <c r="E15727" t="inlineStr">
        <is>
          <t>ÖRNSKÖLDSVIK</t>
        </is>
      </c>
      <c r="F15727" t="inlineStr">
        <is>
          <t>Holmen skog AB</t>
        </is>
      </c>
      <c r="G15727" t="n">
        <v>5.3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50179-2024</t>
        </is>
      </c>
      <c r="B15728" s="1" t="n">
        <v>45600</v>
      </c>
      <c r="C15728" s="1" t="n">
        <v>45657</v>
      </c>
      <c r="D15728" t="inlineStr">
        <is>
          <t>VÄSTERNORRLANDS LÄN</t>
        </is>
      </c>
      <c r="E15728" t="inlineStr">
        <is>
          <t>ÅNGE</t>
        </is>
      </c>
      <c r="G15728" t="n">
        <v>3.6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50205-2024</t>
        </is>
      </c>
      <c r="B15729" s="1" t="n">
        <v>45600</v>
      </c>
      <c r="C15729" s="1" t="n">
        <v>45657</v>
      </c>
      <c r="D15729" t="inlineStr">
        <is>
          <t>VÄSTERNORRLANDS LÄN</t>
        </is>
      </c>
      <c r="E15729" t="inlineStr">
        <is>
          <t>SUNDSVALL</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50325-2024</t>
        </is>
      </c>
      <c r="B15730" s="1" t="n">
        <v>45600</v>
      </c>
      <c r="C15730" s="1" t="n">
        <v>45657</v>
      </c>
      <c r="D15730" t="inlineStr">
        <is>
          <t>VÄSTERNORRLANDS LÄN</t>
        </is>
      </c>
      <c r="E15730" t="inlineStr">
        <is>
          <t>SUNDSVALL</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50213-2024</t>
        </is>
      </c>
      <c r="B15731" s="1" t="n">
        <v>45600</v>
      </c>
      <c r="C15731" s="1" t="n">
        <v>45657</v>
      </c>
      <c r="D15731" t="inlineStr">
        <is>
          <t>VÄSTERNORRLANDS LÄN</t>
        </is>
      </c>
      <c r="E15731" t="inlineStr">
        <is>
          <t>SUNDSVALL</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50490-2024</t>
        </is>
      </c>
      <c r="B15732" s="1" t="n">
        <v>45600</v>
      </c>
      <c r="C15732" s="1" t="n">
        <v>45657</v>
      </c>
      <c r="D15732" t="inlineStr">
        <is>
          <t>VÄSTERNORRLANDS LÄN</t>
        </is>
      </c>
      <c r="E15732" t="inlineStr">
        <is>
          <t>ÖRNSKÖLDSVIK</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50157-2024</t>
        </is>
      </c>
      <c r="B15733" s="1" t="n">
        <v>45600</v>
      </c>
      <c r="C15733" s="1" t="n">
        <v>45657</v>
      </c>
      <c r="D15733" t="inlineStr">
        <is>
          <t>VÄSTERNORRLANDS LÄN</t>
        </is>
      </c>
      <c r="E15733" t="inlineStr">
        <is>
          <t>SUNDSVALL</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50145-2024</t>
        </is>
      </c>
      <c r="B15734" s="1" t="n">
        <v>45600</v>
      </c>
      <c r="C15734" s="1" t="n">
        <v>45657</v>
      </c>
      <c r="D15734" t="inlineStr">
        <is>
          <t>VÄSTERNORRLANDS LÄN</t>
        </is>
      </c>
      <c r="E15734" t="inlineStr">
        <is>
          <t>SUNDSVALL</t>
        </is>
      </c>
      <c r="G15734" t="n">
        <v>10.7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50202-2024</t>
        </is>
      </c>
      <c r="B15735" s="1" t="n">
        <v>45600</v>
      </c>
      <c r="C15735" s="1" t="n">
        <v>45657</v>
      </c>
      <c r="D15735" t="inlineStr">
        <is>
          <t>VÄSTERNORRLANDS LÄN</t>
        </is>
      </c>
      <c r="E15735" t="inlineStr">
        <is>
          <t>SUNDSVALL</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50223-2024</t>
        </is>
      </c>
      <c r="B15736" s="1" t="n">
        <v>45600</v>
      </c>
      <c r="C15736" s="1" t="n">
        <v>45657</v>
      </c>
      <c r="D15736" t="inlineStr">
        <is>
          <t>VÄSTERNORRLANDS LÄN</t>
        </is>
      </c>
      <c r="E15736" t="inlineStr">
        <is>
          <t>ÖRNSKÖLDSVIK</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50231-2024</t>
        </is>
      </c>
      <c r="B15737" s="1" t="n">
        <v>45600</v>
      </c>
      <c r="C15737" s="1" t="n">
        <v>45657</v>
      </c>
      <c r="D15737" t="inlineStr">
        <is>
          <t>VÄSTERNORRLANDS LÄN</t>
        </is>
      </c>
      <c r="E15737" t="inlineStr">
        <is>
          <t>ÅNGE</t>
        </is>
      </c>
      <c r="F15737" t="inlineStr">
        <is>
          <t>SCA</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50243-2024</t>
        </is>
      </c>
      <c r="B15738" s="1" t="n">
        <v>45600</v>
      </c>
      <c r="C15738" s="1" t="n">
        <v>45657</v>
      </c>
      <c r="D15738" t="inlineStr">
        <is>
          <t>VÄSTERNORRLANDS LÄN</t>
        </is>
      </c>
      <c r="E15738" t="inlineStr">
        <is>
          <t>ÖRNSKÖLDSVIK</t>
        </is>
      </c>
      <c r="F15738" t="inlineStr">
        <is>
          <t>Holmen skog AB</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50292-2024</t>
        </is>
      </c>
      <c r="B15739" s="1" t="n">
        <v>45600</v>
      </c>
      <c r="C15739" s="1" t="n">
        <v>45657</v>
      </c>
      <c r="D15739" t="inlineStr">
        <is>
          <t>VÄSTERNORRLANDS LÄN</t>
        </is>
      </c>
      <c r="E15739" t="inlineStr">
        <is>
          <t>ÖRNSKÖLDSVIK</t>
        </is>
      </c>
      <c r="F15739" t="inlineStr">
        <is>
          <t>Holmen skog AB</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50316-2024</t>
        </is>
      </c>
      <c r="B15740" s="1" t="n">
        <v>45600</v>
      </c>
      <c r="C15740" s="1" t="n">
        <v>45657</v>
      </c>
      <c r="D15740" t="inlineStr">
        <is>
          <t>VÄSTERNORRLANDS LÄN</t>
        </is>
      </c>
      <c r="E15740" t="inlineStr">
        <is>
          <t>SOLLEFTEÅ</t>
        </is>
      </c>
      <c r="F15740" t="inlineStr">
        <is>
          <t>SCA</t>
        </is>
      </c>
      <c r="G15740" t="n">
        <v>12.5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50324-2024</t>
        </is>
      </c>
      <c r="B15741" s="1" t="n">
        <v>45600</v>
      </c>
      <c r="C15741" s="1" t="n">
        <v>45657</v>
      </c>
      <c r="D15741" t="inlineStr">
        <is>
          <t>VÄSTERNORRLANDS LÄN</t>
        </is>
      </c>
      <c r="E15741" t="inlineStr">
        <is>
          <t>SUNDSVALL</t>
        </is>
      </c>
      <c r="G15741" t="n">
        <v>10.1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50090-2024</t>
        </is>
      </c>
      <c r="B15742" s="1" t="n">
        <v>45600</v>
      </c>
      <c r="C15742" s="1" t="n">
        <v>45657</v>
      </c>
      <c r="D15742" t="inlineStr">
        <is>
          <t>VÄSTERNORRLANDS LÄN</t>
        </is>
      </c>
      <c r="E15742" t="inlineStr">
        <is>
          <t>SOLLEFTEÅ</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50204-2024</t>
        </is>
      </c>
      <c r="B15743" s="1" t="n">
        <v>45600</v>
      </c>
      <c r="C15743" s="1" t="n">
        <v>45657</v>
      </c>
      <c r="D15743" t="inlineStr">
        <is>
          <t>VÄSTERNORRLANDS LÄN</t>
        </is>
      </c>
      <c r="E15743" t="inlineStr">
        <is>
          <t>SUNDSVALL</t>
        </is>
      </c>
      <c r="G15743" t="n">
        <v>4.7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50221-2024</t>
        </is>
      </c>
      <c r="B15744" s="1" t="n">
        <v>45600</v>
      </c>
      <c r="C15744" s="1" t="n">
        <v>45657</v>
      </c>
      <c r="D15744" t="inlineStr">
        <is>
          <t>VÄSTERNORRLANDS LÄN</t>
        </is>
      </c>
      <c r="E15744" t="inlineStr">
        <is>
          <t>SUNDSVALL</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50402-2024</t>
        </is>
      </c>
      <c r="B15745" s="1" t="n">
        <v>45601</v>
      </c>
      <c r="C15745" s="1" t="n">
        <v>45657</v>
      </c>
      <c r="D15745" t="inlineStr">
        <is>
          <t>VÄSTERNORRLANDS LÄN</t>
        </is>
      </c>
      <c r="E15745" t="inlineStr">
        <is>
          <t>ÖRNSKÖLDSVIK</t>
        </is>
      </c>
      <c r="F15745" t="inlineStr">
        <is>
          <t>Holmen skog AB</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50483-2024</t>
        </is>
      </c>
      <c r="B15746" s="1" t="n">
        <v>45601</v>
      </c>
      <c r="C15746" s="1" t="n">
        <v>45657</v>
      </c>
      <c r="D15746" t="inlineStr">
        <is>
          <t>VÄSTERNORRLANDS LÄN</t>
        </is>
      </c>
      <c r="E15746" t="inlineStr">
        <is>
          <t>ÖRNSKÖLDSVIK</t>
        </is>
      </c>
      <c r="F15746" t="inlineStr">
        <is>
          <t>Holmen skog AB</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50624-2024</t>
        </is>
      </c>
      <c r="B15747" s="1" t="n">
        <v>45601</v>
      </c>
      <c r="C15747" s="1" t="n">
        <v>45657</v>
      </c>
      <c r="D15747" t="inlineStr">
        <is>
          <t>VÄSTERNORRLANDS LÄN</t>
        </is>
      </c>
      <c r="E15747" t="inlineStr">
        <is>
          <t>SOLLEFTEÅ</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50518-2024</t>
        </is>
      </c>
      <c r="B15748" s="1" t="n">
        <v>45601</v>
      </c>
      <c r="C15748" s="1" t="n">
        <v>45657</v>
      </c>
      <c r="D15748" t="inlineStr">
        <is>
          <t>VÄSTERNORRLANDS LÄN</t>
        </is>
      </c>
      <c r="E15748" t="inlineStr">
        <is>
          <t>HÄRNÖSAND</t>
        </is>
      </c>
      <c r="F15748" t="inlineStr">
        <is>
          <t>SCA</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50484-2024</t>
        </is>
      </c>
      <c r="B15749" s="1" t="n">
        <v>45601</v>
      </c>
      <c r="C15749" s="1" t="n">
        <v>45657</v>
      </c>
      <c r="D15749" t="inlineStr">
        <is>
          <t>VÄSTERNORRLANDS LÄN</t>
        </is>
      </c>
      <c r="E15749" t="inlineStr">
        <is>
          <t>ÖRNSKÖLDSVIK</t>
        </is>
      </c>
      <c r="F15749" t="inlineStr">
        <is>
          <t>SCA</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50612-2024</t>
        </is>
      </c>
      <c r="B15750" s="1" t="n">
        <v>45601</v>
      </c>
      <c r="C15750" s="1" t="n">
        <v>45657</v>
      </c>
      <c r="D15750" t="inlineStr">
        <is>
          <t>VÄSTERNORRLANDS LÄN</t>
        </is>
      </c>
      <c r="E15750" t="inlineStr">
        <is>
          <t>ÅNGE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50557-2024</t>
        </is>
      </c>
      <c r="B15751" s="1" t="n">
        <v>45601</v>
      </c>
      <c r="C15751" s="1" t="n">
        <v>45657</v>
      </c>
      <c r="D15751" t="inlineStr">
        <is>
          <t>VÄSTERNORRLANDS LÄN</t>
        </is>
      </c>
      <c r="E15751" t="inlineStr">
        <is>
          <t>SOLLEFTEÅ</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50634-2024</t>
        </is>
      </c>
      <c r="B15752" s="1" t="n">
        <v>45601</v>
      </c>
      <c r="C15752" s="1" t="n">
        <v>45657</v>
      </c>
      <c r="D15752" t="inlineStr">
        <is>
          <t>VÄSTERNORRLANDS LÄN</t>
        </is>
      </c>
      <c r="E15752" t="inlineStr">
        <is>
          <t>ÖRNSKÖLDSVIK</t>
        </is>
      </c>
      <c r="F15752" t="inlineStr">
        <is>
          <t>Holmen skog AB</t>
        </is>
      </c>
      <c r="G15752" t="n">
        <v>8.6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50516-2024</t>
        </is>
      </c>
      <c r="B15753" s="1" t="n">
        <v>45601</v>
      </c>
      <c r="C15753" s="1" t="n">
        <v>45657</v>
      </c>
      <c r="D15753" t="inlineStr">
        <is>
          <t>VÄSTERNORRLANDS LÄN</t>
        </is>
      </c>
      <c r="E15753" t="inlineStr">
        <is>
          <t>HÄRNÖSAND</t>
        </is>
      </c>
      <c r="F15753" t="inlineStr">
        <is>
          <t>SCA</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50602-2024</t>
        </is>
      </c>
      <c r="B15754" s="1" t="n">
        <v>45601</v>
      </c>
      <c r="C15754" s="1" t="n">
        <v>45657</v>
      </c>
      <c r="D15754" t="inlineStr">
        <is>
          <t>VÄSTERNORRLANDS LÄN</t>
        </is>
      </c>
      <c r="E15754" t="inlineStr">
        <is>
          <t>SUNDSVALL</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50549-2024</t>
        </is>
      </c>
      <c r="B15755" s="1" t="n">
        <v>45601</v>
      </c>
      <c r="C15755" s="1" t="n">
        <v>45657</v>
      </c>
      <c r="D15755" t="inlineStr">
        <is>
          <t>VÄSTERNORRLANDS LÄN</t>
        </is>
      </c>
      <c r="E15755" t="inlineStr">
        <is>
          <t>SOLLEFTEÅ</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50545-2024</t>
        </is>
      </c>
      <c r="B15756" s="1" t="n">
        <v>45601</v>
      </c>
      <c r="C15756" s="1" t="n">
        <v>45657</v>
      </c>
      <c r="D15756" t="inlineStr">
        <is>
          <t>VÄSTERNORRLANDS LÄN</t>
        </is>
      </c>
      <c r="E15756" t="inlineStr">
        <is>
          <t>ÖRNSKÖLDSVIK</t>
        </is>
      </c>
      <c r="F15756" t="inlineStr">
        <is>
          <t>Holmen skog AB</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50430-2024</t>
        </is>
      </c>
      <c r="B15757" s="1" t="n">
        <v>45601</v>
      </c>
      <c r="C15757" s="1" t="n">
        <v>45657</v>
      </c>
      <c r="D15757" t="inlineStr">
        <is>
          <t>VÄSTERNORRLANDS LÄN</t>
        </is>
      </c>
      <c r="E15757" t="inlineStr">
        <is>
          <t>SOLLEFTEÅ</t>
        </is>
      </c>
      <c r="F15757" t="inlineStr">
        <is>
          <t>SCA</t>
        </is>
      </c>
      <c r="G15757" t="n">
        <v>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50731-2024</t>
        </is>
      </c>
      <c r="B15758" s="1" t="n">
        <v>45601</v>
      </c>
      <c r="C15758" s="1" t="n">
        <v>45657</v>
      </c>
      <c r="D15758" t="inlineStr">
        <is>
          <t>VÄSTERNORRLANDS LÄN</t>
        </is>
      </c>
      <c r="E15758" t="inlineStr">
        <is>
          <t>ÖRNSKÖLDSVIK</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50674-2024</t>
        </is>
      </c>
      <c r="B15759" s="1" t="n">
        <v>45601</v>
      </c>
      <c r="C15759" s="1" t="n">
        <v>45657</v>
      </c>
      <c r="D15759" t="inlineStr">
        <is>
          <t>VÄSTERNORRLANDS LÄN</t>
        </is>
      </c>
      <c r="E15759" t="inlineStr">
        <is>
          <t>ÅNGE</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50625-2024</t>
        </is>
      </c>
      <c r="B15760" s="1" t="n">
        <v>45601</v>
      </c>
      <c r="C15760" s="1" t="n">
        <v>45657</v>
      </c>
      <c r="D15760" t="inlineStr">
        <is>
          <t>VÄSTERNORRLANDS LÄN</t>
        </is>
      </c>
      <c r="E15760" t="inlineStr">
        <is>
          <t>SOLLEFTEÅ</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50599-2024</t>
        </is>
      </c>
      <c r="B15761" s="1" t="n">
        <v>45601</v>
      </c>
      <c r="C15761" s="1" t="n">
        <v>45657</v>
      </c>
      <c r="D15761" t="inlineStr">
        <is>
          <t>VÄSTERNORRLANDS LÄN</t>
        </is>
      </c>
      <c r="E15761" t="inlineStr">
        <is>
          <t>SUNDSVALL</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50542-2024</t>
        </is>
      </c>
      <c r="B15762" s="1" t="n">
        <v>45601</v>
      </c>
      <c r="C15762" s="1" t="n">
        <v>45657</v>
      </c>
      <c r="D15762" t="inlineStr">
        <is>
          <t>VÄSTERNORRLANDS LÄN</t>
        </is>
      </c>
      <c r="E15762" t="inlineStr">
        <is>
          <t>ÖRNSKÖLDSVIK</t>
        </is>
      </c>
      <c r="F15762" t="inlineStr">
        <is>
          <t>Holmen skog AB</t>
        </is>
      </c>
      <c r="G15762" t="n">
        <v>6.8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50485-2024</t>
        </is>
      </c>
      <c r="B15763" s="1" t="n">
        <v>45601</v>
      </c>
      <c r="C15763" s="1" t="n">
        <v>45657</v>
      </c>
      <c r="D15763" t="inlineStr">
        <is>
          <t>VÄSTERNORRLANDS LÄN</t>
        </is>
      </c>
      <c r="E15763" t="inlineStr">
        <is>
          <t>ÖRNSKÖLDSVIK</t>
        </is>
      </c>
      <c r="F15763" t="inlineStr">
        <is>
          <t>SCA</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50710-2024</t>
        </is>
      </c>
      <c r="B15764" s="1" t="n">
        <v>45602</v>
      </c>
      <c r="C15764" s="1" t="n">
        <v>45657</v>
      </c>
      <c r="D15764" t="inlineStr">
        <is>
          <t>VÄSTERNORRLANDS LÄN</t>
        </is>
      </c>
      <c r="E15764" t="inlineStr">
        <is>
          <t>ÅNGE</t>
        </is>
      </c>
      <c r="G15764" t="n">
        <v>9.699999999999999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50688-2024</t>
        </is>
      </c>
      <c r="B15765" s="1" t="n">
        <v>45602</v>
      </c>
      <c r="C15765" s="1" t="n">
        <v>45657</v>
      </c>
      <c r="D15765" t="inlineStr">
        <is>
          <t>VÄSTERNORRLANDS LÄN</t>
        </is>
      </c>
      <c r="E15765" t="inlineStr">
        <is>
          <t>HÄRNÖSAND</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50699-2024</t>
        </is>
      </c>
      <c r="B15766" s="1" t="n">
        <v>45602</v>
      </c>
      <c r="C15766" s="1" t="n">
        <v>45657</v>
      </c>
      <c r="D15766" t="inlineStr">
        <is>
          <t>VÄSTERNORRLANDS LÄN</t>
        </is>
      </c>
      <c r="E15766" t="inlineStr">
        <is>
          <t>TIMRÅ</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50713-2024</t>
        </is>
      </c>
      <c r="B15767" s="1" t="n">
        <v>45602</v>
      </c>
      <c r="C15767" s="1" t="n">
        <v>45657</v>
      </c>
      <c r="D15767" t="inlineStr">
        <is>
          <t>VÄSTERNORRLANDS LÄN</t>
        </is>
      </c>
      <c r="E15767" t="inlineStr">
        <is>
          <t>SUNDSVALL</t>
        </is>
      </c>
      <c r="G15767" t="n">
        <v>4.8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50717-2024</t>
        </is>
      </c>
      <c r="B15768" s="1" t="n">
        <v>45602</v>
      </c>
      <c r="C15768" s="1" t="n">
        <v>45657</v>
      </c>
      <c r="D15768" t="inlineStr">
        <is>
          <t>VÄSTERNORRLANDS LÄN</t>
        </is>
      </c>
      <c r="E15768" t="inlineStr">
        <is>
          <t>SOLLEFTEÅ</t>
        </is>
      </c>
      <c r="F15768" t="inlineStr">
        <is>
          <t>SCA</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50721-2024</t>
        </is>
      </c>
      <c r="B15769" s="1" t="n">
        <v>45602</v>
      </c>
      <c r="C15769" s="1" t="n">
        <v>45657</v>
      </c>
      <c r="D15769" t="inlineStr">
        <is>
          <t>VÄSTERNORRLANDS LÄN</t>
        </is>
      </c>
      <c r="E15769" t="inlineStr">
        <is>
          <t>SOLLEFTEÅ</t>
        </is>
      </c>
      <c r="F15769" t="inlineStr">
        <is>
          <t>SCA</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50737-2024</t>
        </is>
      </c>
      <c r="B15770" s="1" t="n">
        <v>45602</v>
      </c>
      <c r="C15770" s="1" t="n">
        <v>45657</v>
      </c>
      <c r="D15770" t="inlineStr">
        <is>
          <t>VÄSTERNORRLANDS LÄN</t>
        </is>
      </c>
      <c r="E15770" t="inlineStr">
        <is>
          <t>SUNDSVALL</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50788-2024</t>
        </is>
      </c>
      <c r="B15771" s="1" t="n">
        <v>45602</v>
      </c>
      <c r="C15771" s="1" t="n">
        <v>45657</v>
      </c>
      <c r="D15771" t="inlineStr">
        <is>
          <t>VÄSTERNORRLANDS LÄN</t>
        </is>
      </c>
      <c r="E15771" t="inlineStr">
        <is>
          <t>ÖRNSKÖLDSVIK</t>
        </is>
      </c>
      <c r="F15771" t="inlineStr">
        <is>
          <t>Holmen skog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50796-2024</t>
        </is>
      </c>
      <c r="B15772" s="1" t="n">
        <v>45602</v>
      </c>
      <c r="C15772" s="1" t="n">
        <v>45657</v>
      </c>
      <c r="D15772" t="inlineStr">
        <is>
          <t>VÄSTERNORRLANDS LÄN</t>
        </is>
      </c>
      <c r="E15772" t="inlineStr">
        <is>
          <t>ÖRNSKÖLDSVIK</t>
        </is>
      </c>
      <c r="F15772" t="inlineStr">
        <is>
          <t>Holmen skog AB</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50850-2024</t>
        </is>
      </c>
      <c r="B15773" s="1" t="n">
        <v>45602</v>
      </c>
      <c r="C15773" s="1" t="n">
        <v>45657</v>
      </c>
      <c r="D15773" t="inlineStr">
        <is>
          <t>VÄSTERNORRLANDS LÄN</t>
        </is>
      </c>
      <c r="E15773" t="inlineStr">
        <is>
          <t>ÖRNSKÖLDSVIK</t>
        </is>
      </c>
      <c r="G15773" t="n">
        <v>4.2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50864-2024</t>
        </is>
      </c>
      <c r="B15774" s="1" t="n">
        <v>45602</v>
      </c>
      <c r="C15774" s="1" t="n">
        <v>45657</v>
      </c>
      <c r="D15774" t="inlineStr">
        <is>
          <t>VÄSTERNORRLANDS LÄN</t>
        </is>
      </c>
      <c r="E15774" t="inlineStr">
        <is>
          <t>SOLLEFTEÅ</t>
        </is>
      </c>
      <c r="G15774" t="n">
        <v>9.5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50887-2024</t>
        </is>
      </c>
      <c r="B15775" s="1" t="n">
        <v>45602</v>
      </c>
      <c r="C15775" s="1" t="n">
        <v>45657</v>
      </c>
      <c r="D15775" t="inlineStr">
        <is>
          <t>VÄSTERNORRLANDS LÄN</t>
        </is>
      </c>
      <c r="E15775" t="inlineStr">
        <is>
          <t>ÖRNSKÖLDSVIK</t>
        </is>
      </c>
      <c r="F15775" t="inlineStr">
        <is>
          <t>Holmen skog AB</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50751-2024</t>
        </is>
      </c>
      <c r="B15776" s="1" t="n">
        <v>45602</v>
      </c>
      <c r="C15776" s="1" t="n">
        <v>45657</v>
      </c>
      <c r="D15776" t="inlineStr">
        <is>
          <t>VÄSTERNORRLANDS LÄN</t>
        </is>
      </c>
      <c r="E15776" t="inlineStr">
        <is>
          <t>SOLLEFTEÅ</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50767-2024</t>
        </is>
      </c>
      <c r="B15777" s="1" t="n">
        <v>45602</v>
      </c>
      <c r="C15777" s="1" t="n">
        <v>45657</v>
      </c>
      <c r="D15777" t="inlineStr">
        <is>
          <t>VÄSTERNORRLANDS LÄN</t>
        </is>
      </c>
      <c r="E15777" t="inlineStr">
        <is>
          <t>ÖRNSKÖLDSVIK</t>
        </is>
      </c>
      <c r="F15777" t="inlineStr">
        <is>
          <t>Holmen skog AB</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50848-2024</t>
        </is>
      </c>
      <c r="B15778" s="1" t="n">
        <v>45602</v>
      </c>
      <c r="C15778" s="1" t="n">
        <v>45657</v>
      </c>
      <c r="D15778" t="inlineStr">
        <is>
          <t>VÄSTERNORRLANDS LÄN</t>
        </is>
      </c>
      <c r="E15778" t="inlineStr">
        <is>
          <t>ÖRNSKÖLDSVIK</t>
        </is>
      </c>
      <c r="F15778" t="inlineStr">
        <is>
          <t>Holmen skog AB</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50720-2024</t>
        </is>
      </c>
      <c r="B15779" s="1" t="n">
        <v>45602</v>
      </c>
      <c r="C15779" s="1" t="n">
        <v>45657</v>
      </c>
      <c r="D15779" t="inlineStr">
        <is>
          <t>VÄSTERNORRLANDS LÄN</t>
        </is>
      </c>
      <c r="E15779" t="inlineStr">
        <is>
          <t>SOLLEFTEÅ</t>
        </is>
      </c>
      <c r="F15779" t="inlineStr">
        <is>
          <t>SCA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50742-2024</t>
        </is>
      </c>
      <c r="B15780" s="1" t="n">
        <v>45602</v>
      </c>
      <c r="C15780" s="1" t="n">
        <v>45657</v>
      </c>
      <c r="D15780" t="inlineStr">
        <is>
          <t>VÄSTERNORRLANDS LÄN</t>
        </is>
      </c>
      <c r="E15780" t="inlineStr">
        <is>
          <t>ÅNGE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50770-2024</t>
        </is>
      </c>
      <c r="B15781" s="1" t="n">
        <v>45602</v>
      </c>
      <c r="C15781" s="1" t="n">
        <v>45657</v>
      </c>
      <c r="D15781" t="inlineStr">
        <is>
          <t>VÄSTERNORRLANDS LÄN</t>
        </is>
      </c>
      <c r="E15781" t="inlineStr">
        <is>
          <t>SOLLEFTEÅ</t>
        </is>
      </c>
      <c r="F15781" t="inlineStr">
        <is>
          <t>SCA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50839-2024</t>
        </is>
      </c>
      <c r="B15782" s="1" t="n">
        <v>45602</v>
      </c>
      <c r="C15782" s="1" t="n">
        <v>45657</v>
      </c>
      <c r="D15782" t="inlineStr">
        <is>
          <t>VÄSTERNORRLANDS LÄN</t>
        </is>
      </c>
      <c r="E15782" t="inlineStr">
        <is>
          <t>ÖRNSKÖLDSVIK</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50877-2024</t>
        </is>
      </c>
      <c r="B15783" s="1" t="n">
        <v>45602</v>
      </c>
      <c r="C15783" s="1" t="n">
        <v>45657</v>
      </c>
      <c r="D15783" t="inlineStr">
        <is>
          <t>VÄSTERNORRLANDS LÄN</t>
        </is>
      </c>
      <c r="E15783" t="inlineStr">
        <is>
          <t>SOLLEFTEÅ</t>
        </is>
      </c>
      <c r="G15783" t="n">
        <v>15.2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50949-2024</t>
        </is>
      </c>
      <c r="B15784" s="1" t="n">
        <v>45602</v>
      </c>
      <c r="C15784" s="1" t="n">
        <v>45657</v>
      </c>
      <c r="D15784" t="inlineStr">
        <is>
          <t>VÄSTERNORRLANDS LÄN</t>
        </is>
      </c>
      <c r="E15784" t="inlineStr">
        <is>
          <t>ÖRNSKÖLDSVIK</t>
        </is>
      </c>
      <c r="G15784" t="n">
        <v>6.8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51186-2024</t>
        </is>
      </c>
      <c r="B15785" s="1" t="n">
        <v>45603</v>
      </c>
      <c r="C15785" s="1" t="n">
        <v>45657</v>
      </c>
      <c r="D15785" t="inlineStr">
        <is>
          <t>VÄSTERNORRLANDS LÄN</t>
        </is>
      </c>
      <c r="E15785" t="inlineStr">
        <is>
          <t>ÖRNSKÖLDSVIK</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51185-2024</t>
        </is>
      </c>
      <c r="B15786" s="1" t="n">
        <v>45603</v>
      </c>
      <c r="C15786" s="1" t="n">
        <v>45657</v>
      </c>
      <c r="D15786" t="inlineStr">
        <is>
          <t>VÄSTERNORRLANDS LÄN</t>
        </is>
      </c>
      <c r="E15786" t="inlineStr">
        <is>
          <t>ÖRNSKÖLDSVIK</t>
        </is>
      </c>
      <c r="G15786" t="n">
        <v>7.7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51193-2024</t>
        </is>
      </c>
      <c r="B15787" s="1" t="n">
        <v>45603</v>
      </c>
      <c r="C15787" s="1" t="n">
        <v>45657</v>
      </c>
      <c r="D15787" t="inlineStr">
        <is>
          <t>VÄSTERNORRLANDS LÄN</t>
        </is>
      </c>
      <c r="E15787" t="inlineStr">
        <is>
          <t>SOLLEFTEÅ</t>
        </is>
      </c>
      <c r="F15787" t="inlineStr">
        <is>
          <t>SCA</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51197-2024</t>
        </is>
      </c>
      <c r="B15788" s="1" t="n">
        <v>45603</v>
      </c>
      <c r="C15788" s="1" t="n">
        <v>45657</v>
      </c>
      <c r="D15788" t="inlineStr">
        <is>
          <t>VÄSTERNORRLANDS LÄN</t>
        </is>
      </c>
      <c r="E15788" t="inlineStr">
        <is>
          <t>ÖRNSKÖLDSVIK</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51081-2024</t>
        </is>
      </c>
      <c r="B15789" s="1" t="n">
        <v>45603</v>
      </c>
      <c r="C15789" s="1" t="n">
        <v>45657</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50975-2024</t>
        </is>
      </c>
      <c r="B15790" s="1" t="n">
        <v>45603</v>
      </c>
      <c r="C15790" s="1" t="n">
        <v>45657</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50963-2024</t>
        </is>
      </c>
      <c r="B15791" s="1" t="n">
        <v>45603</v>
      </c>
      <c r="C15791" s="1" t="n">
        <v>45657</v>
      </c>
      <c r="D15791" t="inlineStr">
        <is>
          <t>VÄSTERNORRLANDS LÄN</t>
        </is>
      </c>
      <c r="E15791" t="inlineStr">
        <is>
          <t>SOLLEFTEÅ</t>
        </is>
      </c>
      <c r="F15791" t="inlineStr">
        <is>
          <t>Holmen skog AB</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51167-2024</t>
        </is>
      </c>
      <c r="B15792" s="1" t="n">
        <v>45603</v>
      </c>
      <c r="C15792" s="1" t="n">
        <v>45657</v>
      </c>
      <c r="D15792" t="inlineStr">
        <is>
          <t>VÄSTERNORRLANDS LÄN</t>
        </is>
      </c>
      <c r="E15792" t="inlineStr">
        <is>
          <t>ÖRNSKÖLDSVIK</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51224-2024</t>
        </is>
      </c>
      <c r="B15793" s="1" t="n">
        <v>45603</v>
      </c>
      <c r="C15793" s="1" t="n">
        <v>45657</v>
      </c>
      <c r="D15793" t="inlineStr">
        <is>
          <t>VÄSTERNORRLANDS LÄN</t>
        </is>
      </c>
      <c r="E15793" t="inlineStr">
        <is>
          <t>SOLLEFTEÅ</t>
        </is>
      </c>
      <c r="F15793" t="inlineStr">
        <is>
          <t>SCA</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51050-2024</t>
        </is>
      </c>
      <c r="B15794" s="1" t="n">
        <v>45603</v>
      </c>
      <c r="C15794" s="1" t="n">
        <v>45657</v>
      </c>
      <c r="D15794" t="inlineStr">
        <is>
          <t>VÄSTERNORRLANDS LÄN</t>
        </is>
      </c>
      <c r="E15794" t="inlineStr">
        <is>
          <t>SUNDSVALL</t>
        </is>
      </c>
      <c r="F15794" t="inlineStr">
        <is>
          <t>SCA</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51054-2024</t>
        </is>
      </c>
      <c r="B15795" s="1" t="n">
        <v>45603</v>
      </c>
      <c r="C15795" s="1" t="n">
        <v>45657</v>
      </c>
      <c r="D15795" t="inlineStr">
        <is>
          <t>VÄSTERNORRLANDS LÄN</t>
        </is>
      </c>
      <c r="E15795" t="inlineStr">
        <is>
          <t>ÅNGE</t>
        </is>
      </c>
      <c r="F15795" t="inlineStr">
        <is>
          <t>SCA</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51070-2024</t>
        </is>
      </c>
      <c r="B15796" s="1" t="n">
        <v>45603</v>
      </c>
      <c r="C15796" s="1" t="n">
        <v>45657</v>
      </c>
      <c r="D15796" t="inlineStr">
        <is>
          <t>VÄSTERNORRLANDS LÄN</t>
        </is>
      </c>
      <c r="E15796" t="inlineStr">
        <is>
          <t>ÅNGE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51074-2024</t>
        </is>
      </c>
      <c r="B15797" s="1" t="n">
        <v>45603</v>
      </c>
      <c r="C15797" s="1" t="n">
        <v>45657</v>
      </c>
      <c r="D15797" t="inlineStr">
        <is>
          <t>VÄSTERNORRLANDS LÄN</t>
        </is>
      </c>
      <c r="E15797" t="inlineStr">
        <is>
          <t>SUNDSVALL</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51196-2024</t>
        </is>
      </c>
      <c r="B15798" s="1" t="n">
        <v>45603</v>
      </c>
      <c r="C15798" s="1" t="n">
        <v>45657</v>
      </c>
      <c r="D15798" t="inlineStr">
        <is>
          <t>VÄSTERNORRLANDS LÄN</t>
        </is>
      </c>
      <c r="E15798" t="inlineStr">
        <is>
          <t>TIMRÅ</t>
        </is>
      </c>
      <c r="F15798" t="inlineStr">
        <is>
          <t>SCA</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51239-2024</t>
        </is>
      </c>
      <c r="B15799" s="1" t="n">
        <v>45603</v>
      </c>
      <c r="C15799" s="1" t="n">
        <v>45657</v>
      </c>
      <c r="D15799" t="inlineStr">
        <is>
          <t>VÄSTERNORRLANDS LÄN</t>
        </is>
      </c>
      <c r="E15799" t="inlineStr">
        <is>
          <t>SUNDSVALL</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51035-2024</t>
        </is>
      </c>
      <c r="B15800" s="1" t="n">
        <v>45603</v>
      </c>
      <c r="C15800" s="1" t="n">
        <v>45657</v>
      </c>
      <c r="D15800" t="inlineStr">
        <is>
          <t>VÄSTERNORRLANDS LÄN</t>
        </is>
      </c>
      <c r="E15800" t="inlineStr">
        <is>
          <t>ÖRNSKÖLDSVIK</t>
        </is>
      </c>
      <c r="F15800" t="inlineStr">
        <is>
          <t>Holmen skog AB</t>
        </is>
      </c>
      <c r="G15800" t="n">
        <v>16.2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51047-2024</t>
        </is>
      </c>
      <c r="B15801" s="1" t="n">
        <v>45603</v>
      </c>
      <c r="C15801" s="1" t="n">
        <v>45657</v>
      </c>
      <c r="D15801" t="inlineStr">
        <is>
          <t>VÄSTERNORRLANDS LÄN</t>
        </is>
      </c>
      <c r="E15801" t="inlineStr">
        <is>
          <t>SUNDSVALL</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51055-2024</t>
        </is>
      </c>
      <c r="B15802" s="1" t="n">
        <v>45603</v>
      </c>
      <c r="C15802" s="1" t="n">
        <v>45657</v>
      </c>
      <c r="D15802" t="inlineStr">
        <is>
          <t>VÄSTERNORRLANDS LÄN</t>
        </is>
      </c>
      <c r="E15802" t="inlineStr">
        <is>
          <t>SOLLEFTEÅ</t>
        </is>
      </c>
      <c r="F15802" t="inlineStr">
        <is>
          <t>SCA</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51059-2024</t>
        </is>
      </c>
      <c r="B15803" s="1" t="n">
        <v>45603</v>
      </c>
      <c r="C15803" s="1" t="n">
        <v>45657</v>
      </c>
      <c r="D15803" t="inlineStr">
        <is>
          <t>VÄSTERNORRLANDS LÄN</t>
        </is>
      </c>
      <c r="E15803" t="inlineStr">
        <is>
          <t>ÅNGE</t>
        </is>
      </c>
      <c r="F15803" t="inlineStr">
        <is>
          <t>SCA</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51067-2024</t>
        </is>
      </c>
      <c r="B15804" s="1" t="n">
        <v>45603</v>
      </c>
      <c r="C15804" s="1" t="n">
        <v>45657</v>
      </c>
      <c r="D15804" t="inlineStr">
        <is>
          <t>VÄSTERNORRLANDS LÄN</t>
        </is>
      </c>
      <c r="E15804" t="inlineStr">
        <is>
          <t>SUNDSVALL</t>
        </is>
      </c>
      <c r="F15804" t="inlineStr">
        <is>
          <t>SCA</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51078-2024</t>
        </is>
      </c>
      <c r="B15805" s="1" t="n">
        <v>45603</v>
      </c>
      <c r="C15805" s="1" t="n">
        <v>45657</v>
      </c>
      <c r="D15805" t="inlineStr">
        <is>
          <t>VÄSTERNORRLANDS LÄN</t>
        </is>
      </c>
      <c r="E15805" t="inlineStr">
        <is>
          <t>SUNDSVALL</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51084-2024</t>
        </is>
      </c>
      <c r="B15806" s="1" t="n">
        <v>45603</v>
      </c>
      <c r="C15806" s="1" t="n">
        <v>45657</v>
      </c>
      <c r="D15806" t="inlineStr">
        <is>
          <t>VÄSTERNORRLANDS LÄN</t>
        </is>
      </c>
      <c r="E15806" t="inlineStr">
        <is>
          <t>SUNDSVALL</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51304-2024</t>
        </is>
      </c>
      <c r="B15807" s="1" t="n">
        <v>45603</v>
      </c>
      <c r="C15807" s="1" t="n">
        <v>45657</v>
      </c>
      <c r="D15807" t="inlineStr">
        <is>
          <t>VÄSTERNORRLANDS LÄN</t>
        </is>
      </c>
      <c r="E15807" t="inlineStr">
        <is>
          <t>HÄRNÖSAND</t>
        </is>
      </c>
      <c r="G15807" t="n">
        <v>14.3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51024-2024</t>
        </is>
      </c>
      <c r="B15808" s="1" t="n">
        <v>45603</v>
      </c>
      <c r="C15808" s="1" t="n">
        <v>45657</v>
      </c>
      <c r="D15808" t="inlineStr">
        <is>
          <t>VÄSTERNORRLANDS LÄN</t>
        </is>
      </c>
      <c r="E15808" t="inlineStr">
        <is>
          <t>ÅNGE</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51052-2024</t>
        </is>
      </c>
      <c r="B15809" s="1" t="n">
        <v>45603</v>
      </c>
      <c r="C15809" s="1" t="n">
        <v>45657</v>
      </c>
      <c r="D15809" t="inlineStr">
        <is>
          <t>VÄSTERNORRLANDS LÄN</t>
        </is>
      </c>
      <c r="E15809" t="inlineStr">
        <is>
          <t>ÅNGE</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51226-2024</t>
        </is>
      </c>
      <c r="B15810" s="1" t="n">
        <v>45603</v>
      </c>
      <c r="C15810" s="1" t="n">
        <v>45657</v>
      </c>
      <c r="D15810" t="inlineStr">
        <is>
          <t>VÄSTERNORRLANDS LÄN</t>
        </is>
      </c>
      <c r="E15810" t="inlineStr">
        <is>
          <t>SOLLEFTEÅ</t>
        </is>
      </c>
      <c r="F15810" t="inlineStr">
        <is>
          <t>SCA</t>
        </is>
      </c>
      <c r="G15810" t="n">
        <v>13.9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51132-2024</t>
        </is>
      </c>
      <c r="B15811" s="1" t="n">
        <v>45603</v>
      </c>
      <c r="C15811" s="1" t="n">
        <v>45657</v>
      </c>
      <c r="D15811" t="inlineStr">
        <is>
          <t>VÄSTERNORRLANDS LÄN</t>
        </is>
      </c>
      <c r="E15811" t="inlineStr">
        <is>
          <t>SOLLEFTEÅ</t>
        </is>
      </c>
      <c r="F15811" t="inlineStr">
        <is>
          <t>SCA</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51124-2024</t>
        </is>
      </c>
      <c r="B15812" s="1" t="n">
        <v>45603</v>
      </c>
      <c r="C15812" s="1" t="n">
        <v>45657</v>
      </c>
      <c r="D15812" t="inlineStr">
        <is>
          <t>VÄSTERNORRLANDS LÄN</t>
        </is>
      </c>
      <c r="E15812" t="inlineStr">
        <is>
          <t>ÅNGE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51103-2024</t>
        </is>
      </c>
      <c r="B15813" s="1" t="n">
        <v>45603</v>
      </c>
      <c r="C15813" s="1" t="n">
        <v>45657</v>
      </c>
      <c r="D15813" t="inlineStr">
        <is>
          <t>VÄSTERNORRLANDS LÄN</t>
        </is>
      </c>
      <c r="E15813" t="inlineStr">
        <is>
          <t>KRAMFORS</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51264-2024</t>
        </is>
      </c>
      <c r="B15814" s="1" t="n">
        <v>45603</v>
      </c>
      <c r="C15814" s="1" t="n">
        <v>45657</v>
      </c>
      <c r="D15814" t="inlineStr">
        <is>
          <t>VÄSTERNORRLANDS LÄN</t>
        </is>
      </c>
      <c r="E15814" t="inlineStr">
        <is>
          <t>SOLLEFTEÅ</t>
        </is>
      </c>
      <c r="F15814" t="inlineStr">
        <is>
          <t>SCA</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51242-2024</t>
        </is>
      </c>
      <c r="B15815" s="1" t="n">
        <v>45603</v>
      </c>
      <c r="C15815" s="1" t="n">
        <v>45657</v>
      </c>
      <c r="D15815" t="inlineStr">
        <is>
          <t>VÄSTERNORRLANDS LÄN</t>
        </is>
      </c>
      <c r="E15815" t="inlineStr">
        <is>
          <t>SUNDSVALL</t>
        </is>
      </c>
      <c r="G15815" t="n">
        <v>5.2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51227-2024</t>
        </is>
      </c>
      <c r="B15816" s="1" t="n">
        <v>45603</v>
      </c>
      <c r="C15816" s="1" t="n">
        <v>45657</v>
      </c>
      <c r="D15816" t="inlineStr">
        <is>
          <t>VÄSTERNORRLANDS LÄN</t>
        </is>
      </c>
      <c r="E15816" t="inlineStr">
        <is>
          <t>SOLLEFTEÅ</t>
        </is>
      </c>
      <c r="F15816" t="inlineStr">
        <is>
          <t>SCA</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51166-2024</t>
        </is>
      </c>
      <c r="B15817" s="1" t="n">
        <v>45603</v>
      </c>
      <c r="C15817" s="1" t="n">
        <v>45657</v>
      </c>
      <c r="D15817" t="inlineStr">
        <is>
          <t>VÄSTERNORRLANDS LÄN</t>
        </is>
      </c>
      <c r="E15817" t="inlineStr">
        <is>
          <t>ÖRNSKÖLDSVIK</t>
        </is>
      </c>
      <c r="F15817" t="inlineStr">
        <is>
          <t>Holmen skog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51125-2024</t>
        </is>
      </c>
      <c r="B15818" s="1" t="n">
        <v>45603</v>
      </c>
      <c r="C15818" s="1" t="n">
        <v>45657</v>
      </c>
      <c r="D15818" t="inlineStr">
        <is>
          <t>VÄSTERNORRLANDS LÄN</t>
        </is>
      </c>
      <c r="E15818" t="inlineStr">
        <is>
          <t>ÖRNSKÖLDSVIK</t>
        </is>
      </c>
      <c r="G15818" t="n">
        <v>6.7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51303-2024</t>
        </is>
      </c>
      <c r="B15819" s="1" t="n">
        <v>45604</v>
      </c>
      <c r="C15819" s="1" t="n">
        <v>45657</v>
      </c>
      <c r="D15819" t="inlineStr">
        <is>
          <t>VÄSTERNORRLANDS LÄN</t>
        </is>
      </c>
      <c r="E15819" t="inlineStr">
        <is>
          <t>ÖRNSKÖLDSVIK</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51313-2024</t>
        </is>
      </c>
      <c r="B15820" s="1" t="n">
        <v>45604</v>
      </c>
      <c r="C15820" s="1" t="n">
        <v>45657</v>
      </c>
      <c r="D15820" t="inlineStr">
        <is>
          <t>VÄSTERNORRLANDS LÄN</t>
        </is>
      </c>
      <c r="E15820" t="inlineStr">
        <is>
          <t>ÖRNSKÖLDSVIK</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51327-2024</t>
        </is>
      </c>
      <c r="B15821" s="1" t="n">
        <v>45604</v>
      </c>
      <c r="C15821" s="1" t="n">
        <v>45657</v>
      </c>
      <c r="D15821" t="inlineStr">
        <is>
          <t>VÄSTERNORRLANDS LÄN</t>
        </is>
      </c>
      <c r="E15821" t="inlineStr">
        <is>
          <t>SUNDSVALL</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51402-2024</t>
        </is>
      </c>
      <c r="B15822" s="1" t="n">
        <v>45604</v>
      </c>
      <c r="C15822" s="1" t="n">
        <v>45657</v>
      </c>
      <c r="D15822" t="inlineStr">
        <is>
          <t>VÄSTERNORRLANDS LÄN</t>
        </is>
      </c>
      <c r="E15822" t="inlineStr">
        <is>
          <t>SOLLEFTEÅ</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51302-2024</t>
        </is>
      </c>
      <c r="B15823" s="1" t="n">
        <v>45604</v>
      </c>
      <c r="C15823" s="1" t="n">
        <v>45657</v>
      </c>
      <c r="D15823" t="inlineStr">
        <is>
          <t>VÄSTERNORRLANDS LÄN</t>
        </is>
      </c>
      <c r="E15823" t="inlineStr">
        <is>
          <t>ÖRNSKÖLDSVIK</t>
        </is>
      </c>
      <c r="G15823" t="n">
        <v>0.4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51343-2024</t>
        </is>
      </c>
      <c r="B15824" s="1" t="n">
        <v>45604</v>
      </c>
      <c r="C15824" s="1" t="n">
        <v>45657</v>
      </c>
      <c r="D15824" t="inlineStr">
        <is>
          <t>VÄSTERNORRLANDS LÄN</t>
        </is>
      </c>
      <c r="E15824" t="inlineStr">
        <is>
          <t>ÖRNSKÖLDSVIK</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51426-2024</t>
        </is>
      </c>
      <c r="B15825" s="1" t="n">
        <v>45604</v>
      </c>
      <c r="C15825" s="1" t="n">
        <v>45657</v>
      </c>
      <c r="D15825" t="inlineStr">
        <is>
          <t>VÄSTERNORRLANDS LÄN</t>
        </is>
      </c>
      <c r="E15825" t="inlineStr">
        <is>
          <t>ÖRNSKÖLDSVIK</t>
        </is>
      </c>
      <c r="F15825" t="inlineStr">
        <is>
          <t>Holmen skog AB</t>
        </is>
      </c>
      <c r="G15825" t="n">
        <v>6.4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51434-2024</t>
        </is>
      </c>
      <c r="B15826" s="1" t="n">
        <v>45604</v>
      </c>
      <c r="C15826" s="1" t="n">
        <v>45657</v>
      </c>
      <c r="D15826" t="inlineStr">
        <is>
          <t>VÄSTERNORRLANDS LÄN</t>
        </is>
      </c>
      <c r="E15826" t="inlineStr">
        <is>
          <t>SUNDSVALL</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51456-2024</t>
        </is>
      </c>
      <c r="B15827" s="1" t="n">
        <v>45604</v>
      </c>
      <c r="C15827" s="1" t="n">
        <v>45657</v>
      </c>
      <c r="D15827" t="inlineStr">
        <is>
          <t>VÄSTERNORRLANDS LÄN</t>
        </is>
      </c>
      <c r="E15827" t="inlineStr">
        <is>
          <t>ÖRNSKÖLDSVIK</t>
        </is>
      </c>
      <c r="F15827" t="inlineStr">
        <is>
          <t>Holmen skog AB</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51470-2024</t>
        </is>
      </c>
      <c r="B15828" s="1" t="n">
        <v>45604</v>
      </c>
      <c r="C15828" s="1" t="n">
        <v>45657</v>
      </c>
      <c r="D15828" t="inlineStr">
        <is>
          <t>VÄSTERNORRLANDS LÄN</t>
        </is>
      </c>
      <c r="E15828" t="inlineStr">
        <is>
          <t>ÖRNSKÖLDSVIK</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51476-2024</t>
        </is>
      </c>
      <c r="B15829" s="1" t="n">
        <v>45604</v>
      </c>
      <c r="C15829" s="1" t="n">
        <v>45657</v>
      </c>
      <c r="D15829" t="inlineStr">
        <is>
          <t>VÄSTERNORRLANDS LÄN</t>
        </is>
      </c>
      <c r="E15829" t="inlineStr">
        <is>
          <t>SUNDSVALL</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51490-2024</t>
        </is>
      </c>
      <c r="B15830" s="1" t="n">
        <v>45604</v>
      </c>
      <c r="C15830" s="1" t="n">
        <v>45657</v>
      </c>
      <c r="D15830" t="inlineStr">
        <is>
          <t>VÄSTERNORRLANDS LÄN</t>
        </is>
      </c>
      <c r="E15830" t="inlineStr">
        <is>
          <t>TIMRÅ</t>
        </is>
      </c>
      <c r="F15830" t="inlineStr">
        <is>
          <t>SCA</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51504-2024</t>
        </is>
      </c>
      <c r="B15831" s="1" t="n">
        <v>45604</v>
      </c>
      <c r="C15831" s="1" t="n">
        <v>45657</v>
      </c>
      <c r="D15831" t="inlineStr">
        <is>
          <t>VÄSTERNORRLANDS LÄN</t>
        </is>
      </c>
      <c r="E15831" t="inlineStr">
        <is>
          <t>ÅNGE</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51527-2024</t>
        </is>
      </c>
      <c r="B15832" s="1" t="n">
        <v>45604</v>
      </c>
      <c r="C15832" s="1" t="n">
        <v>45657</v>
      </c>
      <c r="D15832" t="inlineStr">
        <is>
          <t>VÄSTERNORRLANDS LÄN</t>
        </is>
      </c>
      <c r="E15832" t="inlineStr">
        <is>
          <t>SOLLEFTEÅ</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51565-2024</t>
        </is>
      </c>
      <c r="B15833" s="1" t="n">
        <v>45604</v>
      </c>
      <c r="C15833" s="1" t="n">
        <v>45657</v>
      </c>
      <c r="D15833" t="inlineStr">
        <is>
          <t>VÄSTERNORRLANDS LÄN</t>
        </is>
      </c>
      <c r="E15833" t="inlineStr">
        <is>
          <t>ÖRNSKÖLDSVIK</t>
        </is>
      </c>
      <c r="F15833" t="inlineStr">
        <is>
          <t>Holmen skog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51573-2024</t>
        </is>
      </c>
      <c r="B15834" s="1" t="n">
        <v>45604</v>
      </c>
      <c r="C15834" s="1" t="n">
        <v>45657</v>
      </c>
      <c r="D15834" t="inlineStr">
        <is>
          <t>VÄSTERNORRLANDS LÄN</t>
        </is>
      </c>
      <c r="E15834" t="inlineStr">
        <is>
          <t>SOLLEFTEÅ</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51613-2024</t>
        </is>
      </c>
      <c r="B15835" s="1" t="n">
        <v>45604</v>
      </c>
      <c r="C15835" s="1" t="n">
        <v>45657</v>
      </c>
      <c r="D15835" t="inlineStr">
        <is>
          <t>VÄSTERNORRLANDS LÄN</t>
        </is>
      </c>
      <c r="E15835" t="inlineStr">
        <is>
          <t>ÖRNSKÖLDSVIK</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51563-2024</t>
        </is>
      </c>
      <c r="B15836" s="1" t="n">
        <v>45604</v>
      </c>
      <c r="C15836" s="1" t="n">
        <v>45657</v>
      </c>
      <c r="D15836" t="inlineStr">
        <is>
          <t>VÄSTERNORRLANDS LÄN</t>
        </is>
      </c>
      <c r="E15836" t="inlineStr">
        <is>
          <t>ÅNGE</t>
        </is>
      </c>
      <c r="F15836" t="inlineStr">
        <is>
          <t>SCA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51431-2024</t>
        </is>
      </c>
      <c r="B15837" s="1" t="n">
        <v>45604</v>
      </c>
      <c r="C15837" s="1" t="n">
        <v>45657</v>
      </c>
      <c r="D15837" t="inlineStr">
        <is>
          <t>VÄSTERNORRLANDS LÄN</t>
        </is>
      </c>
      <c r="E15837" t="inlineStr">
        <is>
          <t>SUNDSVALL</t>
        </is>
      </c>
      <c r="F15837" t="inlineStr">
        <is>
          <t>SCA</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51528-2024</t>
        </is>
      </c>
      <c r="B15838" s="1" t="n">
        <v>45604</v>
      </c>
      <c r="C15838" s="1" t="n">
        <v>45657</v>
      </c>
      <c r="D15838" t="inlineStr">
        <is>
          <t>VÄSTERNORRLANDS LÄN</t>
        </is>
      </c>
      <c r="E15838" t="inlineStr">
        <is>
          <t>SOLLEFTEÅ</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51341-2024</t>
        </is>
      </c>
      <c r="B15839" s="1" t="n">
        <v>45604</v>
      </c>
      <c r="C15839" s="1" t="n">
        <v>45657</v>
      </c>
      <c r="D15839" t="inlineStr">
        <is>
          <t>VÄSTERNORRLANDS LÄN</t>
        </is>
      </c>
      <c r="E15839" t="inlineStr">
        <is>
          <t>SOLLEFTEÅ</t>
        </is>
      </c>
      <c r="F15839" t="inlineStr">
        <is>
          <t>SCA</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51377-2024</t>
        </is>
      </c>
      <c r="B15840" s="1" t="n">
        <v>45604</v>
      </c>
      <c r="C15840" s="1" t="n">
        <v>45657</v>
      </c>
      <c r="D15840" t="inlineStr">
        <is>
          <t>VÄSTERNORRLANDS LÄN</t>
        </is>
      </c>
      <c r="E15840" t="inlineStr">
        <is>
          <t>ÅNGE</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51708-2024</t>
        </is>
      </c>
      <c r="B15841" s="1" t="n">
        <v>45604</v>
      </c>
      <c r="C15841" s="1" t="n">
        <v>45657</v>
      </c>
      <c r="D15841" t="inlineStr">
        <is>
          <t>VÄSTERNORRLANDS LÄN</t>
        </is>
      </c>
      <c r="E15841" t="inlineStr">
        <is>
          <t>ÖRNSKÖLDSVIK</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51433-2024</t>
        </is>
      </c>
      <c r="B15842" s="1" t="n">
        <v>45604</v>
      </c>
      <c r="C15842" s="1" t="n">
        <v>45657</v>
      </c>
      <c r="D15842" t="inlineStr">
        <is>
          <t>VÄSTERNORRLANDS LÄN</t>
        </is>
      </c>
      <c r="E15842" t="inlineStr">
        <is>
          <t>SUNDSVALL</t>
        </is>
      </c>
      <c r="F15842" t="inlineStr">
        <is>
          <t>SCA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51437-2024</t>
        </is>
      </c>
      <c r="B15843" s="1" t="n">
        <v>45604</v>
      </c>
      <c r="C15843" s="1" t="n">
        <v>45657</v>
      </c>
      <c r="D15843" t="inlineStr">
        <is>
          <t>VÄSTERNORRLANDS LÄN</t>
        </is>
      </c>
      <c r="E15843" t="inlineStr">
        <is>
          <t>ÖRNSKÖLDSVIK</t>
        </is>
      </c>
      <c r="F15843" t="inlineStr">
        <is>
          <t>Holmen skog AB</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51479-2024</t>
        </is>
      </c>
      <c r="B15844" s="1" t="n">
        <v>45604</v>
      </c>
      <c r="C15844" s="1" t="n">
        <v>45657</v>
      </c>
      <c r="D15844" t="inlineStr">
        <is>
          <t>VÄSTERNORRLANDS LÄN</t>
        </is>
      </c>
      <c r="E15844" t="inlineStr">
        <is>
          <t>ÖRNSKÖLDSVIK</t>
        </is>
      </c>
      <c r="F15844" t="inlineStr">
        <is>
          <t>Holmen skog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51493-2024</t>
        </is>
      </c>
      <c r="B15845" s="1" t="n">
        <v>45604</v>
      </c>
      <c r="C15845" s="1" t="n">
        <v>45657</v>
      </c>
      <c r="D15845" t="inlineStr">
        <is>
          <t>VÄSTERNORRLANDS LÄN</t>
        </is>
      </c>
      <c r="E15845" t="inlineStr">
        <is>
          <t>ÖRNSKÖLDSVIK</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51501-2024</t>
        </is>
      </c>
      <c r="B15846" s="1" t="n">
        <v>45604</v>
      </c>
      <c r="C15846" s="1" t="n">
        <v>45657</v>
      </c>
      <c r="D15846" t="inlineStr">
        <is>
          <t>VÄSTERNORRLANDS LÄN</t>
        </is>
      </c>
      <c r="E15846" t="inlineStr">
        <is>
          <t>KRAMFORS</t>
        </is>
      </c>
      <c r="G15846" t="n">
        <v>5.8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51505-2024</t>
        </is>
      </c>
      <c r="B15847" s="1" t="n">
        <v>45604</v>
      </c>
      <c r="C15847" s="1" t="n">
        <v>45657</v>
      </c>
      <c r="D15847" t="inlineStr">
        <is>
          <t>VÄSTERNORRLANDS LÄN</t>
        </is>
      </c>
      <c r="E15847" t="inlineStr">
        <is>
          <t>SOLLEFTEÅ</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51576-2024</t>
        </is>
      </c>
      <c r="B15848" s="1" t="n">
        <v>45604</v>
      </c>
      <c r="C15848" s="1" t="n">
        <v>45657</v>
      </c>
      <c r="D15848" t="inlineStr">
        <is>
          <t>VÄSTERNORRLANDS LÄN</t>
        </is>
      </c>
      <c r="E15848" t="inlineStr">
        <is>
          <t>ÖRNSKÖLDSVIK</t>
        </is>
      </c>
      <c r="F15848" t="inlineStr">
        <is>
          <t>Holmen skog AB</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51616-2024</t>
        </is>
      </c>
      <c r="B15849" s="1" t="n">
        <v>45604</v>
      </c>
      <c r="C15849" s="1" t="n">
        <v>45657</v>
      </c>
      <c r="D15849" t="inlineStr">
        <is>
          <t>VÄSTERNORRLANDS LÄN</t>
        </is>
      </c>
      <c r="E15849" t="inlineStr">
        <is>
          <t>SOLLEFTEÅ</t>
        </is>
      </c>
      <c r="F15849" t="inlineStr">
        <is>
          <t>SCA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51668-2024</t>
        </is>
      </c>
      <c r="B15850" s="1" t="n">
        <v>45606</v>
      </c>
      <c r="C15850" s="1" t="n">
        <v>45657</v>
      </c>
      <c r="D15850" t="inlineStr">
        <is>
          <t>VÄSTERNORRLANDS LÄN</t>
        </is>
      </c>
      <c r="E15850" t="inlineStr">
        <is>
          <t>ÖRNSKÖLDSVIK</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51971-2024</t>
        </is>
      </c>
      <c r="B15851" s="1" t="n">
        <v>45607</v>
      </c>
      <c r="C15851" s="1" t="n">
        <v>45657</v>
      </c>
      <c r="D15851" t="inlineStr">
        <is>
          <t>VÄSTERNORRLANDS LÄN</t>
        </is>
      </c>
      <c r="E15851" t="inlineStr">
        <is>
          <t>ÖRNSKÖLDSVIK</t>
        </is>
      </c>
      <c r="F15851" t="inlineStr">
        <is>
          <t>Holmen skog AB</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51693-2024</t>
        </is>
      </c>
      <c r="B15852" s="1" t="n">
        <v>45607</v>
      </c>
      <c r="C15852" s="1" t="n">
        <v>45657</v>
      </c>
      <c r="D15852" t="inlineStr">
        <is>
          <t>VÄSTERNORRLANDS LÄN</t>
        </is>
      </c>
      <c r="E15852" t="inlineStr">
        <is>
          <t>SOLLEFTEÅ</t>
        </is>
      </c>
      <c r="F15852" t="inlineStr">
        <is>
          <t>SCA</t>
        </is>
      </c>
      <c r="G15852" t="n">
        <v>5.2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52009-2024</t>
        </is>
      </c>
      <c r="B15853" s="1" t="n">
        <v>45607</v>
      </c>
      <c r="C15853" s="1" t="n">
        <v>45657</v>
      </c>
      <c r="D15853" t="inlineStr">
        <is>
          <t>VÄSTERNORRLANDS LÄN</t>
        </is>
      </c>
      <c r="E15853" t="inlineStr">
        <is>
          <t>ÅNGE</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51717-2024</t>
        </is>
      </c>
      <c r="B15854" s="1" t="n">
        <v>45607</v>
      </c>
      <c r="C15854" s="1" t="n">
        <v>45657</v>
      </c>
      <c r="D15854" t="inlineStr">
        <is>
          <t>VÄSTERNORRLANDS LÄN</t>
        </is>
      </c>
      <c r="E15854" t="inlineStr">
        <is>
          <t>ÖRNSKÖLDSVIK</t>
        </is>
      </c>
      <c r="F15854" t="inlineStr">
        <is>
          <t>Holmen skog AB</t>
        </is>
      </c>
      <c r="G15854" t="n">
        <v>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51755-2024</t>
        </is>
      </c>
      <c r="B15855" s="1" t="n">
        <v>45607</v>
      </c>
      <c r="C15855" s="1" t="n">
        <v>45657</v>
      </c>
      <c r="D15855" t="inlineStr">
        <is>
          <t>VÄSTERNORRLANDS LÄN</t>
        </is>
      </c>
      <c r="E15855" t="inlineStr">
        <is>
          <t>ÖRNSKÖLDSVIK</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51845-2024</t>
        </is>
      </c>
      <c r="B15856" s="1" t="n">
        <v>45607</v>
      </c>
      <c r="C15856" s="1" t="n">
        <v>45657</v>
      </c>
      <c r="D15856" t="inlineStr">
        <is>
          <t>VÄSTERNORRLANDS LÄN</t>
        </is>
      </c>
      <c r="E15856" t="inlineStr">
        <is>
          <t>SUNDSVALL</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51872-2024</t>
        </is>
      </c>
      <c r="B15857" s="1" t="n">
        <v>45607</v>
      </c>
      <c r="C15857" s="1" t="n">
        <v>45657</v>
      </c>
      <c r="D15857" t="inlineStr">
        <is>
          <t>VÄSTERNORRLANDS LÄN</t>
        </is>
      </c>
      <c r="E15857" t="inlineStr">
        <is>
          <t>SOLLEFTEÅ</t>
        </is>
      </c>
      <c r="F15857" t="inlineStr">
        <is>
          <t>SCA</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51930-2024</t>
        </is>
      </c>
      <c r="B15858" s="1" t="n">
        <v>45607</v>
      </c>
      <c r="C15858" s="1" t="n">
        <v>45657</v>
      </c>
      <c r="D15858" t="inlineStr">
        <is>
          <t>VÄSTERNORRLANDS LÄN</t>
        </is>
      </c>
      <c r="E15858" t="inlineStr">
        <is>
          <t>ÖRNSKÖLDSVIK</t>
        </is>
      </c>
      <c r="F15858" t="inlineStr">
        <is>
          <t>Holmen skog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51942-2024</t>
        </is>
      </c>
      <c r="B15859" s="1" t="n">
        <v>45607</v>
      </c>
      <c r="C15859" s="1" t="n">
        <v>45657</v>
      </c>
      <c r="D15859" t="inlineStr">
        <is>
          <t>VÄSTERNORRLANDS LÄN</t>
        </is>
      </c>
      <c r="E15859" t="inlineStr">
        <is>
          <t>SOLLEFTEÅ</t>
        </is>
      </c>
      <c r="F15859" t="inlineStr">
        <is>
          <t>SCA</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51982-2024</t>
        </is>
      </c>
      <c r="B15860" s="1" t="n">
        <v>45607</v>
      </c>
      <c r="C15860" s="1" t="n">
        <v>45657</v>
      </c>
      <c r="D15860" t="inlineStr">
        <is>
          <t>VÄSTERNORRLANDS LÄN</t>
        </is>
      </c>
      <c r="E15860" t="inlineStr">
        <is>
          <t>ÖRNSKÖLDSVIK</t>
        </is>
      </c>
      <c r="F15860" t="inlineStr">
        <is>
          <t>Holmen skog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51735-2024</t>
        </is>
      </c>
      <c r="B15861" s="1" t="n">
        <v>45607</v>
      </c>
      <c r="C15861" s="1" t="n">
        <v>45657</v>
      </c>
      <c r="D15861" t="inlineStr">
        <is>
          <t>VÄSTERNORRLANDS LÄN</t>
        </is>
      </c>
      <c r="E15861" t="inlineStr">
        <is>
          <t>SOLLEFTEÅ</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51783-2024</t>
        </is>
      </c>
      <c r="B15862" s="1" t="n">
        <v>45607</v>
      </c>
      <c r="C15862" s="1" t="n">
        <v>45657</v>
      </c>
      <c r="D15862" t="inlineStr">
        <is>
          <t>VÄSTERNORRLANDS LÄN</t>
        </is>
      </c>
      <c r="E15862" t="inlineStr">
        <is>
          <t>ÖRNSKÖLDSVIK</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51844-2024</t>
        </is>
      </c>
      <c r="B15863" s="1" t="n">
        <v>45607</v>
      </c>
      <c r="C15863" s="1" t="n">
        <v>45657</v>
      </c>
      <c r="D15863" t="inlineStr">
        <is>
          <t>VÄSTERNORRLANDS LÄN</t>
        </is>
      </c>
      <c r="E15863" t="inlineStr">
        <is>
          <t>KRAMFORS</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51871-2024</t>
        </is>
      </c>
      <c r="B15864" s="1" t="n">
        <v>45607</v>
      </c>
      <c r="C15864" s="1" t="n">
        <v>45657</v>
      </c>
      <c r="D15864" t="inlineStr">
        <is>
          <t>VÄSTERNORRLANDS LÄN</t>
        </is>
      </c>
      <c r="E15864" t="inlineStr">
        <is>
          <t>ÅNGE</t>
        </is>
      </c>
      <c r="F15864" t="inlineStr">
        <is>
          <t>SCA</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51981-2024</t>
        </is>
      </c>
      <c r="B15865" s="1" t="n">
        <v>45607</v>
      </c>
      <c r="C15865" s="1" t="n">
        <v>45657</v>
      </c>
      <c r="D15865" t="inlineStr">
        <is>
          <t>VÄSTERNORRLANDS LÄN</t>
        </is>
      </c>
      <c r="E15865" t="inlineStr">
        <is>
          <t>ÖRNSKÖLDSVIK</t>
        </is>
      </c>
      <c r="F15865" t="inlineStr">
        <is>
          <t>Holmen skog AB</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52010-2024</t>
        </is>
      </c>
      <c r="B15866" s="1" t="n">
        <v>45607</v>
      </c>
      <c r="C15866" s="1" t="n">
        <v>45657</v>
      </c>
      <c r="D15866" t="inlineStr">
        <is>
          <t>VÄSTERNORRLANDS LÄN</t>
        </is>
      </c>
      <c r="E15866" t="inlineStr">
        <is>
          <t>ÅNGE</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52196-2024</t>
        </is>
      </c>
      <c r="B15867" s="1" t="n">
        <v>45607</v>
      </c>
      <c r="C15867" s="1" t="n">
        <v>45657</v>
      </c>
      <c r="D15867" t="inlineStr">
        <is>
          <t>VÄSTERNORRLANDS LÄN</t>
        </is>
      </c>
      <c r="E15867" t="inlineStr">
        <is>
          <t>SUNDSVALL</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51890-2024</t>
        </is>
      </c>
      <c r="B15868" s="1" t="n">
        <v>45607</v>
      </c>
      <c r="C15868" s="1" t="n">
        <v>45657</v>
      </c>
      <c r="D15868" t="inlineStr">
        <is>
          <t>VÄSTERNORRLANDS LÄN</t>
        </is>
      </c>
      <c r="E15868" t="inlineStr">
        <is>
          <t>SOLLEFTEÅ</t>
        </is>
      </c>
      <c r="F15868" t="inlineStr">
        <is>
          <t>SCA</t>
        </is>
      </c>
      <c r="G15868" t="n">
        <v>6.9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51870-2024</t>
        </is>
      </c>
      <c r="B15869" s="1" t="n">
        <v>45607</v>
      </c>
      <c r="C15869" s="1" t="n">
        <v>45657</v>
      </c>
      <c r="D15869" t="inlineStr">
        <is>
          <t>VÄSTERNORRLANDS LÄN</t>
        </is>
      </c>
      <c r="E15869" t="inlineStr">
        <is>
          <t>ÅNGE</t>
        </is>
      </c>
      <c r="F15869" t="inlineStr">
        <is>
          <t>SCA</t>
        </is>
      </c>
      <c r="G15869" t="n">
        <v>10.9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51854-2024</t>
        </is>
      </c>
      <c r="B15870" s="1" t="n">
        <v>45607</v>
      </c>
      <c r="C15870" s="1" t="n">
        <v>45657</v>
      </c>
      <c r="D15870" t="inlineStr">
        <is>
          <t>VÄSTERNORRLANDS LÄN</t>
        </is>
      </c>
      <c r="E15870" t="inlineStr">
        <is>
          <t>ÖRNSKÖLDSVIK</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51857-2024</t>
        </is>
      </c>
      <c r="B15871" s="1" t="n">
        <v>45607</v>
      </c>
      <c r="C15871" s="1" t="n">
        <v>45657</v>
      </c>
      <c r="D15871" t="inlineStr">
        <is>
          <t>VÄSTERNORRLANDS LÄN</t>
        </is>
      </c>
      <c r="E15871" t="inlineStr">
        <is>
          <t>KRAMFORS</t>
        </is>
      </c>
      <c r="G15871" t="n">
        <v>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51846-2024</t>
        </is>
      </c>
      <c r="B15872" s="1" t="n">
        <v>45607</v>
      </c>
      <c r="C15872" s="1" t="n">
        <v>45657</v>
      </c>
      <c r="D15872" t="inlineStr">
        <is>
          <t>VÄSTERNORRLANDS LÄN</t>
        </is>
      </c>
      <c r="E15872" t="inlineStr">
        <is>
          <t>KRAMFORS</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51799-2024</t>
        </is>
      </c>
      <c r="B15873" s="1" t="n">
        <v>45607</v>
      </c>
      <c r="C15873" s="1" t="n">
        <v>45657</v>
      </c>
      <c r="D15873" t="inlineStr">
        <is>
          <t>VÄSTERNORRLANDS LÄN</t>
        </is>
      </c>
      <c r="E15873" t="inlineStr">
        <is>
          <t>ÖRNSKÖLDSVIK</t>
        </is>
      </c>
      <c r="G15873" t="n">
        <v>29.6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51786-2024</t>
        </is>
      </c>
      <c r="B15874" s="1" t="n">
        <v>45607</v>
      </c>
      <c r="C15874" s="1" t="n">
        <v>45657</v>
      </c>
      <c r="D15874" t="inlineStr">
        <is>
          <t>VÄSTERNORRLANDS LÄN</t>
        </is>
      </c>
      <c r="E15874" t="inlineStr">
        <is>
          <t>ÖRNSKÖLDSVIK</t>
        </is>
      </c>
      <c r="F15874" t="inlineStr">
        <is>
          <t>Holmen skog AB</t>
        </is>
      </c>
      <c r="G15874" t="n">
        <v>8.4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51760-2024</t>
        </is>
      </c>
      <c r="B15875" s="1" t="n">
        <v>45607</v>
      </c>
      <c r="C15875" s="1" t="n">
        <v>45657</v>
      </c>
      <c r="D15875" t="inlineStr">
        <is>
          <t>VÄSTERNORRLANDS LÄN</t>
        </is>
      </c>
      <c r="E15875" t="inlineStr">
        <is>
          <t>ÖRNSKÖLDSVIK</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51743-2024</t>
        </is>
      </c>
      <c r="B15876" s="1" t="n">
        <v>45607</v>
      </c>
      <c r="C15876" s="1" t="n">
        <v>45657</v>
      </c>
      <c r="D15876" t="inlineStr">
        <is>
          <t>VÄSTERNORRLANDS LÄN</t>
        </is>
      </c>
      <c r="E15876" t="inlineStr">
        <is>
          <t>SOLLEFTEÅ</t>
        </is>
      </c>
      <c r="F15876" t="inlineStr">
        <is>
          <t>SCA</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51682-2024</t>
        </is>
      </c>
      <c r="B15877" s="1" t="n">
        <v>45607</v>
      </c>
      <c r="C15877" s="1" t="n">
        <v>45657</v>
      </c>
      <c r="D15877" t="inlineStr">
        <is>
          <t>VÄSTERNORRLANDS LÄN</t>
        </is>
      </c>
      <c r="E15877" t="inlineStr">
        <is>
          <t>ÖRNSKÖLDSVIK</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52261-2024</t>
        </is>
      </c>
      <c r="B15878" s="1" t="n">
        <v>45608</v>
      </c>
      <c r="C15878" s="1" t="n">
        <v>45657</v>
      </c>
      <c r="D15878" t="inlineStr">
        <is>
          <t>VÄSTERNORRLANDS LÄN</t>
        </is>
      </c>
      <c r="E15878" t="inlineStr">
        <is>
          <t>ÖRNSKÖLDSVIK</t>
        </is>
      </c>
      <c r="G15878" t="n">
        <v>0.3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52368-2024</t>
        </is>
      </c>
      <c r="B15879" s="1" t="n">
        <v>45608</v>
      </c>
      <c r="C15879" s="1" t="n">
        <v>45657</v>
      </c>
      <c r="D15879" t="inlineStr">
        <is>
          <t>VÄSTERNORRLANDS LÄN</t>
        </is>
      </c>
      <c r="E15879" t="inlineStr">
        <is>
          <t>SUNDSVALL</t>
        </is>
      </c>
      <c r="G15879" t="n">
        <v>9.199999999999999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52135-2024</t>
        </is>
      </c>
      <c r="B15880" s="1" t="n">
        <v>45608</v>
      </c>
      <c r="C15880" s="1" t="n">
        <v>45657</v>
      </c>
      <c r="D15880" t="inlineStr">
        <is>
          <t>VÄSTERNORRLANDS LÄN</t>
        </is>
      </c>
      <c r="E15880" t="inlineStr">
        <is>
          <t>KRAMFORS</t>
        </is>
      </c>
      <c r="G15880" t="n">
        <v>15.1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52266-2024</t>
        </is>
      </c>
      <c r="B15881" s="1" t="n">
        <v>45608</v>
      </c>
      <c r="C15881" s="1" t="n">
        <v>45657</v>
      </c>
      <c r="D15881" t="inlineStr">
        <is>
          <t>VÄSTERNORRLANDS LÄN</t>
        </is>
      </c>
      <c r="E15881" t="inlineStr">
        <is>
          <t>ÖRNSKÖLDSVIK</t>
        </is>
      </c>
      <c r="G15881" t="n">
        <v>0.4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52258-2024</t>
        </is>
      </c>
      <c r="B15882" s="1" t="n">
        <v>45608</v>
      </c>
      <c r="C15882" s="1" t="n">
        <v>45657</v>
      </c>
      <c r="D15882" t="inlineStr">
        <is>
          <t>VÄSTERNORRLANDS LÄN</t>
        </is>
      </c>
      <c r="E15882" t="inlineStr">
        <is>
          <t>ÖRNSKÖLDSVIK</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52230-2024</t>
        </is>
      </c>
      <c r="B15883" s="1" t="n">
        <v>45608</v>
      </c>
      <c r="C15883" s="1" t="n">
        <v>45657</v>
      </c>
      <c r="D15883" t="inlineStr">
        <is>
          <t>VÄSTERNORRLANDS LÄN</t>
        </is>
      </c>
      <c r="E15883" t="inlineStr">
        <is>
          <t>ÅNGE</t>
        </is>
      </c>
      <c r="F15883" t="inlineStr">
        <is>
          <t>SCA</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52220-2024</t>
        </is>
      </c>
      <c r="B15884" s="1" t="n">
        <v>45608</v>
      </c>
      <c r="C15884" s="1" t="n">
        <v>45657</v>
      </c>
      <c r="D15884" t="inlineStr">
        <is>
          <t>VÄSTERNORRLANDS LÄN</t>
        </is>
      </c>
      <c r="E15884" t="inlineStr">
        <is>
          <t>ÖRNSKÖLDSVIK</t>
        </is>
      </c>
      <c r="F15884" t="inlineStr">
        <is>
          <t>Holmen skog AB</t>
        </is>
      </c>
      <c r="G15884" t="n">
        <v>13.7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52035-2024</t>
        </is>
      </c>
      <c r="B15885" s="1" t="n">
        <v>45608</v>
      </c>
      <c r="C15885" s="1" t="n">
        <v>45657</v>
      </c>
      <c r="D15885" t="inlineStr">
        <is>
          <t>VÄSTERNORRLANDS LÄN</t>
        </is>
      </c>
      <c r="E15885" t="inlineStr">
        <is>
          <t>SUNDSVALL</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52039-2024</t>
        </is>
      </c>
      <c r="B15886" s="1" t="n">
        <v>45608</v>
      </c>
      <c r="C15886" s="1" t="n">
        <v>45657</v>
      </c>
      <c r="D15886" t="inlineStr">
        <is>
          <t>VÄSTERNORRLANDS LÄN</t>
        </is>
      </c>
      <c r="E15886" t="inlineStr">
        <is>
          <t>SUNDSVALL</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52033-2024</t>
        </is>
      </c>
      <c r="B15887" s="1" t="n">
        <v>45608</v>
      </c>
      <c r="C15887" s="1" t="n">
        <v>45657</v>
      </c>
      <c r="D15887" t="inlineStr">
        <is>
          <t>VÄSTERNORRLANDS LÄN</t>
        </is>
      </c>
      <c r="E15887" t="inlineStr">
        <is>
          <t>SUNDSVALL</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52272-2024</t>
        </is>
      </c>
      <c r="B15888" s="1" t="n">
        <v>45608</v>
      </c>
      <c r="C15888" s="1" t="n">
        <v>45657</v>
      </c>
      <c r="D15888" t="inlineStr">
        <is>
          <t>VÄSTERNORRLANDS LÄN</t>
        </is>
      </c>
      <c r="E15888" t="inlineStr">
        <is>
          <t>KRAMFORS</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52264-2024</t>
        </is>
      </c>
      <c r="B15889" s="1" t="n">
        <v>45608</v>
      </c>
      <c r="C15889" s="1" t="n">
        <v>45657</v>
      </c>
      <c r="D15889" t="inlineStr">
        <is>
          <t>VÄSTERNORRLANDS LÄN</t>
        </is>
      </c>
      <c r="E15889" t="inlineStr">
        <is>
          <t>ÖRNSKÖLDSVIK</t>
        </is>
      </c>
      <c r="G15889" t="n">
        <v>0.3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52101-2024</t>
        </is>
      </c>
      <c r="B15890" s="1" t="n">
        <v>45608</v>
      </c>
      <c r="C15890" s="1" t="n">
        <v>45657</v>
      </c>
      <c r="D15890" t="inlineStr">
        <is>
          <t>VÄSTERNORRLANDS LÄN</t>
        </is>
      </c>
      <c r="E15890" t="inlineStr">
        <is>
          <t>SUNDSVALL</t>
        </is>
      </c>
      <c r="G15890" t="n">
        <v>3.1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52032-2024</t>
        </is>
      </c>
      <c r="B15891" s="1" t="n">
        <v>45608</v>
      </c>
      <c r="C15891" s="1" t="n">
        <v>45657</v>
      </c>
      <c r="D15891" t="inlineStr">
        <is>
          <t>VÄSTERNORRLANDS LÄN</t>
        </is>
      </c>
      <c r="E15891" t="inlineStr">
        <is>
          <t>SUNDSVALL</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52068-2024</t>
        </is>
      </c>
      <c r="B15892" s="1" t="n">
        <v>45608</v>
      </c>
      <c r="C15892" s="1" t="n">
        <v>45657</v>
      </c>
      <c r="D15892" t="inlineStr">
        <is>
          <t>VÄSTERNORRLANDS LÄN</t>
        </is>
      </c>
      <c r="E15892" t="inlineStr">
        <is>
          <t>ÖRNSKÖLDSVIK</t>
        </is>
      </c>
      <c r="F15892" t="inlineStr">
        <is>
          <t>Holmen skog AB</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52088-2024</t>
        </is>
      </c>
      <c r="B15893" s="1" t="n">
        <v>45608</v>
      </c>
      <c r="C15893" s="1" t="n">
        <v>45657</v>
      </c>
      <c r="D15893" t="inlineStr">
        <is>
          <t>VÄSTERNORRLANDS LÄN</t>
        </is>
      </c>
      <c r="E15893" t="inlineStr">
        <is>
          <t>ÖRNSKÖLDSVIK</t>
        </is>
      </c>
      <c r="F15893" t="inlineStr">
        <is>
          <t>Holmen skog AB</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52136-2024</t>
        </is>
      </c>
      <c r="B15894" s="1" t="n">
        <v>45608</v>
      </c>
      <c r="C15894" s="1" t="n">
        <v>45657</v>
      </c>
      <c r="D15894" t="inlineStr">
        <is>
          <t>VÄSTERNORRLANDS LÄN</t>
        </is>
      </c>
      <c r="E15894" t="inlineStr">
        <is>
          <t>ÖRNSKÖLDSVIK</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52326-2024</t>
        </is>
      </c>
      <c r="B15895" s="1" t="n">
        <v>45609</v>
      </c>
      <c r="C15895" s="1" t="n">
        <v>45657</v>
      </c>
      <c r="D15895" t="inlineStr">
        <is>
          <t>VÄSTERNORRLANDS LÄN</t>
        </is>
      </c>
      <c r="E15895" t="inlineStr">
        <is>
          <t>ÖRNSKÖLDSVIK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52331-2024</t>
        </is>
      </c>
      <c r="B15896" s="1" t="n">
        <v>45609</v>
      </c>
      <c r="C15896" s="1" t="n">
        <v>45657</v>
      </c>
      <c r="D15896" t="inlineStr">
        <is>
          <t>VÄSTERNORRLANDS LÄN</t>
        </is>
      </c>
      <c r="E15896" t="inlineStr">
        <is>
          <t>ÖRNSKÖLDSVIK</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52338-2024</t>
        </is>
      </c>
      <c r="B15897" s="1" t="n">
        <v>45609</v>
      </c>
      <c r="C15897" s="1" t="n">
        <v>45657</v>
      </c>
      <c r="D15897" t="inlineStr">
        <is>
          <t>VÄSTERNORRLANDS LÄN</t>
        </is>
      </c>
      <c r="E15897" t="inlineStr">
        <is>
          <t>SUNDSVALL</t>
        </is>
      </c>
      <c r="G15897" t="n">
        <v>4.4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52346-2024</t>
        </is>
      </c>
      <c r="B15898" s="1" t="n">
        <v>45609</v>
      </c>
      <c r="C15898" s="1" t="n">
        <v>45657</v>
      </c>
      <c r="D15898" t="inlineStr">
        <is>
          <t>VÄSTERNORRLANDS LÄN</t>
        </is>
      </c>
      <c r="E15898" t="inlineStr">
        <is>
          <t>TIMRÅ</t>
        </is>
      </c>
      <c r="F15898" t="inlineStr">
        <is>
          <t>SCA</t>
        </is>
      </c>
      <c r="G15898" t="n">
        <v>1.7</v>
      </c>
      <c r="H15898" t="n">
        <v>0</v>
      </c>
      <c r="I15898" t="n">
        <v>0</v>
      </c>
      <c r="J15898" t="n">
        <v>0</v>
      </c>
      <c r="K15898" t="n">
        <v>0</v>
      </c>
      <c r="L15898" t="n">
        <v>0</v>
      </c>
      <c r="M15898" t="n">
        <v>0</v>
      </c>
      <c r="N15898" t="n">
        <v>0</v>
      </c>
      <c r="O15898" t="n">
        <v>0</v>
      </c>
      <c r="P15898" t="n">
        <v>0</v>
      </c>
      <c r="Q15898" t="n">
        <v>0</v>
      </c>
      <c r="R15898" s="2" t="inlineStr"/>
      <c r="U15898">
        <f>HYPERLINK("https://klasma.github.io/Logging_2262/knärot/A 52346-2024 karta knärot.png", "A 52346-2024")</f>
        <v/>
      </c>
      <c r="V15898">
        <f>HYPERLINK("https://klasma.github.io/Logging_2262/klagomål/A 52346-2024 FSC-klagomål.docx", "A 52346-2024")</f>
        <v/>
      </c>
      <c r="W15898">
        <f>HYPERLINK("https://klasma.github.io/Logging_2262/klagomålsmail/A 52346-2024 FSC-klagomål mail.docx", "A 52346-2024")</f>
        <v/>
      </c>
      <c r="X15898">
        <f>HYPERLINK("https://klasma.github.io/Logging_2262/tillsyn/A 52346-2024 tillsynsbegäran.docx", "A 52346-2024")</f>
        <v/>
      </c>
      <c r="Y15898">
        <f>HYPERLINK("https://klasma.github.io/Logging_2262/tillsynsmail/A 52346-2024 tillsynsbegäran mail.docx", "A 52346-2024")</f>
        <v/>
      </c>
    </row>
    <row r="15899" ht="15" customHeight="1">
      <c r="A15899" t="inlineStr">
        <is>
          <t>A 52387-2024</t>
        </is>
      </c>
      <c r="B15899" s="1" t="n">
        <v>45609</v>
      </c>
      <c r="C15899" s="1" t="n">
        <v>45657</v>
      </c>
      <c r="D15899" t="inlineStr">
        <is>
          <t>VÄSTERNORRLANDS LÄN</t>
        </is>
      </c>
      <c r="E15899" t="inlineStr">
        <is>
          <t>ÖRNSKÖLDSVIK</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52421-2024</t>
        </is>
      </c>
      <c r="B15900" s="1" t="n">
        <v>45609</v>
      </c>
      <c r="C15900" s="1" t="n">
        <v>45657</v>
      </c>
      <c r="D15900" t="inlineStr">
        <is>
          <t>VÄSTERNORRLANDS LÄN</t>
        </is>
      </c>
      <c r="E15900" t="inlineStr">
        <is>
          <t>ÖRNSKÖLDSVIK</t>
        </is>
      </c>
      <c r="F15900" t="inlineStr">
        <is>
          <t>Holmen skog AB</t>
        </is>
      </c>
      <c r="G15900" t="n">
        <v>10.2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52396-2024</t>
        </is>
      </c>
      <c r="B15901" s="1" t="n">
        <v>45609</v>
      </c>
      <c r="C15901" s="1" t="n">
        <v>45657</v>
      </c>
      <c r="D15901" t="inlineStr">
        <is>
          <t>VÄSTERNORRLANDS LÄN</t>
        </is>
      </c>
      <c r="E15901" t="inlineStr">
        <is>
          <t>ÖRNSKÖLDSVIK</t>
        </is>
      </c>
      <c r="F15901" t="inlineStr">
        <is>
          <t>Holmen skog AB</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52404-2024</t>
        </is>
      </c>
      <c r="B15902" s="1" t="n">
        <v>45609</v>
      </c>
      <c r="C15902" s="1" t="n">
        <v>45657</v>
      </c>
      <c r="D15902" t="inlineStr">
        <is>
          <t>VÄSTERNORRLANDS LÄN</t>
        </is>
      </c>
      <c r="E15902" t="inlineStr">
        <is>
          <t>SUNDSVALL</t>
        </is>
      </c>
      <c r="F15902" t="inlineStr">
        <is>
          <t>SCA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52438-2024</t>
        </is>
      </c>
      <c r="B15903" s="1" t="n">
        <v>45609</v>
      </c>
      <c r="C15903" s="1" t="n">
        <v>45657</v>
      </c>
      <c r="D15903" t="inlineStr">
        <is>
          <t>VÄSTERNORRLANDS LÄN</t>
        </is>
      </c>
      <c r="E15903" t="inlineStr">
        <is>
          <t>SOLLEFTEÅ</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52455-2024</t>
        </is>
      </c>
      <c r="B15904" s="1" t="n">
        <v>45609</v>
      </c>
      <c r="C15904" s="1" t="n">
        <v>45657</v>
      </c>
      <c r="D15904" t="inlineStr">
        <is>
          <t>VÄSTERNORRLANDS LÄN</t>
        </is>
      </c>
      <c r="E15904" t="inlineStr">
        <is>
          <t>SOLLEFTEÅ</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52471-2024</t>
        </is>
      </c>
      <c r="B15905" s="1" t="n">
        <v>45609</v>
      </c>
      <c r="C15905" s="1" t="n">
        <v>45657</v>
      </c>
      <c r="D15905" t="inlineStr">
        <is>
          <t>VÄSTERNORRLANDS LÄN</t>
        </is>
      </c>
      <c r="E15905" t="inlineStr">
        <is>
          <t>SOLLEFTEÅ</t>
        </is>
      </c>
      <c r="G15905" t="n">
        <v>6.6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52515-2024</t>
        </is>
      </c>
      <c r="B15906" s="1" t="n">
        <v>45609</v>
      </c>
      <c r="C15906" s="1" t="n">
        <v>45657</v>
      </c>
      <c r="D15906" t="inlineStr">
        <is>
          <t>VÄSTERNORRLANDS LÄN</t>
        </is>
      </c>
      <c r="E15906" t="inlineStr">
        <is>
          <t>SUNDSVALL</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52537-2024</t>
        </is>
      </c>
      <c r="B15907" s="1" t="n">
        <v>45609</v>
      </c>
      <c r="C15907" s="1" t="n">
        <v>45657</v>
      </c>
      <c r="D15907" t="inlineStr">
        <is>
          <t>VÄSTERNORRLANDS LÄN</t>
        </is>
      </c>
      <c r="E15907" t="inlineStr">
        <is>
          <t>ÖRNSKÖLDSVIK</t>
        </is>
      </c>
      <c r="F15907" t="inlineStr">
        <is>
          <t>Holmen skog AB</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52544-2024</t>
        </is>
      </c>
      <c r="B15908" s="1" t="n">
        <v>45609</v>
      </c>
      <c r="C15908" s="1" t="n">
        <v>45657</v>
      </c>
      <c r="D15908" t="inlineStr">
        <is>
          <t>VÄSTERNORRLANDS LÄN</t>
        </is>
      </c>
      <c r="E15908" t="inlineStr">
        <is>
          <t>ÖRNSKÖLDSVIK</t>
        </is>
      </c>
      <c r="F15908" t="inlineStr">
        <is>
          <t>Holmen skog AB</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52548-2024</t>
        </is>
      </c>
      <c r="B15909" s="1" t="n">
        <v>45609</v>
      </c>
      <c r="C15909" s="1" t="n">
        <v>45657</v>
      </c>
      <c r="D15909" t="inlineStr">
        <is>
          <t>VÄSTERNORRLANDS LÄN</t>
        </is>
      </c>
      <c r="E15909" t="inlineStr">
        <is>
          <t>ÖRNSKÖLDSVIK</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52340-2024</t>
        </is>
      </c>
      <c r="B15910" s="1" t="n">
        <v>45609</v>
      </c>
      <c r="C15910" s="1" t="n">
        <v>45657</v>
      </c>
      <c r="D15910" t="inlineStr">
        <is>
          <t>VÄSTERNORRLANDS LÄN</t>
        </is>
      </c>
      <c r="E15910" t="inlineStr">
        <is>
          <t>ÖRNSKÖLDSVIK</t>
        </is>
      </c>
      <c r="F15910" t="inlineStr">
        <is>
          <t>Holmen skog AB</t>
        </is>
      </c>
      <c r="G15910" t="n">
        <v>3.3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52344-2024</t>
        </is>
      </c>
      <c r="B15911" s="1" t="n">
        <v>45609</v>
      </c>
      <c r="C15911" s="1" t="n">
        <v>45657</v>
      </c>
      <c r="D15911" t="inlineStr">
        <is>
          <t>VÄSTERNORRLANDS LÄN</t>
        </is>
      </c>
      <c r="E15911" t="inlineStr">
        <is>
          <t>SUNDSVALL</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52371-2024</t>
        </is>
      </c>
      <c r="B15912" s="1" t="n">
        <v>45609</v>
      </c>
      <c r="C15912" s="1" t="n">
        <v>45657</v>
      </c>
      <c r="D15912" t="inlineStr">
        <is>
          <t>VÄSTERNORRLANDS LÄN</t>
        </is>
      </c>
      <c r="E15912" t="inlineStr">
        <is>
          <t>ÖRNSKÖLDSVIK</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52379-2024</t>
        </is>
      </c>
      <c r="B15913" s="1" t="n">
        <v>45609</v>
      </c>
      <c r="C15913" s="1" t="n">
        <v>45657</v>
      </c>
      <c r="D15913" t="inlineStr">
        <is>
          <t>VÄSTERNORRLANDS LÄN</t>
        </is>
      </c>
      <c r="E15913" t="inlineStr">
        <is>
          <t>ÖRNSKÖLDSVIK</t>
        </is>
      </c>
      <c r="G15913" t="n">
        <v>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52389-2024</t>
        </is>
      </c>
      <c r="B15914" s="1" t="n">
        <v>45609</v>
      </c>
      <c r="C15914" s="1" t="n">
        <v>45657</v>
      </c>
      <c r="D15914" t="inlineStr">
        <is>
          <t>VÄSTERNORRLANDS LÄN</t>
        </is>
      </c>
      <c r="E15914" t="inlineStr">
        <is>
          <t>ÖRNSKÖLDSVIK</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52406-2024</t>
        </is>
      </c>
      <c r="B15915" s="1" t="n">
        <v>45609</v>
      </c>
      <c r="C15915" s="1" t="n">
        <v>45657</v>
      </c>
      <c r="D15915" t="inlineStr">
        <is>
          <t>VÄSTERNORRLANDS LÄN</t>
        </is>
      </c>
      <c r="E15915" t="inlineStr">
        <is>
          <t>SOLLEFTEÅ</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52445-2024</t>
        </is>
      </c>
      <c r="B15916" s="1" t="n">
        <v>45609</v>
      </c>
      <c r="C15916" s="1" t="n">
        <v>45657</v>
      </c>
      <c r="D15916" t="inlineStr">
        <is>
          <t>VÄSTERNORRLANDS LÄN</t>
        </is>
      </c>
      <c r="E15916" t="inlineStr">
        <is>
          <t>ÖRNSKÖLDSVIK</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52461-2024</t>
        </is>
      </c>
      <c r="B15917" s="1" t="n">
        <v>45609</v>
      </c>
      <c r="C15917" s="1" t="n">
        <v>45657</v>
      </c>
      <c r="D15917" t="inlineStr">
        <is>
          <t>VÄSTERNORRLANDS LÄN</t>
        </is>
      </c>
      <c r="E15917" t="inlineStr">
        <is>
          <t>SOLLEFTEÅ</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52465-2024</t>
        </is>
      </c>
      <c r="B15918" s="1" t="n">
        <v>45609</v>
      </c>
      <c r="C15918" s="1" t="n">
        <v>45657</v>
      </c>
      <c r="D15918" t="inlineStr">
        <is>
          <t>VÄSTERNORRLANDS LÄN</t>
        </is>
      </c>
      <c r="E15918" t="inlineStr">
        <is>
          <t>KRAMFORS</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52341-2024</t>
        </is>
      </c>
      <c r="B15919" s="1" t="n">
        <v>45609</v>
      </c>
      <c r="C15919" s="1" t="n">
        <v>45657</v>
      </c>
      <c r="D15919" t="inlineStr">
        <is>
          <t>VÄSTERNORRLANDS LÄN</t>
        </is>
      </c>
      <c r="E15919" t="inlineStr">
        <is>
          <t>SOLLEFTEÅ</t>
        </is>
      </c>
      <c r="F15919" t="inlineStr">
        <is>
          <t>Holmen skog AB</t>
        </is>
      </c>
      <c r="G15919" t="n">
        <v>9.5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52376-2024</t>
        </is>
      </c>
      <c r="B15920" s="1" t="n">
        <v>45609</v>
      </c>
      <c r="C15920" s="1" t="n">
        <v>45657</v>
      </c>
      <c r="D15920" t="inlineStr">
        <is>
          <t>VÄSTERNORRLANDS LÄN</t>
        </is>
      </c>
      <c r="E15920" t="inlineStr">
        <is>
          <t>ÖRNSKÖLDSVIK</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52395-2024</t>
        </is>
      </c>
      <c r="B15921" s="1" t="n">
        <v>45609</v>
      </c>
      <c r="C15921" s="1" t="n">
        <v>45657</v>
      </c>
      <c r="D15921" t="inlineStr">
        <is>
          <t>VÄSTERNORRLANDS LÄN</t>
        </is>
      </c>
      <c r="E15921" t="inlineStr">
        <is>
          <t>ÖRNSKÖLDSVIK</t>
        </is>
      </c>
      <c r="F15921" t="inlineStr">
        <is>
          <t>Holmen skog AB</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52399-2024</t>
        </is>
      </c>
      <c r="B15922" s="1" t="n">
        <v>45609</v>
      </c>
      <c r="C15922" s="1" t="n">
        <v>45657</v>
      </c>
      <c r="D15922" t="inlineStr">
        <is>
          <t>VÄSTERNORRLANDS LÄN</t>
        </is>
      </c>
      <c r="E15922" t="inlineStr">
        <is>
          <t>ÖRNSKÖLDSVIK</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52429-2024</t>
        </is>
      </c>
      <c r="B15923" s="1" t="n">
        <v>45609</v>
      </c>
      <c r="C15923" s="1" t="n">
        <v>45657</v>
      </c>
      <c r="D15923" t="inlineStr">
        <is>
          <t>VÄSTERNORRLANDS LÄN</t>
        </is>
      </c>
      <c r="E15923" t="inlineStr">
        <is>
          <t>SOLLEFTEÅ</t>
        </is>
      </c>
      <c r="G15923" t="n">
        <v>7.5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52474-2024</t>
        </is>
      </c>
      <c r="B15924" s="1" t="n">
        <v>45609</v>
      </c>
      <c r="C15924" s="1" t="n">
        <v>45657</v>
      </c>
      <c r="D15924" t="inlineStr">
        <is>
          <t>VÄSTERNORRLANDS LÄN</t>
        </is>
      </c>
      <c r="E15924" t="inlineStr">
        <is>
          <t>TIMRÅ</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52530-2024</t>
        </is>
      </c>
      <c r="B15925" s="1" t="n">
        <v>45609</v>
      </c>
      <c r="C15925" s="1" t="n">
        <v>45657</v>
      </c>
      <c r="D15925" t="inlineStr">
        <is>
          <t>VÄSTERNORRLANDS LÄN</t>
        </is>
      </c>
      <c r="E15925" t="inlineStr">
        <is>
          <t>SOLLEFTEÅ</t>
        </is>
      </c>
      <c r="F15925" t="inlineStr">
        <is>
          <t>SCA</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52586-2024</t>
        </is>
      </c>
      <c r="B15926" s="1" t="n">
        <v>45609</v>
      </c>
      <c r="C15926" s="1" t="n">
        <v>45657</v>
      </c>
      <c r="D15926" t="inlineStr">
        <is>
          <t>VÄSTERNORRLANDS LÄN</t>
        </is>
      </c>
      <c r="E15926" t="inlineStr">
        <is>
          <t>ÖRNSKÖLDSVIK</t>
        </is>
      </c>
      <c r="F15926" t="inlineStr">
        <is>
          <t>Holmen skog AB</t>
        </is>
      </c>
      <c r="G15926" t="n">
        <v>3.5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52598-2024</t>
        </is>
      </c>
      <c r="B15927" s="1" t="n">
        <v>45609</v>
      </c>
      <c r="C15927" s="1" t="n">
        <v>45657</v>
      </c>
      <c r="D15927" t="inlineStr">
        <is>
          <t>VÄSTERNORRLANDS LÄN</t>
        </is>
      </c>
      <c r="E15927" t="inlineStr">
        <is>
          <t>HÄRNÖSAND</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52602-2024</t>
        </is>
      </c>
      <c r="B15928" s="1" t="n">
        <v>45609</v>
      </c>
      <c r="C15928" s="1" t="n">
        <v>45657</v>
      </c>
      <c r="D15928" t="inlineStr">
        <is>
          <t>VÄSTERNORRLANDS LÄN</t>
        </is>
      </c>
      <c r="E15928" t="inlineStr">
        <is>
          <t>SOLLEFTEÅ</t>
        </is>
      </c>
      <c r="G15928" t="n">
        <v>10.8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52626-2024</t>
        </is>
      </c>
      <c r="B15929" s="1" t="n">
        <v>45609</v>
      </c>
      <c r="C15929" s="1" t="n">
        <v>45657</v>
      </c>
      <c r="D15929" t="inlineStr">
        <is>
          <t>VÄSTERNORRLANDS LÄN</t>
        </is>
      </c>
      <c r="E15929" t="inlineStr">
        <is>
          <t>ÖRNSKÖLDSVIK</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52665-2024</t>
        </is>
      </c>
      <c r="B15930" s="1" t="n">
        <v>45610</v>
      </c>
      <c r="C15930" s="1" t="n">
        <v>45657</v>
      </c>
      <c r="D15930" t="inlineStr">
        <is>
          <t>VÄSTERNORRLANDS LÄN</t>
        </is>
      </c>
      <c r="E15930" t="inlineStr">
        <is>
          <t>ÅNGE</t>
        </is>
      </c>
      <c r="F15930" t="inlineStr">
        <is>
          <t>SCA</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52681-2024</t>
        </is>
      </c>
      <c r="B15931" s="1" t="n">
        <v>45610</v>
      </c>
      <c r="C15931" s="1" t="n">
        <v>45657</v>
      </c>
      <c r="D15931" t="inlineStr">
        <is>
          <t>VÄSTERNORRLANDS LÄN</t>
        </is>
      </c>
      <c r="E15931" t="inlineStr">
        <is>
          <t>SOLLEFTEÅ</t>
        </is>
      </c>
      <c r="F15931" t="inlineStr">
        <is>
          <t>SCA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52685-2024</t>
        </is>
      </c>
      <c r="B15932" s="1" t="n">
        <v>45610</v>
      </c>
      <c r="C15932" s="1" t="n">
        <v>45657</v>
      </c>
      <c r="D15932" t="inlineStr">
        <is>
          <t>VÄSTERNORRLANDS LÄN</t>
        </is>
      </c>
      <c r="E15932" t="inlineStr">
        <is>
          <t>ÅNGE</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52664-2024</t>
        </is>
      </c>
      <c r="B15933" s="1" t="n">
        <v>45610</v>
      </c>
      <c r="C15933" s="1" t="n">
        <v>45657</v>
      </c>
      <c r="D15933" t="inlineStr">
        <is>
          <t>VÄSTERNORRLANDS LÄN</t>
        </is>
      </c>
      <c r="E15933" t="inlineStr">
        <is>
          <t>ÅNGE</t>
        </is>
      </c>
      <c r="F15933" t="inlineStr">
        <is>
          <t>SCA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52709-2024</t>
        </is>
      </c>
      <c r="B15934" s="1" t="n">
        <v>45610</v>
      </c>
      <c r="C15934" s="1" t="n">
        <v>45657</v>
      </c>
      <c r="D15934" t="inlineStr">
        <is>
          <t>VÄSTERNORRLANDS LÄN</t>
        </is>
      </c>
      <c r="E15934" t="inlineStr">
        <is>
          <t>SOLLEFTEÅ</t>
        </is>
      </c>
      <c r="F15934" t="inlineStr">
        <is>
          <t>SCA</t>
        </is>
      </c>
      <c r="G15934" t="n">
        <v>11.6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52713-2024</t>
        </is>
      </c>
      <c r="B15935" s="1" t="n">
        <v>45610</v>
      </c>
      <c r="C15935" s="1" t="n">
        <v>45657</v>
      </c>
      <c r="D15935" t="inlineStr">
        <is>
          <t>VÄSTERNORRLANDS LÄN</t>
        </is>
      </c>
      <c r="E15935" t="inlineStr">
        <is>
          <t>ÖRNSKÖLDSVIK</t>
        </is>
      </c>
      <c r="F15935" t="inlineStr">
        <is>
          <t>Holmen skog AB</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52717-2024</t>
        </is>
      </c>
      <c r="B15936" s="1" t="n">
        <v>45610</v>
      </c>
      <c r="C15936" s="1" t="n">
        <v>45657</v>
      </c>
      <c r="D15936" t="inlineStr">
        <is>
          <t>VÄSTERNORRLANDS LÄN</t>
        </is>
      </c>
      <c r="E15936" t="inlineStr">
        <is>
          <t>ÖRNSKÖLDSVIK</t>
        </is>
      </c>
      <c r="F15936" t="inlineStr">
        <is>
          <t>Holmen skog AB</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52721-2024</t>
        </is>
      </c>
      <c r="B15937" s="1" t="n">
        <v>45610</v>
      </c>
      <c r="C15937" s="1" t="n">
        <v>45657</v>
      </c>
      <c r="D15937" t="inlineStr">
        <is>
          <t>VÄSTERNORRLANDS LÄN</t>
        </is>
      </c>
      <c r="E15937" t="inlineStr">
        <is>
          <t>ÖRNSKÖLDSVIK</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52706-2024</t>
        </is>
      </c>
      <c r="B15938" s="1" t="n">
        <v>45610</v>
      </c>
      <c r="C15938" s="1" t="n">
        <v>45657</v>
      </c>
      <c r="D15938" t="inlineStr">
        <is>
          <t>VÄSTERNORRLANDS LÄN</t>
        </is>
      </c>
      <c r="E15938" t="inlineStr">
        <is>
          <t>SUNDSVALL</t>
        </is>
      </c>
      <c r="G15938" t="n">
        <v>2.9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52761-2024</t>
        </is>
      </c>
      <c r="B15939" s="1" t="n">
        <v>45610</v>
      </c>
      <c r="C15939" s="1" t="n">
        <v>45657</v>
      </c>
      <c r="D15939" t="inlineStr">
        <is>
          <t>VÄSTERNORRLANDS LÄN</t>
        </is>
      </c>
      <c r="E15939" t="inlineStr">
        <is>
          <t>TIMRÅ</t>
        </is>
      </c>
      <c r="F15939" t="inlineStr">
        <is>
          <t>SCA</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52633-2024</t>
        </is>
      </c>
      <c r="B15940" s="1" t="n">
        <v>45610</v>
      </c>
      <c r="C15940" s="1" t="n">
        <v>45657</v>
      </c>
      <c r="D15940" t="inlineStr">
        <is>
          <t>VÄSTERNORRLANDS LÄN</t>
        </is>
      </c>
      <c r="E15940" t="inlineStr">
        <is>
          <t>ÖRNSKÖLDSVIK</t>
        </is>
      </c>
      <c r="F15940" t="inlineStr">
        <is>
          <t>Holmen skog AB</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52785-2024</t>
        </is>
      </c>
      <c r="B15941" s="1" t="n">
        <v>45610</v>
      </c>
      <c r="C15941" s="1" t="n">
        <v>45657</v>
      </c>
      <c r="D15941" t="inlineStr">
        <is>
          <t>VÄSTERNORRLANDS LÄN</t>
        </is>
      </c>
      <c r="E15941" t="inlineStr">
        <is>
          <t>ÅNGE</t>
        </is>
      </c>
      <c r="F15941" t="inlineStr">
        <is>
          <t>SCA</t>
        </is>
      </c>
      <c r="G15941" t="n">
        <v>9.300000000000001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52805-2024</t>
        </is>
      </c>
      <c r="B15942" s="1" t="n">
        <v>45610</v>
      </c>
      <c r="C15942" s="1" t="n">
        <v>45657</v>
      </c>
      <c r="D15942" t="inlineStr">
        <is>
          <t>VÄSTERNORRLANDS LÄN</t>
        </is>
      </c>
      <c r="E15942" t="inlineStr">
        <is>
          <t>ÅNGE</t>
        </is>
      </c>
      <c r="F15942" t="inlineStr">
        <is>
          <t>SCA</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52857-2024</t>
        </is>
      </c>
      <c r="B15943" s="1" t="n">
        <v>45610</v>
      </c>
      <c r="C15943" s="1" t="n">
        <v>45657</v>
      </c>
      <c r="D15943" t="inlineStr">
        <is>
          <t>VÄSTERNORRLANDS LÄN</t>
        </is>
      </c>
      <c r="E15943" t="inlineStr">
        <is>
          <t>ÅNGE</t>
        </is>
      </c>
      <c r="F15943" t="inlineStr">
        <is>
          <t>SCA</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52865-2024</t>
        </is>
      </c>
      <c r="B15944" s="1" t="n">
        <v>45610</v>
      </c>
      <c r="C15944" s="1" t="n">
        <v>45657</v>
      </c>
      <c r="D15944" t="inlineStr">
        <is>
          <t>VÄSTERNORRLANDS LÄN</t>
        </is>
      </c>
      <c r="E15944" t="inlineStr">
        <is>
          <t>ÖRNSKÖLDSVIK</t>
        </is>
      </c>
      <c r="F15944" t="inlineStr">
        <is>
          <t>Holmen skog AB</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52909-2024</t>
        </is>
      </c>
      <c r="B15945" s="1" t="n">
        <v>45610</v>
      </c>
      <c r="C15945" s="1" t="n">
        <v>45657</v>
      </c>
      <c r="D15945" t="inlineStr">
        <is>
          <t>VÄSTERNORRLANDS LÄN</t>
        </is>
      </c>
      <c r="E15945" t="inlineStr">
        <is>
          <t>TIMRÅ</t>
        </is>
      </c>
      <c r="F15945" t="inlineStr">
        <is>
          <t>SCA</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52692-2024</t>
        </is>
      </c>
      <c r="B15946" s="1" t="n">
        <v>45610</v>
      </c>
      <c r="C15946" s="1" t="n">
        <v>45657</v>
      </c>
      <c r="D15946" t="inlineStr">
        <is>
          <t>VÄSTERNORRLANDS LÄN</t>
        </is>
      </c>
      <c r="E15946" t="inlineStr">
        <is>
          <t>ÅNGE</t>
        </is>
      </c>
      <c r="G15946" t="n">
        <v>19.1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52704-2024</t>
        </is>
      </c>
      <c r="B15947" s="1" t="n">
        <v>45610</v>
      </c>
      <c r="C15947" s="1" t="n">
        <v>45657</v>
      </c>
      <c r="D15947" t="inlineStr">
        <is>
          <t>VÄSTERNORRLANDS LÄN</t>
        </is>
      </c>
      <c r="E15947" t="inlineStr">
        <is>
          <t>ÖRNSKÖLDSVIK</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52716-2024</t>
        </is>
      </c>
      <c r="B15948" s="1" t="n">
        <v>45610</v>
      </c>
      <c r="C15948" s="1" t="n">
        <v>45657</v>
      </c>
      <c r="D15948" t="inlineStr">
        <is>
          <t>VÄSTERNORRLANDS LÄN</t>
        </is>
      </c>
      <c r="E15948" t="inlineStr">
        <is>
          <t>ÖRNSKÖLDSVIK</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52724-2024</t>
        </is>
      </c>
      <c r="B15949" s="1" t="n">
        <v>45610</v>
      </c>
      <c r="C15949" s="1" t="n">
        <v>45657</v>
      </c>
      <c r="D15949" t="inlineStr">
        <is>
          <t>VÄSTERNORRLANDS LÄN</t>
        </is>
      </c>
      <c r="E15949" t="inlineStr">
        <is>
          <t>ÖRNSKÖLDSVIK</t>
        </is>
      </c>
      <c r="F15949" t="inlineStr">
        <is>
          <t>Holmen skog AB</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52736-2024</t>
        </is>
      </c>
      <c r="B15950" s="1" t="n">
        <v>45610</v>
      </c>
      <c r="C15950" s="1" t="n">
        <v>45657</v>
      </c>
      <c r="D15950" t="inlineStr">
        <is>
          <t>VÄSTERNORRLANDS LÄN</t>
        </is>
      </c>
      <c r="E15950" t="inlineStr">
        <is>
          <t>ÖRNSKÖLDSVIK</t>
        </is>
      </c>
      <c r="F15950" t="inlineStr">
        <is>
          <t>Holmen skog AB</t>
        </is>
      </c>
      <c r="G15950" t="n">
        <v>19.5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52768-2024</t>
        </is>
      </c>
      <c r="B15951" s="1" t="n">
        <v>45610</v>
      </c>
      <c r="C15951" s="1" t="n">
        <v>45657</v>
      </c>
      <c r="D15951" t="inlineStr">
        <is>
          <t>VÄSTERNORRLANDS LÄN</t>
        </is>
      </c>
      <c r="E15951" t="inlineStr">
        <is>
          <t>SOLLEFTEÅ</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52784-2024</t>
        </is>
      </c>
      <c r="B15952" s="1" t="n">
        <v>45610</v>
      </c>
      <c r="C15952" s="1" t="n">
        <v>45657</v>
      </c>
      <c r="D15952" t="inlineStr">
        <is>
          <t>VÄSTERNORRLANDS LÄN</t>
        </is>
      </c>
      <c r="E15952" t="inlineStr">
        <is>
          <t>SUNDSVALL</t>
        </is>
      </c>
      <c r="F15952" t="inlineStr">
        <is>
          <t>SCA</t>
        </is>
      </c>
      <c r="G15952" t="n">
        <v>14.8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52804-2024</t>
        </is>
      </c>
      <c r="B15953" s="1" t="n">
        <v>45610</v>
      </c>
      <c r="C15953" s="1" t="n">
        <v>45657</v>
      </c>
      <c r="D15953" t="inlineStr">
        <is>
          <t>VÄSTERNORRLANDS LÄN</t>
        </is>
      </c>
      <c r="E15953" t="inlineStr">
        <is>
          <t>ÅNGE</t>
        </is>
      </c>
      <c r="F15953" t="inlineStr">
        <is>
          <t>SCA</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52808-2024</t>
        </is>
      </c>
      <c r="B15954" s="1" t="n">
        <v>45610</v>
      </c>
      <c r="C15954" s="1" t="n">
        <v>45657</v>
      </c>
      <c r="D15954" t="inlineStr">
        <is>
          <t>VÄSTERNORRLANDS LÄN</t>
        </is>
      </c>
      <c r="E15954" t="inlineStr">
        <is>
          <t>ÖRNSKÖLDSVIK</t>
        </is>
      </c>
      <c r="F15954" t="inlineStr">
        <is>
          <t>Holmen skog AB</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52719-2024</t>
        </is>
      </c>
      <c r="B15955" s="1" t="n">
        <v>45610</v>
      </c>
      <c r="C15955" s="1" t="n">
        <v>45657</v>
      </c>
      <c r="D15955" t="inlineStr">
        <is>
          <t>VÄSTERNORRLANDS LÄN</t>
        </is>
      </c>
      <c r="E15955" t="inlineStr">
        <is>
          <t>ÖRNSKÖLDSVIK</t>
        </is>
      </c>
      <c r="F15955" t="inlineStr">
        <is>
          <t>Holmen skog AB</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52763-2024</t>
        </is>
      </c>
      <c r="B15956" s="1" t="n">
        <v>45610</v>
      </c>
      <c r="C15956" s="1" t="n">
        <v>45657</v>
      </c>
      <c r="D15956" t="inlineStr">
        <is>
          <t>VÄSTERNORRLANDS LÄN</t>
        </is>
      </c>
      <c r="E15956" t="inlineStr">
        <is>
          <t>ÖRNSKÖLDSVIK</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52687-2024</t>
        </is>
      </c>
      <c r="B15957" s="1" t="n">
        <v>45610</v>
      </c>
      <c r="C15957" s="1" t="n">
        <v>45657</v>
      </c>
      <c r="D15957" t="inlineStr">
        <is>
          <t>VÄSTERNORRLANDS LÄN</t>
        </is>
      </c>
      <c r="E15957" t="inlineStr">
        <is>
          <t>ÅNGE</t>
        </is>
      </c>
      <c r="G15957" t="n">
        <v>5.9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52683-2024</t>
        </is>
      </c>
      <c r="B15958" s="1" t="n">
        <v>45610</v>
      </c>
      <c r="C15958" s="1" t="n">
        <v>45657</v>
      </c>
      <c r="D15958" t="inlineStr">
        <is>
          <t>VÄSTERNORRLANDS LÄN</t>
        </is>
      </c>
      <c r="E15958" t="inlineStr">
        <is>
          <t>ÅNGE</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52860-2024</t>
        </is>
      </c>
      <c r="B15959" s="1" t="n">
        <v>45610</v>
      </c>
      <c r="C15959" s="1" t="n">
        <v>45657</v>
      </c>
      <c r="D15959" t="inlineStr">
        <is>
          <t>VÄSTERNORRLANDS LÄN</t>
        </is>
      </c>
      <c r="E15959" t="inlineStr">
        <is>
          <t>SUNDSVALL</t>
        </is>
      </c>
      <c r="G15959" t="n">
        <v>8.1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52663-2024</t>
        </is>
      </c>
      <c r="B15960" s="1" t="n">
        <v>45610</v>
      </c>
      <c r="C15960" s="1" t="n">
        <v>45657</v>
      </c>
      <c r="D15960" t="inlineStr">
        <is>
          <t>VÄSTERNORRLANDS LÄN</t>
        </is>
      </c>
      <c r="E15960" t="inlineStr">
        <is>
          <t>SOLLEFTEÅ</t>
        </is>
      </c>
      <c r="F15960" t="inlineStr">
        <is>
          <t>SCA</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52786-2024</t>
        </is>
      </c>
      <c r="B15961" s="1" t="n">
        <v>45610</v>
      </c>
      <c r="C15961" s="1" t="n">
        <v>45657</v>
      </c>
      <c r="D15961" t="inlineStr">
        <is>
          <t>VÄSTERNORRLANDS LÄN</t>
        </is>
      </c>
      <c r="E15961" t="inlineStr">
        <is>
          <t>ÅNGE</t>
        </is>
      </c>
      <c r="F15961" t="inlineStr">
        <is>
          <t>SCA</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52702-2024</t>
        </is>
      </c>
      <c r="B15962" s="1" t="n">
        <v>45610</v>
      </c>
      <c r="C15962" s="1" t="n">
        <v>45657</v>
      </c>
      <c r="D15962" t="inlineStr">
        <is>
          <t>VÄSTERNORRLANDS LÄN</t>
        </is>
      </c>
      <c r="E15962" t="inlineStr">
        <is>
          <t>SOLLEFTEÅ</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52662-2024</t>
        </is>
      </c>
      <c r="B15963" s="1" t="n">
        <v>45610</v>
      </c>
      <c r="C15963" s="1" t="n">
        <v>45657</v>
      </c>
      <c r="D15963" t="inlineStr">
        <is>
          <t>VÄSTERNORRLANDS LÄN</t>
        </is>
      </c>
      <c r="E15963" t="inlineStr">
        <is>
          <t>SOLLEFTEÅ</t>
        </is>
      </c>
      <c r="F15963" t="inlineStr">
        <is>
          <t>SCA</t>
        </is>
      </c>
      <c r="G15963" t="n">
        <v>7.7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52658-2024</t>
        </is>
      </c>
      <c r="B15964" s="1" t="n">
        <v>45610</v>
      </c>
      <c r="C15964" s="1" t="n">
        <v>45657</v>
      </c>
      <c r="D15964" t="inlineStr">
        <is>
          <t>VÄSTERNORRLANDS LÄN</t>
        </is>
      </c>
      <c r="E15964" t="inlineStr">
        <is>
          <t>ÖRNSKÖLDSVIK</t>
        </is>
      </c>
      <c r="F15964" t="inlineStr">
        <is>
          <t>Holmen skog AB</t>
        </is>
      </c>
      <c r="G15964" t="n">
        <v>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52898-2024</t>
        </is>
      </c>
      <c r="B15965" s="1" t="n">
        <v>45610</v>
      </c>
      <c r="C15965" s="1" t="n">
        <v>45657</v>
      </c>
      <c r="D15965" t="inlineStr">
        <is>
          <t>VÄSTERNORRLANDS LÄN</t>
        </is>
      </c>
      <c r="E15965" t="inlineStr">
        <is>
          <t>SUNDSVALL</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52988-2024</t>
        </is>
      </c>
      <c r="B15966" s="1" t="n">
        <v>45611</v>
      </c>
      <c r="C15966" s="1" t="n">
        <v>45657</v>
      </c>
      <c r="D15966" t="inlineStr">
        <is>
          <t>VÄSTERNORRLANDS LÄN</t>
        </is>
      </c>
      <c r="E15966" t="inlineStr">
        <is>
          <t>ÖRNSKÖLDSVIK</t>
        </is>
      </c>
      <c r="F15966" t="inlineStr">
        <is>
          <t>Holmen skog AB</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52996-2024</t>
        </is>
      </c>
      <c r="B15967" s="1" t="n">
        <v>45611</v>
      </c>
      <c r="C15967" s="1" t="n">
        <v>45657</v>
      </c>
      <c r="D15967" t="inlineStr">
        <is>
          <t>VÄSTERNORRLANDS LÄN</t>
        </is>
      </c>
      <c r="E15967" t="inlineStr">
        <is>
          <t>ÖRNSKÖLDSVIK</t>
        </is>
      </c>
      <c r="F15967" t="inlineStr">
        <is>
          <t>SCA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53045-2024</t>
        </is>
      </c>
      <c r="B15968" s="1" t="n">
        <v>45611</v>
      </c>
      <c r="C15968" s="1" t="n">
        <v>45657</v>
      </c>
      <c r="D15968" t="inlineStr">
        <is>
          <t>VÄSTERNORRLANDS LÄN</t>
        </is>
      </c>
      <c r="E15968" t="inlineStr">
        <is>
          <t>ÖRNSKÖLDSVIK</t>
        </is>
      </c>
      <c r="F15968" t="inlineStr">
        <is>
          <t>Holmen skog AB</t>
        </is>
      </c>
      <c r="G15968" t="n">
        <v>4.9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53098-2024</t>
        </is>
      </c>
      <c r="B15969" s="1" t="n">
        <v>45611</v>
      </c>
      <c r="C15969" s="1" t="n">
        <v>45657</v>
      </c>
      <c r="D15969" t="inlineStr">
        <is>
          <t>VÄSTERNORRLANDS LÄN</t>
        </is>
      </c>
      <c r="E15969" t="inlineStr">
        <is>
          <t>SUNDSVALL</t>
        </is>
      </c>
      <c r="G15969" t="n">
        <v>5.5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53191-2024</t>
        </is>
      </c>
      <c r="B15970" s="1" t="n">
        <v>45611</v>
      </c>
      <c r="C15970" s="1" t="n">
        <v>45657</v>
      </c>
      <c r="D15970" t="inlineStr">
        <is>
          <t>VÄSTERNORRLANDS LÄN</t>
        </is>
      </c>
      <c r="E15970" t="inlineStr">
        <is>
          <t>ÖRNSKÖLDSVIK</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53145-2024</t>
        </is>
      </c>
      <c r="B15971" s="1" t="n">
        <v>45611</v>
      </c>
      <c r="C15971" s="1" t="n">
        <v>45657</v>
      </c>
      <c r="D15971" t="inlineStr">
        <is>
          <t>VÄSTERNORRLANDS LÄN</t>
        </is>
      </c>
      <c r="E15971" t="inlineStr">
        <is>
          <t>ÅNGE</t>
        </is>
      </c>
      <c r="F15971" t="inlineStr">
        <is>
          <t>SCA</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53477-2024</t>
        </is>
      </c>
      <c r="B15972" s="1" t="n">
        <v>45611</v>
      </c>
      <c r="C15972" s="1" t="n">
        <v>45657</v>
      </c>
      <c r="D15972" t="inlineStr">
        <is>
          <t>VÄSTERNORRLANDS LÄN</t>
        </is>
      </c>
      <c r="E15972" t="inlineStr">
        <is>
          <t>SOLLEFTEÅ</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53483-2024</t>
        </is>
      </c>
      <c r="B15973" s="1" t="n">
        <v>45611</v>
      </c>
      <c r="C15973" s="1" t="n">
        <v>45657</v>
      </c>
      <c r="D15973" t="inlineStr">
        <is>
          <t>VÄSTERNORRLANDS LÄN</t>
        </is>
      </c>
      <c r="E15973" t="inlineStr">
        <is>
          <t>SOLLEFTEÅ</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53165-2024</t>
        </is>
      </c>
      <c r="B15974" s="1" t="n">
        <v>45611</v>
      </c>
      <c r="C15974" s="1" t="n">
        <v>45657</v>
      </c>
      <c r="D15974" t="inlineStr">
        <is>
          <t>VÄSTERNORRLANDS LÄN</t>
        </is>
      </c>
      <c r="E15974" t="inlineStr">
        <is>
          <t>SOLLEFTEÅ</t>
        </is>
      </c>
      <c r="F15974" t="inlineStr">
        <is>
          <t>Holmen skog AB</t>
        </is>
      </c>
      <c r="G15974" t="n">
        <v>12.2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53089-2024</t>
        </is>
      </c>
      <c r="B15975" s="1" t="n">
        <v>45611</v>
      </c>
      <c r="C15975" s="1" t="n">
        <v>45657</v>
      </c>
      <c r="D15975" t="inlineStr">
        <is>
          <t>VÄSTERNORRLANDS LÄN</t>
        </is>
      </c>
      <c r="E15975" t="inlineStr">
        <is>
          <t>HÄRNÖSAND</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53068-2024</t>
        </is>
      </c>
      <c r="B15976" s="1" t="n">
        <v>45611</v>
      </c>
      <c r="C15976" s="1" t="n">
        <v>45657</v>
      </c>
      <c r="D15976" t="inlineStr">
        <is>
          <t>VÄSTERNORRLANDS LÄN</t>
        </is>
      </c>
      <c r="E15976" t="inlineStr">
        <is>
          <t>ÖRNSKÖLDSVIK</t>
        </is>
      </c>
      <c r="F15976" t="inlineStr">
        <is>
          <t>Holmen skog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53017-2024</t>
        </is>
      </c>
      <c r="B15977" s="1" t="n">
        <v>45611</v>
      </c>
      <c r="C15977" s="1" t="n">
        <v>45657</v>
      </c>
      <c r="D15977" t="inlineStr">
        <is>
          <t>VÄSTERNORRLANDS LÄN</t>
        </is>
      </c>
      <c r="E15977" t="inlineStr">
        <is>
          <t>ÅNGE</t>
        </is>
      </c>
      <c r="F15977" t="inlineStr">
        <is>
          <t>SCA</t>
        </is>
      </c>
      <c r="G15977" t="n">
        <v>5.5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53004-2024</t>
        </is>
      </c>
      <c r="B15978" s="1" t="n">
        <v>45611</v>
      </c>
      <c r="C15978" s="1" t="n">
        <v>45657</v>
      </c>
      <c r="D15978" t="inlineStr">
        <is>
          <t>VÄSTERNORRLANDS LÄN</t>
        </is>
      </c>
      <c r="E15978" t="inlineStr">
        <is>
          <t>ÖRNSKÖLDSVIK</t>
        </is>
      </c>
      <c r="F15978" t="inlineStr">
        <is>
          <t>Holmen skog AB</t>
        </is>
      </c>
      <c r="G15978" t="n">
        <v>10</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53160-2024</t>
        </is>
      </c>
      <c r="B15979" s="1" t="n">
        <v>45611</v>
      </c>
      <c r="C15979" s="1" t="n">
        <v>45657</v>
      </c>
      <c r="D15979" t="inlineStr">
        <is>
          <t>VÄSTERNORRLANDS LÄN</t>
        </is>
      </c>
      <c r="E15979" t="inlineStr">
        <is>
          <t>ÖRNSKÖLDSVIK</t>
        </is>
      </c>
      <c r="F15979" t="inlineStr">
        <is>
          <t>Holmen skog AB</t>
        </is>
      </c>
      <c r="G15979" t="n">
        <v>11.5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53120-2024</t>
        </is>
      </c>
      <c r="B15980" s="1" t="n">
        <v>45611</v>
      </c>
      <c r="C15980" s="1" t="n">
        <v>45657</v>
      </c>
      <c r="D15980" t="inlineStr">
        <is>
          <t>VÄSTERNORRLANDS LÄN</t>
        </is>
      </c>
      <c r="E15980" t="inlineStr">
        <is>
          <t>SOLLEFTEÅ</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53112-2024</t>
        </is>
      </c>
      <c r="B15981" s="1" t="n">
        <v>45611</v>
      </c>
      <c r="C15981" s="1" t="n">
        <v>45657</v>
      </c>
      <c r="D15981" t="inlineStr">
        <is>
          <t>VÄSTERNORRLANDS LÄN</t>
        </is>
      </c>
      <c r="E15981" t="inlineStr">
        <is>
          <t>ÖRNSKÖLDSVIK</t>
        </is>
      </c>
      <c r="F15981" t="inlineStr">
        <is>
          <t>Holmen skog AB</t>
        </is>
      </c>
      <c r="G15981" t="n">
        <v>5.8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52982-2024</t>
        </is>
      </c>
      <c r="B15982" s="1" t="n">
        <v>45611</v>
      </c>
      <c r="C15982" s="1" t="n">
        <v>45657</v>
      </c>
      <c r="D15982" t="inlineStr">
        <is>
          <t>VÄSTERNORRLANDS LÄN</t>
        </is>
      </c>
      <c r="E15982" t="inlineStr">
        <is>
          <t>ÖRNSKÖLDSVIK</t>
        </is>
      </c>
      <c r="F15982" t="inlineStr">
        <is>
          <t>Holmen skog AB</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52977-2024</t>
        </is>
      </c>
      <c r="B15983" s="1" t="n">
        <v>45611</v>
      </c>
      <c r="C15983" s="1" t="n">
        <v>45657</v>
      </c>
      <c r="D15983" t="inlineStr">
        <is>
          <t>VÄSTERNORRLANDS LÄN</t>
        </is>
      </c>
      <c r="E15983" t="inlineStr">
        <is>
          <t>KRAMFORS</t>
        </is>
      </c>
      <c r="G15983" t="n">
        <v>5.8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53212-2024</t>
        </is>
      </c>
      <c r="B15984" s="1" t="n">
        <v>45612</v>
      </c>
      <c r="C15984" s="1" t="n">
        <v>45657</v>
      </c>
      <c r="D15984" t="inlineStr">
        <is>
          <t>VÄSTERNORRLANDS LÄN</t>
        </is>
      </c>
      <c r="E15984" t="inlineStr">
        <is>
          <t>SOLLEFTEÅ</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53206-2024</t>
        </is>
      </c>
      <c r="B15985" s="1" t="n">
        <v>45612</v>
      </c>
      <c r="C15985" s="1" t="n">
        <v>45657</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53210-2024</t>
        </is>
      </c>
      <c r="B15986" s="1" t="n">
        <v>45612</v>
      </c>
      <c r="C15986" s="1" t="n">
        <v>45657</v>
      </c>
      <c r="D15986" t="inlineStr">
        <is>
          <t>VÄSTERNORRLANDS LÄN</t>
        </is>
      </c>
      <c r="E15986" t="inlineStr">
        <is>
          <t>SOLLEFTEÅ</t>
        </is>
      </c>
      <c r="F15986" t="inlineStr">
        <is>
          <t>SCA</t>
        </is>
      </c>
      <c r="G15986" t="n">
        <v>6.2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53209-2024</t>
        </is>
      </c>
      <c r="B15987" s="1" t="n">
        <v>45612</v>
      </c>
      <c r="C15987" s="1" t="n">
        <v>45657</v>
      </c>
      <c r="D15987" t="inlineStr">
        <is>
          <t>VÄSTERNORRLANDS LÄN</t>
        </is>
      </c>
      <c r="E15987" t="inlineStr">
        <is>
          <t>ÅNGE</t>
        </is>
      </c>
      <c r="F15987" t="inlineStr">
        <is>
          <t>SCA</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53339-2024</t>
        </is>
      </c>
      <c r="B15988" s="1" t="n">
        <v>45614</v>
      </c>
      <c r="C15988" s="1" t="n">
        <v>45657</v>
      </c>
      <c r="D15988" t="inlineStr">
        <is>
          <t>VÄSTERNORRLANDS LÄN</t>
        </is>
      </c>
      <c r="E15988" t="inlineStr">
        <is>
          <t>SUNDSVALL</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53327-2024</t>
        </is>
      </c>
      <c r="B15989" s="1" t="n">
        <v>45614</v>
      </c>
      <c r="C15989" s="1" t="n">
        <v>45657</v>
      </c>
      <c r="D15989" t="inlineStr">
        <is>
          <t>VÄSTERNORRLANDS LÄN</t>
        </is>
      </c>
      <c r="E15989" t="inlineStr">
        <is>
          <t>SOLLEFTEÅ</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53303-2024</t>
        </is>
      </c>
      <c r="B15990" s="1" t="n">
        <v>45614</v>
      </c>
      <c r="C15990" s="1" t="n">
        <v>45657</v>
      </c>
      <c r="D15990" t="inlineStr">
        <is>
          <t>VÄSTERNORRLANDS LÄN</t>
        </is>
      </c>
      <c r="E15990" t="inlineStr">
        <is>
          <t>TIMRÅ</t>
        </is>
      </c>
      <c r="F15990" t="inlineStr">
        <is>
          <t>SCA</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53299-2024</t>
        </is>
      </c>
      <c r="B15991" s="1" t="n">
        <v>45614</v>
      </c>
      <c r="C15991" s="1" t="n">
        <v>45657</v>
      </c>
      <c r="D15991" t="inlineStr">
        <is>
          <t>VÄSTERNORRLANDS LÄN</t>
        </is>
      </c>
      <c r="E15991" t="inlineStr">
        <is>
          <t>TIMRÅ</t>
        </is>
      </c>
      <c r="F15991" t="inlineStr">
        <is>
          <t>SCA</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53403-2024</t>
        </is>
      </c>
      <c r="B15992" s="1" t="n">
        <v>45614</v>
      </c>
      <c r="C15992" s="1" t="n">
        <v>45657</v>
      </c>
      <c r="D15992" t="inlineStr">
        <is>
          <t>VÄSTERNORRLANDS LÄN</t>
        </is>
      </c>
      <c r="E15992" t="inlineStr">
        <is>
          <t>SUNDSVALL</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53336-2024</t>
        </is>
      </c>
      <c r="B15993" s="1" t="n">
        <v>45614</v>
      </c>
      <c r="C15993" s="1" t="n">
        <v>45657</v>
      </c>
      <c r="D15993" t="inlineStr">
        <is>
          <t>VÄSTERNORRLANDS LÄN</t>
        </is>
      </c>
      <c r="E15993" t="inlineStr">
        <is>
          <t>ÅNGE</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53332-2024</t>
        </is>
      </c>
      <c r="B15994" s="1" t="n">
        <v>45614</v>
      </c>
      <c r="C15994" s="1" t="n">
        <v>45657</v>
      </c>
      <c r="D15994" t="inlineStr">
        <is>
          <t>VÄSTERNORRLANDS LÄN</t>
        </is>
      </c>
      <c r="E15994" t="inlineStr">
        <is>
          <t>SOLLEFTEÅ</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53292-2024</t>
        </is>
      </c>
      <c r="B15995" s="1" t="n">
        <v>45614</v>
      </c>
      <c r="C15995" s="1" t="n">
        <v>45657</v>
      </c>
      <c r="D15995" t="inlineStr">
        <is>
          <t>VÄSTERNORRLANDS LÄN</t>
        </is>
      </c>
      <c r="E15995" t="inlineStr">
        <is>
          <t>TIMRÅ</t>
        </is>
      </c>
      <c r="F15995" t="inlineStr">
        <is>
          <t>SCA</t>
        </is>
      </c>
      <c r="G15995" t="n">
        <v>6.9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53563-2024</t>
        </is>
      </c>
      <c r="B15996" s="1" t="n">
        <v>45614</v>
      </c>
      <c r="C15996" s="1" t="n">
        <v>45657</v>
      </c>
      <c r="D15996" t="inlineStr">
        <is>
          <t>VÄSTERNORRLANDS LÄN</t>
        </is>
      </c>
      <c r="E15996" t="inlineStr">
        <is>
          <t>ÅNGE</t>
        </is>
      </c>
      <c r="F15996" t="inlineStr">
        <is>
          <t>SCA</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53376-2024</t>
        </is>
      </c>
      <c r="B15997" s="1" t="n">
        <v>45614</v>
      </c>
      <c r="C15997" s="1" t="n">
        <v>45657</v>
      </c>
      <c r="D15997" t="inlineStr">
        <is>
          <t>VÄSTERNORRLANDS LÄN</t>
        </is>
      </c>
      <c r="E15997" t="inlineStr">
        <is>
          <t>HÄRNÖSAND</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53441-2024</t>
        </is>
      </c>
      <c r="B15998" s="1" t="n">
        <v>45614</v>
      </c>
      <c r="C15998" s="1" t="n">
        <v>45657</v>
      </c>
      <c r="D15998" t="inlineStr">
        <is>
          <t>VÄSTERNORRLANDS LÄN</t>
        </is>
      </c>
      <c r="E15998" t="inlineStr">
        <is>
          <t>ÖRNSKÖLDSVIK</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53417-2024</t>
        </is>
      </c>
      <c r="B15999" s="1" t="n">
        <v>45614</v>
      </c>
      <c r="C15999" s="1" t="n">
        <v>45657</v>
      </c>
      <c r="D15999" t="inlineStr">
        <is>
          <t>VÄSTERNORRLANDS LÄN</t>
        </is>
      </c>
      <c r="E15999" t="inlineStr">
        <is>
          <t>ÅNGE</t>
        </is>
      </c>
      <c r="G15999" t="n">
        <v>5.7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53334-2024</t>
        </is>
      </c>
      <c r="B16000" s="1" t="n">
        <v>45614</v>
      </c>
      <c r="C16000" s="1" t="n">
        <v>45657</v>
      </c>
      <c r="D16000" t="inlineStr">
        <is>
          <t>VÄSTERNORRLANDS LÄN</t>
        </is>
      </c>
      <c r="E16000" t="inlineStr">
        <is>
          <t>SOLLEFTEÅ</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53330-2024</t>
        </is>
      </c>
      <c r="B16001" s="1" t="n">
        <v>45614</v>
      </c>
      <c r="C16001" s="1" t="n">
        <v>45657</v>
      </c>
      <c r="D16001" t="inlineStr">
        <is>
          <t>VÄSTERNORRLANDS LÄN</t>
        </is>
      </c>
      <c r="E16001" t="inlineStr">
        <is>
          <t>SOLLEFTEÅ</t>
        </is>
      </c>
      <c r="G16001" t="n">
        <v>8.5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53302-2024</t>
        </is>
      </c>
      <c r="B16002" s="1" t="n">
        <v>45614</v>
      </c>
      <c r="C16002" s="1" t="n">
        <v>45657</v>
      </c>
      <c r="D16002" t="inlineStr">
        <is>
          <t>VÄSTERNORRLANDS LÄN</t>
        </is>
      </c>
      <c r="E16002" t="inlineStr">
        <is>
          <t>TIMRÅ</t>
        </is>
      </c>
      <c r="F16002" t="inlineStr">
        <is>
          <t>SCA</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53298-2024</t>
        </is>
      </c>
      <c r="B16003" s="1" t="n">
        <v>45614</v>
      </c>
      <c r="C16003" s="1" t="n">
        <v>45657</v>
      </c>
      <c r="D16003" t="inlineStr">
        <is>
          <t>VÄSTERNORRLANDS LÄN</t>
        </is>
      </c>
      <c r="E16003" t="inlineStr">
        <is>
          <t>TIMRÅ</t>
        </is>
      </c>
      <c r="F16003" t="inlineStr">
        <is>
          <t>SCA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53294-2024</t>
        </is>
      </c>
      <c r="B16004" s="1" t="n">
        <v>45614</v>
      </c>
      <c r="C16004" s="1" t="n">
        <v>45657</v>
      </c>
      <c r="D16004" t="inlineStr">
        <is>
          <t>VÄSTERNORRLANDS LÄN</t>
        </is>
      </c>
      <c r="E16004" t="inlineStr">
        <is>
          <t>TIMRÅ</t>
        </is>
      </c>
      <c r="F16004" t="inlineStr">
        <is>
          <t>SCA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53289-2024</t>
        </is>
      </c>
      <c r="B16005" s="1" t="n">
        <v>45614</v>
      </c>
      <c r="C16005" s="1" t="n">
        <v>45657</v>
      </c>
      <c r="D16005" t="inlineStr">
        <is>
          <t>VÄSTERNORRLANDS LÄN</t>
        </is>
      </c>
      <c r="E16005" t="inlineStr">
        <is>
          <t>TIMRÅ</t>
        </is>
      </c>
      <c r="F16005" t="inlineStr">
        <is>
          <t>SCA</t>
        </is>
      </c>
      <c r="G16005" t="n">
        <v>7.8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53575-2024</t>
        </is>
      </c>
      <c r="B16006" s="1" t="n">
        <v>45614</v>
      </c>
      <c r="C16006" s="1" t="n">
        <v>45657</v>
      </c>
      <c r="D16006" t="inlineStr">
        <is>
          <t>VÄSTERNORRLANDS LÄN</t>
        </is>
      </c>
      <c r="E16006" t="inlineStr">
        <is>
          <t>KRAMFORS</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53558-2024</t>
        </is>
      </c>
      <c r="B16007" s="1" t="n">
        <v>45614</v>
      </c>
      <c r="C16007" s="1" t="n">
        <v>45657</v>
      </c>
      <c r="D16007" t="inlineStr">
        <is>
          <t>VÄSTERNORRLANDS LÄN</t>
        </is>
      </c>
      <c r="E16007" t="inlineStr">
        <is>
          <t>KRAMFORS</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53545-2024</t>
        </is>
      </c>
      <c r="B16008" s="1" t="n">
        <v>45614</v>
      </c>
      <c r="C16008" s="1" t="n">
        <v>45657</v>
      </c>
      <c r="D16008" t="inlineStr">
        <is>
          <t>VÄSTERNORRLANDS LÄN</t>
        </is>
      </c>
      <c r="E16008" t="inlineStr">
        <is>
          <t>SOLLEFTEÅ</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53341-2024</t>
        </is>
      </c>
      <c r="B16009" s="1" t="n">
        <v>45614</v>
      </c>
      <c r="C16009" s="1" t="n">
        <v>45657</v>
      </c>
      <c r="D16009" t="inlineStr">
        <is>
          <t>VÄSTERNORRLANDS LÄN</t>
        </is>
      </c>
      <c r="E16009" t="inlineStr">
        <is>
          <t>SUNDSVALL</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53325-2024</t>
        </is>
      </c>
      <c r="B16010" s="1" t="n">
        <v>45614</v>
      </c>
      <c r="C16010" s="1" t="n">
        <v>45657</v>
      </c>
      <c r="D16010" t="inlineStr">
        <is>
          <t>VÄSTERNORRLANDS LÄN</t>
        </is>
      </c>
      <c r="E16010" t="inlineStr">
        <is>
          <t>SOLLEFTEÅ</t>
        </is>
      </c>
      <c r="G16010" t="n">
        <v>9.6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53321-2024</t>
        </is>
      </c>
      <c r="B16011" s="1" t="n">
        <v>45614</v>
      </c>
      <c r="C16011" s="1" t="n">
        <v>45657</v>
      </c>
      <c r="D16011" t="inlineStr">
        <is>
          <t>VÄSTERNORRLANDS LÄN</t>
        </is>
      </c>
      <c r="E16011" t="inlineStr">
        <is>
          <t>SOLLEFTEÅ</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53301-2024</t>
        </is>
      </c>
      <c r="B16012" s="1" t="n">
        <v>45614</v>
      </c>
      <c r="C16012" s="1" t="n">
        <v>45657</v>
      </c>
      <c r="D16012" t="inlineStr">
        <is>
          <t>VÄSTERNORRLANDS LÄN</t>
        </is>
      </c>
      <c r="E16012" t="inlineStr">
        <is>
          <t>TIMRÅ</t>
        </is>
      </c>
      <c r="F16012" t="inlineStr">
        <is>
          <t>SCA</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53293-2024</t>
        </is>
      </c>
      <c r="B16013" s="1" t="n">
        <v>45614</v>
      </c>
      <c r="C16013" s="1" t="n">
        <v>45657</v>
      </c>
      <c r="D16013" t="inlineStr">
        <is>
          <t>VÄSTERNORRLANDS LÄN</t>
        </is>
      </c>
      <c r="E16013" t="inlineStr">
        <is>
          <t>TIMRÅ</t>
        </is>
      </c>
      <c r="F16013" t="inlineStr">
        <is>
          <t>SCA</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53288-2024</t>
        </is>
      </c>
      <c r="B16014" s="1" t="n">
        <v>45614</v>
      </c>
      <c r="C16014" s="1" t="n">
        <v>45657</v>
      </c>
      <c r="D16014" t="inlineStr">
        <is>
          <t>VÄSTERNORRLANDS LÄN</t>
        </is>
      </c>
      <c r="E16014" t="inlineStr">
        <is>
          <t>TIMRÅ</t>
        </is>
      </c>
      <c r="F16014" t="inlineStr">
        <is>
          <t>SCA</t>
        </is>
      </c>
      <c r="G16014" t="n">
        <v>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53710-2024</t>
        </is>
      </c>
      <c r="B16015" s="1" t="n">
        <v>45615</v>
      </c>
      <c r="C16015" s="1" t="n">
        <v>45657</v>
      </c>
      <c r="D16015" t="inlineStr">
        <is>
          <t>VÄSTERNORRLANDS LÄN</t>
        </is>
      </c>
      <c r="E16015" t="inlineStr">
        <is>
          <t>SUNDSVALL</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53687-2024</t>
        </is>
      </c>
      <c r="B16016" s="1" t="n">
        <v>45615</v>
      </c>
      <c r="C16016" s="1" t="n">
        <v>45657</v>
      </c>
      <c r="D16016" t="inlineStr">
        <is>
          <t>VÄSTERNORRLANDS LÄN</t>
        </is>
      </c>
      <c r="E16016" t="inlineStr">
        <is>
          <t>ÖRNSKÖLDSVIK</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53704-2024</t>
        </is>
      </c>
      <c r="B16017" s="1" t="n">
        <v>45615</v>
      </c>
      <c r="C16017" s="1" t="n">
        <v>45657</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53830-2024</t>
        </is>
      </c>
      <c r="B16018" s="1" t="n">
        <v>45615</v>
      </c>
      <c r="C16018" s="1" t="n">
        <v>45657</v>
      </c>
      <c r="D16018" t="inlineStr">
        <is>
          <t>VÄSTERNORRLANDS LÄN</t>
        </is>
      </c>
      <c r="E16018" t="inlineStr">
        <is>
          <t>ÅNGE</t>
        </is>
      </c>
      <c r="F16018" t="inlineStr">
        <is>
          <t>SCA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53856-2024</t>
        </is>
      </c>
      <c r="B16019" s="1" t="n">
        <v>45615</v>
      </c>
      <c r="C16019" s="1" t="n">
        <v>45657</v>
      </c>
      <c r="D16019" t="inlineStr">
        <is>
          <t>VÄSTERNORRLANDS LÄN</t>
        </is>
      </c>
      <c r="E16019" t="inlineStr">
        <is>
          <t>ÅNGE</t>
        </is>
      </c>
      <c r="F16019" t="inlineStr">
        <is>
          <t>SCA</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53728-2024</t>
        </is>
      </c>
      <c r="B16020" s="1" t="n">
        <v>45615</v>
      </c>
      <c r="C16020" s="1" t="n">
        <v>45657</v>
      </c>
      <c r="D16020" t="inlineStr">
        <is>
          <t>VÄSTERNORRLANDS LÄN</t>
        </is>
      </c>
      <c r="E16020" t="inlineStr">
        <is>
          <t>KRAMFORS</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53699-2024</t>
        </is>
      </c>
      <c r="B16021" s="1" t="n">
        <v>45615</v>
      </c>
      <c r="C16021" s="1" t="n">
        <v>45657</v>
      </c>
      <c r="D16021" t="inlineStr">
        <is>
          <t>VÄSTERNORRLANDS LÄN</t>
        </is>
      </c>
      <c r="E16021" t="inlineStr">
        <is>
          <t>HÄRNÖSAND</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53694-2024</t>
        </is>
      </c>
      <c r="B16022" s="1" t="n">
        <v>45615</v>
      </c>
      <c r="C16022" s="1" t="n">
        <v>45657</v>
      </c>
      <c r="D16022" t="inlineStr">
        <is>
          <t>VÄSTERNORRLANDS LÄN</t>
        </is>
      </c>
      <c r="E16022" t="inlineStr">
        <is>
          <t>ÖRNSKÖLDSVIK</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53831-2024</t>
        </is>
      </c>
      <c r="B16023" s="1" t="n">
        <v>45615</v>
      </c>
      <c r="C16023" s="1" t="n">
        <v>45657</v>
      </c>
      <c r="D16023" t="inlineStr">
        <is>
          <t>VÄSTERNORRLANDS LÄN</t>
        </is>
      </c>
      <c r="E16023" t="inlineStr">
        <is>
          <t>SOLLEFTEÅ</t>
        </is>
      </c>
      <c r="F16023" t="inlineStr">
        <is>
          <t>SCA</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53858-2024</t>
        </is>
      </c>
      <c r="B16024" s="1" t="n">
        <v>45615</v>
      </c>
      <c r="C16024" s="1" t="n">
        <v>45657</v>
      </c>
      <c r="D16024" t="inlineStr">
        <is>
          <t>VÄSTERNORRLANDS LÄN</t>
        </is>
      </c>
      <c r="E16024" t="inlineStr">
        <is>
          <t>ÅNGE</t>
        </is>
      </c>
      <c r="F16024" t="inlineStr">
        <is>
          <t>SCA</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53668-2024</t>
        </is>
      </c>
      <c r="B16025" s="1" t="n">
        <v>45615</v>
      </c>
      <c r="C16025" s="1" t="n">
        <v>45657</v>
      </c>
      <c r="D16025" t="inlineStr">
        <is>
          <t>VÄSTERNORRLANDS LÄN</t>
        </is>
      </c>
      <c r="E16025" t="inlineStr">
        <is>
          <t>KRAMFORS</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53693-2024</t>
        </is>
      </c>
      <c r="B16026" s="1" t="n">
        <v>45615</v>
      </c>
      <c r="C16026" s="1" t="n">
        <v>45657</v>
      </c>
      <c r="D16026" t="inlineStr">
        <is>
          <t>VÄSTERNORRLANDS LÄN</t>
        </is>
      </c>
      <c r="E16026" t="inlineStr">
        <is>
          <t>ÖRNSKÖLDSVIK</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53689-2024</t>
        </is>
      </c>
      <c r="B16027" s="1" t="n">
        <v>45615</v>
      </c>
      <c r="C16027" s="1" t="n">
        <v>45657</v>
      </c>
      <c r="D16027" t="inlineStr">
        <is>
          <t>VÄSTERNORRLANDS LÄN</t>
        </is>
      </c>
      <c r="E16027" t="inlineStr">
        <is>
          <t>ÖRNSKÖLDSVIK</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53684-2024</t>
        </is>
      </c>
      <c r="B16028" s="1" t="n">
        <v>45615</v>
      </c>
      <c r="C16028" s="1" t="n">
        <v>45657</v>
      </c>
      <c r="D16028" t="inlineStr">
        <is>
          <t>VÄSTERNORRLANDS LÄN</t>
        </is>
      </c>
      <c r="E16028" t="inlineStr">
        <is>
          <t>KRAMFORS</t>
        </is>
      </c>
      <c r="G16028" t="n">
        <v>6.9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53855-2024</t>
        </is>
      </c>
      <c r="B16029" s="1" t="n">
        <v>45615</v>
      </c>
      <c r="C16029" s="1" t="n">
        <v>45657</v>
      </c>
      <c r="D16029" t="inlineStr">
        <is>
          <t>VÄSTERNORRLANDS LÄN</t>
        </is>
      </c>
      <c r="E16029" t="inlineStr">
        <is>
          <t>SOLLEFTEÅ</t>
        </is>
      </c>
      <c r="F16029" t="inlineStr">
        <is>
          <t>SCA</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53705-2024</t>
        </is>
      </c>
      <c r="B16030" s="1" t="n">
        <v>45615</v>
      </c>
      <c r="C16030" s="1" t="n">
        <v>45657</v>
      </c>
      <c r="D16030" t="inlineStr">
        <is>
          <t>VÄSTERNORRLANDS LÄN</t>
        </is>
      </c>
      <c r="E16030" t="inlineStr">
        <is>
          <t>ÖRNSKÖLDSVIK</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54177-2024</t>
        </is>
      </c>
      <c r="B16031" s="1" t="n">
        <v>45616</v>
      </c>
      <c r="C16031" s="1" t="n">
        <v>45657</v>
      </c>
      <c r="D16031" t="inlineStr">
        <is>
          <t>VÄSTERNORRLANDS LÄN</t>
        </is>
      </c>
      <c r="E16031" t="inlineStr">
        <is>
          <t>SOLLEFTEÅ</t>
        </is>
      </c>
      <c r="F16031" t="inlineStr">
        <is>
          <t>SCA</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54259-2024</t>
        </is>
      </c>
      <c r="B16032" s="1" t="n">
        <v>45616</v>
      </c>
      <c r="C16032" s="1" t="n">
        <v>45657</v>
      </c>
      <c r="D16032" t="inlineStr">
        <is>
          <t>VÄSTERNORRLANDS LÄN</t>
        </is>
      </c>
      <c r="E16032" t="inlineStr">
        <is>
          <t>HÄRNÖSAND</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54002-2024</t>
        </is>
      </c>
      <c r="B16033" s="1" t="n">
        <v>45616</v>
      </c>
      <c r="C16033" s="1" t="n">
        <v>45657</v>
      </c>
      <c r="D16033" t="inlineStr">
        <is>
          <t>VÄSTERNORRLANDS LÄN</t>
        </is>
      </c>
      <c r="E16033" t="inlineStr">
        <is>
          <t>ÅNGE</t>
        </is>
      </c>
      <c r="F16033" t="inlineStr">
        <is>
          <t>SCA</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54059-2024</t>
        </is>
      </c>
      <c r="B16034" s="1" t="n">
        <v>45616</v>
      </c>
      <c r="C16034" s="1" t="n">
        <v>45657</v>
      </c>
      <c r="D16034" t="inlineStr">
        <is>
          <t>VÄSTERNORRLANDS LÄN</t>
        </is>
      </c>
      <c r="E16034" t="inlineStr">
        <is>
          <t>ÅNGE</t>
        </is>
      </c>
      <c r="F16034" t="inlineStr">
        <is>
          <t>SCA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54086-2024</t>
        </is>
      </c>
      <c r="B16035" s="1" t="n">
        <v>45616</v>
      </c>
      <c r="C16035" s="1" t="n">
        <v>45657</v>
      </c>
      <c r="D16035" t="inlineStr">
        <is>
          <t>VÄSTERNORRLANDS LÄN</t>
        </is>
      </c>
      <c r="E16035" t="inlineStr">
        <is>
          <t>SUNDSVALL</t>
        </is>
      </c>
      <c r="G16035" t="n">
        <v>7.6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54094-2024</t>
        </is>
      </c>
      <c r="B16036" s="1" t="n">
        <v>45616</v>
      </c>
      <c r="C16036" s="1" t="n">
        <v>45657</v>
      </c>
      <c r="D16036" t="inlineStr">
        <is>
          <t>VÄSTERNORRLANDS LÄN</t>
        </is>
      </c>
      <c r="E16036" t="inlineStr">
        <is>
          <t>SOLLEFTEÅ</t>
        </is>
      </c>
      <c r="F16036" t="inlineStr">
        <is>
          <t>SCA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54138-2024</t>
        </is>
      </c>
      <c r="B16037" s="1" t="n">
        <v>45616</v>
      </c>
      <c r="C16037" s="1" t="n">
        <v>45657</v>
      </c>
      <c r="D16037" t="inlineStr">
        <is>
          <t>VÄSTERNORRLANDS LÄN</t>
        </is>
      </c>
      <c r="E16037" t="inlineStr">
        <is>
          <t>ÖRNSKÖLDSVIK</t>
        </is>
      </c>
      <c r="F16037" t="inlineStr">
        <is>
          <t>SCA</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54210-2024</t>
        </is>
      </c>
      <c r="B16038" s="1" t="n">
        <v>45616</v>
      </c>
      <c r="C16038" s="1" t="n">
        <v>45657</v>
      </c>
      <c r="D16038" t="inlineStr">
        <is>
          <t>VÄSTERNORRLANDS LÄN</t>
        </is>
      </c>
      <c r="E16038" t="inlineStr">
        <is>
          <t>ÅNGE</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54234-2024</t>
        </is>
      </c>
      <c r="B16039" s="1" t="n">
        <v>45616</v>
      </c>
      <c r="C16039" s="1" t="n">
        <v>45657</v>
      </c>
      <c r="D16039" t="inlineStr">
        <is>
          <t>VÄSTERNORRLANDS LÄN</t>
        </is>
      </c>
      <c r="E16039" t="inlineStr">
        <is>
          <t>SOLLEFTEÅ</t>
        </is>
      </c>
      <c r="F16039" t="inlineStr">
        <is>
          <t>SCA</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54238-2024</t>
        </is>
      </c>
      <c r="B16040" s="1" t="n">
        <v>45616</v>
      </c>
      <c r="C16040" s="1" t="n">
        <v>45657</v>
      </c>
      <c r="D16040" t="inlineStr">
        <is>
          <t>VÄSTERNORRLANDS LÄN</t>
        </is>
      </c>
      <c r="E16040" t="inlineStr">
        <is>
          <t>SOLLEFTEÅ</t>
        </is>
      </c>
      <c r="F16040" t="inlineStr">
        <is>
          <t>SCA</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53976-2024</t>
        </is>
      </c>
      <c r="B16041" s="1" t="n">
        <v>45616</v>
      </c>
      <c r="C16041" s="1" t="n">
        <v>45657</v>
      </c>
      <c r="D16041" t="inlineStr">
        <is>
          <t>VÄSTERNORRLANDS LÄN</t>
        </is>
      </c>
      <c r="E16041" t="inlineStr">
        <is>
          <t>ÖRNSKÖLDSVIK</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53988-2024</t>
        </is>
      </c>
      <c r="B16042" s="1" t="n">
        <v>45616</v>
      </c>
      <c r="C16042" s="1" t="n">
        <v>45657</v>
      </c>
      <c r="D16042" t="inlineStr">
        <is>
          <t>VÄSTERNORRLANDS LÄN</t>
        </is>
      </c>
      <c r="E16042" t="inlineStr">
        <is>
          <t>ÅNGE</t>
        </is>
      </c>
      <c r="F16042" t="inlineStr">
        <is>
          <t>SCA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54000-2024</t>
        </is>
      </c>
      <c r="B16043" s="1" t="n">
        <v>45616</v>
      </c>
      <c r="C16043" s="1" t="n">
        <v>45657</v>
      </c>
      <c r="D16043" t="inlineStr">
        <is>
          <t>VÄSTERNORRLANDS LÄN</t>
        </is>
      </c>
      <c r="E16043" t="inlineStr">
        <is>
          <t>ÖRNSKÖLDSVIK</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54285-2024</t>
        </is>
      </c>
      <c r="B16044" s="1" t="n">
        <v>45616</v>
      </c>
      <c r="C16044" s="1" t="n">
        <v>45657</v>
      </c>
      <c r="D16044" t="inlineStr">
        <is>
          <t>VÄSTERNORRLANDS LÄN</t>
        </is>
      </c>
      <c r="E16044" t="inlineStr">
        <is>
          <t>ÖRNSKÖLDSVIK</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53997-2024</t>
        </is>
      </c>
      <c r="B16045" s="1" t="n">
        <v>45616</v>
      </c>
      <c r="C16045" s="1" t="n">
        <v>45657</v>
      </c>
      <c r="D16045" t="inlineStr">
        <is>
          <t>VÄSTERNORRLANDS LÄN</t>
        </is>
      </c>
      <c r="E16045" t="inlineStr">
        <is>
          <t>ÖRNSKÖLDSVIK</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54073-2024</t>
        </is>
      </c>
      <c r="B16046" s="1" t="n">
        <v>45616</v>
      </c>
      <c r="C16046" s="1" t="n">
        <v>45657</v>
      </c>
      <c r="D16046" t="inlineStr">
        <is>
          <t>VÄSTERNORRLANDS LÄN</t>
        </is>
      </c>
      <c r="E16046" t="inlineStr">
        <is>
          <t>SOLLEFTEÅ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54148-2024</t>
        </is>
      </c>
      <c r="B16047" s="1" t="n">
        <v>45616</v>
      </c>
      <c r="C16047" s="1" t="n">
        <v>45657</v>
      </c>
      <c r="D16047" t="inlineStr">
        <is>
          <t>VÄSTERNORRLANDS LÄN</t>
        </is>
      </c>
      <c r="E16047" t="inlineStr">
        <is>
          <t>KRAMFORS</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54241-2024</t>
        </is>
      </c>
      <c r="B16048" s="1" t="n">
        <v>45616</v>
      </c>
      <c r="C16048" s="1" t="n">
        <v>45657</v>
      </c>
      <c r="D16048" t="inlineStr">
        <is>
          <t>VÄSTERNORRLANDS LÄN</t>
        </is>
      </c>
      <c r="E16048" t="inlineStr">
        <is>
          <t>SOLLEFTEÅ</t>
        </is>
      </c>
      <c r="F16048" t="inlineStr">
        <is>
          <t>SCA</t>
        </is>
      </c>
      <c r="G16048" t="n">
        <v>4.6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54233-2024</t>
        </is>
      </c>
      <c r="B16049" s="1" t="n">
        <v>45616</v>
      </c>
      <c r="C16049" s="1" t="n">
        <v>45657</v>
      </c>
      <c r="D16049" t="inlineStr">
        <is>
          <t>VÄSTERNORRLANDS LÄN</t>
        </is>
      </c>
      <c r="E16049" t="inlineStr">
        <is>
          <t>SOLLEFTEÅ</t>
        </is>
      </c>
      <c r="F16049" t="inlineStr">
        <is>
          <t>SCA</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54192-2024</t>
        </is>
      </c>
      <c r="B16050" s="1" t="n">
        <v>45616</v>
      </c>
      <c r="C16050" s="1" t="n">
        <v>45657</v>
      </c>
      <c r="D16050" t="inlineStr">
        <is>
          <t>VÄSTERNORRLANDS LÄN</t>
        </is>
      </c>
      <c r="E16050" t="inlineStr">
        <is>
          <t>ÖRNSKÖLDSVIK</t>
        </is>
      </c>
      <c r="F16050" t="inlineStr">
        <is>
          <t>Holmen skog AB</t>
        </is>
      </c>
      <c r="G16050" t="n">
        <v>8.1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54200-2024</t>
        </is>
      </c>
      <c r="B16051" s="1" t="n">
        <v>45616</v>
      </c>
      <c r="C16051" s="1" t="n">
        <v>45657</v>
      </c>
      <c r="D16051" t="inlineStr">
        <is>
          <t>VÄSTERNORRLANDS LÄN</t>
        </is>
      </c>
      <c r="E16051" t="inlineStr">
        <is>
          <t>ÖRNSKÖLDSVIK</t>
        </is>
      </c>
      <c r="F16051" t="inlineStr">
        <is>
          <t>Holmen skog AB</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54236-2024</t>
        </is>
      </c>
      <c r="B16052" s="1" t="n">
        <v>45616</v>
      </c>
      <c r="C16052" s="1" t="n">
        <v>45657</v>
      </c>
      <c r="D16052" t="inlineStr">
        <is>
          <t>VÄSTERNORRLANDS LÄN</t>
        </is>
      </c>
      <c r="E16052" t="inlineStr">
        <is>
          <t>TIMRÅ</t>
        </is>
      </c>
      <c r="F16052" t="inlineStr">
        <is>
          <t>SCA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54240-2024</t>
        </is>
      </c>
      <c r="B16053" s="1" t="n">
        <v>45616</v>
      </c>
      <c r="C16053" s="1" t="n">
        <v>45657</v>
      </c>
      <c r="D16053" t="inlineStr">
        <is>
          <t>VÄSTERNORRLANDS LÄN</t>
        </is>
      </c>
      <c r="E16053" t="inlineStr">
        <is>
          <t>SOLLEFTEÅ</t>
        </is>
      </c>
      <c r="F16053" t="inlineStr">
        <is>
          <t>SCA</t>
        </is>
      </c>
      <c r="G16053" t="n">
        <v>38.4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54041-2024</t>
        </is>
      </c>
      <c r="B16054" s="1" t="n">
        <v>45616</v>
      </c>
      <c r="C16054" s="1" t="n">
        <v>45657</v>
      </c>
      <c r="D16054" t="inlineStr">
        <is>
          <t>VÄSTERNORRLANDS LÄN</t>
        </is>
      </c>
      <c r="E16054" t="inlineStr">
        <is>
          <t>SUNDSVALL</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54045-2024</t>
        </is>
      </c>
      <c r="B16055" s="1" t="n">
        <v>45616</v>
      </c>
      <c r="C16055" s="1" t="n">
        <v>45657</v>
      </c>
      <c r="D16055" t="inlineStr">
        <is>
          <t>VÄSTERNORRLANDS LÄN</t>
        </is>
      </c>
      <c r="E16055" t="inlineStr">
        <is>
          <t>KRAMFORS</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54091-2024</t>
        </is>
      </c>
      <c r="B16056" s="1" t="n">
        <v>45616</v>
      </c>
      <c r="C16056" s="1" t="n">
        <v>45657</v>
      </c>
      <c r="D16056" t="inlineStr">
        <is>
          <t>VÄSTERNORRLANDS LÄN</t>
        </is>
      </c>
      <c r="E16056" t="inlineStr">
        <is>
          <t>HÄRNÖSAND</t>
        </is>
      </c>
      <c r="F16056" t="inlineStr">
        <is>
          <t>SCA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54235-2024</t>
        </is>
      </c>
      <c r="B16057" s="1" t="n">
        <v>45616</v>
      </c>
      <c r="C16057" s="1" t="n">
        <v>45657</v>
      </c>
      <c r="D16057" t="inlineStr">
        <is>
          <t>VÄSTERNORRLANDS LÄN</t>
        </is>
      </c>
      <c r="E16057" t="inlineStr">
        <is>
          <t>SOLLEFTEÅ</t>
        </is>
      </c>
      <c r="F16057" t="inlineStr">
        <is>
          <t>SCA</t>
        </is>
      </c>
      <c r="G16057" t="n">
        <v>0.1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54231-2024</t>
        </is>
      </c>
      <c r="B16058" s="1" t="n">
        <v>45616</v>
      </c>
      <c r="C16058" s="1" t="n">
        <v>45657</v>
      </c>
      <c r="D16058" t="inlineStr">
        <is>
          <t>VÄSTERNORRLANDS LÄN</t>
        </is>
      </c>
      <c r="E16058" t="inlineStr">
        <is>
          <t>SOLLEFTEÅ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54295-2024</t>
        </is>
      </c>
      <c r="B16059" s="1" t="n">
        <v>45617</v>
      </c>
      <c r="C16059" s="1" t="n">
        <v>45657</v>
      </c>
      <c r="D16059" t="inlineStr">
        <is>
          <t>VÄSTERNORRLANDS LÄN</t>
        </is>
      </c>
      <c r="E16059" t="inlineStr">
        <is>
          <t>ÅNGE</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54361-2024</t>
        </is>
      </c>
      <c r="B16060" s="1" t="n">
        <v>45617</v>
      </c>
      <c r="C16060" s="1" t="n">
        <v>45657</v>
      </c>
      <c r="D16060" t="inlineStr">
        <is>
          <t>VÄSTERNORRLANDS LÄN</t>
        </is>
      </c>
      <c r="E16060" t="inlineStr">
        <is>
          <t>KRAMFORS</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54316-2024</t>
        </is>
      </c>
      <c r="B16061" s="1" t="n">
        <v>45617</v>
      </c>
      <c r="C16061" s="1" t="n">
        <v>45657</v>
      </c>
      <c r="D16061" t="inlineStr">
        <is>
          <t>VÄSTERNORRLANDS LÄN</t>
        </is>
      </c>
      <c r="E16061" t="inlineStr">
        <is>
          <t>ÅNGE</t>
        </is>
      </c>
      <c r="F16061" t="inlineStr">
        <is>
          <t>SCA</t>
        </is>
      </c>
      <c r="G16061" t="n">
        <v>3.8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54345-2024</t>
        </is>
      </c>
      <c r="B16062" s="1" t="n">
        <v>45617</v>
      </c>
      <c r="C16062" s="1" t="n">
        <v>45657</v>
      </c>
      <c r="D16062" t="inlineStr">
        <is>
          <t>VÄSTERNORRLANDS LÄN</t>
        </is>
      </c>
      <c r="E16062" t="inlineStr">
        <is>
          <t>ÖRNSKÖLDSVIK</t>
        </is>
      </c>
      <c r="G16062" t="n">
        <v>11.6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54362-2024</t>
        </is>
      </c>
      <c r="B16063" s="1" t="n">
        <v>45617</v>
      </c>
      <c r="C16063" s="1" t="n">
        <v>45657</v>
      </c>
      <c r="D16063" t="inlineStr">
        <is>
          <t>VÄSTERNORRLANDS LÄN</t>
        </is>
      </c>
      <c r="E16063" t="inlineStr">
        <is>
          <t>KRAMFORS</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54370-2024</t>
        </is>
      </c>
      <c r="B16064" s="1" t="n">
        <v>45617</v>
      </c>
      <c r="C16064" s="1" t="n">
        <v>45657</v>
      </c>
      <c r="D16064" t="inlineStr">
        <is>
          <t>VÄSTERNORRLANDS LÄN</t>
        </is>
      </c>
      <c r="E16064" t="inlineStr">
        <is>
          <t>SUNDSVALL</t>
        </is>
      </c>
      <c r="G16064" t="n">
        <v>5.5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54378-2024</t>
        </is>
      </c>
      <c r="B16065" s="1" t="n">
        <v>45617</v>
      </c>
      <c r="C16065" s="1" t="n">
        <v>45657</v>
      </c>
      <c r="D16065" t="inlineStr">
        <is>
          <t>VÄSTERNORRLANDS LÄN</t>
        </is>
      </c>
      <c r="E16065" t="inlineStr">
        <is>
          <t>KRAMFORS</t>
        </is>
      </c>
      <c r="G16065" t="n">
        <v>20.5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54434-2024</t>
        </is>
      </c>
      <c r="B16066" s="1" t="n">
        <v>45617</v>
      </c>
      <c r="C16066" s="1" t="n">
        <v>45657</v>
      </c>
      <c r="D16066" t="inlineStr">
        <is>
          <t>VÄSTERNORRLANDS LÄN</t>
        </is>
      </c>
      <c r="E16066" t="inlineStr">
        <is>
          <t>ÖRNSKÖLDSVIK</t>
        </is>
      </c>
      <c r="G16066" t="n">
        <v>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54458-2024</t>
        </is>
      </c>
      <c r="B16067" s="1" t="n">
        <v>45617</v>
      </c>
      <c r="C16067" s="1" t="n">
        <v>45657</v>
      </c>
      <c r="D16067" t="inlineStr">
        <is>
          <t>VÄSTERNORRLANDS LÄN</t>
        </is>
      </c>
      <c r="E16067" t="inlineStr">
        <is>
          <t>SOLLEFTEÅ</t>
        </is>
      </c>
      <c r="F16067" t="inlineStr">
        <is>
          <t>SCA</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54478-2024</t>
        </is>
      </c>
      <c r="B16068" s="1" t="n">
        <v>45617</v>
      </c>
      <c r="C16068" s="1" t="n">
        <v>45657</v>
      </c>
      <c r="D16068" t="inlineStr">
        <is>
          <t>VÄSTERNORRLANDS LÄN</t>
        </is>
      </c>
      <c r="E16068" t="inlineStr">
        <is>
          <t>SUNDSVALL</t>
        </is>
      </c>
      <c r="F16068" t="inlineStr">
        <is>
          <t>SCA</t>
        </is>
      </c>
      <c r="G16068" t="n">
        <v>10.1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54313-2024</t>
        </is>
      </c>
      <c r="B16069" s="1" t="n">
        <v>45617</v>
      </c>
      <c r="C16069" s="1" t="n">
        <v>45657</v>
      </c>
      <c r="D16069" t="inlineStr">
        <is>
          <t>VÄSTERNORRLANDS LÄN</t>
        </is>
      </c>
      <c r="E16069" t="inlineStr">
        <is>
          <t>SUNDSVALL</t>
        </is>
      </c>
      <c r="F16069" t="inlineStr">
        <is>
          <t>SCA</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54379-2024</t>
        </is>
      </c>
      <c r="B16070" s="1" t="n">
        <v>45617</v>
      </c>
      <c r="C16070" s="1" t="n">
        <v>45657</v>
      </c>
      <c r="D16070" t="inlineStr">
        <is>
          <t>VÄSTERNORRLANDS LÄN</t>
        </is>
      </c>
      <c r="E16070" t="inlineStr">
        <is>
          <t>KRAMFORS</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54422-2024</t>
        </is>
      </c>
      <c r="B16071" s="1" t="n">
        <v>45617</v>
      </c>
      <c r="C16071" s="1" t="n">
        <v>45657</v>
      </c>
      <c r="D16071" t="inlineStr">
        <is>
          <t>VÄSTERNORRLANDS LÄN</t>
        </is>
      </c>
      <c r="E16071" t="inlineStr">
        <is>
          <t>ÖRNSKÖLDSVIK</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54515-2024</t>
        </is>
      </c>
      <c r="B16072" s="1" t="n">
        <v>45617</v>
      </c>
      <c r="C16072" s="1" t="n">
        <v>45657</v>
      </c>
      <c r="D16072" t="inlineStr">
        <is>
          <t>VÄSTERNORRLANDS LÄN</t>
        </is>
      </c>
      <c r="E16072" t="inlineStr">
        <is>
          <t>ÖRNSKÖLDSVIK</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54550-2024</t>
        </is>
      </c>
      <c r="B16073" s="1" t="n">
        <v>45617</v>
      </c>
      <c r="C16073" s="1" t="n">
        <v>45657</v>
      </c>
      <c r="D16073" t="inlineStr">
        <is>
          <t>VÄSTERNORRLANDS LÄN</t>
        </is>
      </c>
      <c r="E16073" t="inlineStr">
        <is>
          <t>SUNDSVALL</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54407-2024</t>
        </is>
      </c>
      <c r="B16074" s="1" t="n">
        <v>45617</v>
      </c>
      <c r="C16074" s="1" t="n">
        <v>45657</v>
      </c>
      <c r="D16074" t="inlineStr">
        <is>
          <t>VÄSTERNORRLANDS LÄN</t>
        </is>
      </c>
      <c r="E16074" t="inlineStr">
        <is>
          <t>ÖRNSKÖLDSVIK</t>
        </is>
      </c>
      <c r="G16074" t="n">
        <v>8.9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54547-2024</t>
        </is>
      </c>
      <c r="B16075" s="1" t="n">
        <v>45617</v>
      </c>
      <c r="C16075" s="1" t="n">
        <v>45657</v>
      </c>
      <c r="D16075" t="inlineStr">
        <is>
          <t>VÄSTERNORRLANDS LÄN</t>
        </is>
      </c>
      <c r="E16075" t="inlineStr">
        <is>
          <t>TIMRÅ</t>
        </is>
      </c>
      <c r="F16075" t="inlineStr">
        <is>
          <t>SCA</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54555-2024</t>
        </is>
      </c>
      <c r="B16076" s="1" t="n">
        <v>45617</v>
      </c>
      <c r="C16076" s="1" t="n">
        <v>45657</v>
      </c>
      <c r="D16076" t="inlineStr">
        <is>
          <t>VÄSTERNORRLANDS LÄN</t>
        </is>
      </c>
      <c r="E16076" t="inlineStr">
        <is>
          <t>SUNDSVALL</t>
        </is>
      </c>
      <c r="G16076" t="n">
        <v>5.9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54563-2024</t>
        </is>
      </c>
      <c r="B16077" s="1" t="n">
        <v>45617</v>
      </c>
      <c r="C16077" s="1" t="n">
        <v>45657</v>
      </c>
      <c r="D16077" t="inlineStr">
        <is>
          <t>VÄSTERNORRLANDS LÄN</t>
        </is>
      </c>
      <c r="E16077" t="inlineStr">
        <is>
          <t>ÖRNSKÖLDSVIK</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54575-2024</t>
        </is>
      </c>
      <c r="B16078" s="1" t="n">
        <v>45617</v>
      </c>
      <c r="C16078" s="1" t="n">
        <v>45657</v>
      </c>
      <c r="D16078" t="inlineStr">
        <is>
          <t>VÄSTERNORRLANDS LÄN</t>
        </is>
      </c>
      <c r="E16078" t="inlineStr">
        <is>
          <t>SOLLEFTEÅ</t>
        </is>
      </c>
      <c r="F16078" t="inlineStr">
        <is>
          <t>Holmen skog AB</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54599-2024</t>
        </is>
      </c>
      <c r="B16079" s="1" t="n">
        <v>45617</v>
      </c>
      <c r="C16079" s="1" t="n">
        <v>45657</v>
      </c>
      <c r="D16079" t="inlineStr">
        <is>
          <t>VÄSTERNORRLANDS LÄN</t>
        </is>
      </c>
      <c r="E16079" t="inlineStr">
        <is>
          <t>ÖRNSKÖLDSVIK</t>
        </is>
      </c>
      <c r="F16079" t="inlineStr">
        <is>
          <t>Holmen skog AB</t>
        </is>
      </c>
      <c r="G16079" t="n">
        <v>5.8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54570-2024</t>
        </is>
      </c>
      <c r="B16080" s="1" t="n">
        <v>45617</v>
      </c>
      <c r="C16080" s="1" t="n">
        <v>45657</v>
      </c>
      <c r="D16080" t="inlineStr">
        <is>
          <t>VÄSTERNORRLANDS LÄN</t>
        </is>
      </c>
      <c r="E16080" t="inlineStr">
        <is>
          <t>SUNDSVALL</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54574-2024</t>
        </is>
      </c>
      <c r="B16081" s="1" t="n">
        <v>45617</v>
      </c>
      <c r="C16081" s="1" t="n">
        <v>45657</v>
      </c>
      <c r="D16081" t="inlineStr">
        <is>
          <t>VÄSTERNORRLANDS LÄN</t>
        </is>
      </c>
      <c r="E16081" t="inlineStr">
        <is>
          <t>SOLLEFTEÅ</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54582-2024</t>
        </is>
      </c>
      <c r="B16082" s="1" t="n">
        <v>45617</v>
      </c>
      <c r="C16082" s="1" t="n">
        <v>45657</v>
      </c>
      <c r="D16082" t="inlineStr">
        <is>
          <t>VÄSTERNORRLANDS LÄN</t>
        </is>
      </c>
      <c r="E16082" t="inlineStr">
        <is>
          <t>ÖRNSKÖLDSVIK</t>
        </is>
      </c>
      <c r="F16082" t="inlineStr">
        <is>
          <t>Holmen skog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54586-2024</t>
        </is>
      </c>
      <c r="B16083" s="1" t="n">
        <v>45617</v>
      </c>
      <c r="C16083" s="1" t="n">
        <v>45657</v>
      </c>
      <c r="D16083" t="inlineStr">
        <is>
          <t>VÄSTERNORRLANDS LÄN</t>
        </is>
      </c>
      <c r="E16083" t="inlineStr">
        <is>
          <t>ÖRNSKÖLDSVIK</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54622-2024</t>
        </is>
      </c>
      <c r="B16084" s="1" t="n">
        <v>45617</v>
      </c>
      <c r="C16084" s="1" t="n">
        <v>45657</v>
      </c>
      <c r="D16084" t="inlineStr">
        <is>
          <t>VÄSTERNORRLANDS LÄN</t>
        </is>
      </c>
      <c r="E16084" t="inlineStr">
        <is>
          <t>ÖRNSKÖLDSVIK</t>
        </is>
      </c>
      <c r="F16084" t="inlineStr">
        <is>
          <t>Holmen skog AB</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54314-2024</t>
        </is>
      </c>
      <c r="B16085" s="1" t="n">
        <v>45617</v>
      </c>
      <c r="C16085" s="1" t="n">
        <v>45657</v>
      </c>
      <c r="D16085" t="inlineStr">
        <is>
          <t>VÄSTERNORRLANDS LÄN</t>
        </is>
      </c>
      <c r="E16085" t="inlineStr">
        <is>
          <t>SUNDSVALL</t>
        </is>
      </c>
      <c r="F16085" t="inlineStr">
        <is>
          <t>SCA</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54322-2024</t>
        </is>
      </c>
      <c r="B16086" s="1" t="n">
        <v>45617</v>
      </c>
      <c r="C16086" s="1" t="n">
        <v>45657</v>
      </c>
      <c r="D16086" t="inlineStr">
        <is>
          <t>VÄSTERNORRLANDS LÄN</t>
        </is>
      </c>
      <c r="E16086" t="inlineStr">
        <is>
          <t>TIMRÅ</t>
        </is>
      </c>
      <c r="G16086" t="n">
        <v>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54351-2024</t>
        </is>
      </c>
      <c r="B16087" s="1" t="n">
        <v>45617</v>
      </c>
      <c r="C16087" s="1" t="n">
        <v>45657</v>
      </c>
      <c r="D16087" t="inlineStr">
        <is>
          <t>VÄSTERNORRLANDS LÄN</t>
        </is>
      </c>
      <c r="E16087" t="inlineStr">
        <is>
          <t>ÖRNSKÖLDSVIK</t>
        </is>
      </c>
      <c r="G16087" t="n">
        <v>9.5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54360-2024</t>
        </is>
      </c>
      <c r="B16088" s="1" t="n">
        <v>45617</v>
      </c>
      <c r="C16088" s="1" t="n">
        <v>45657</v>
      </c>
      <c r="D16088" t="inlineStr">
        <is>
          <t>VÄSTERNORRLANDS LÄN</t>
        </is>
      </c>
      <c r="E16088" t="inlineStr">
        <is>
          <t>KRAMFORS</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54388-2024</t>
        </is>
      </c>
      <c r="B16089" s="1" t="n">
        <v>45617</v>
      </c>
      <c r="C16089" s="1" t="n">
        <v>45657</v>
      </c>
      <c r="D16089" t="inlineStr">
        <is>
          <t>VÄSTERNORRLANDS LÄN</t>
        </is>
      </c>
      <c r="E16089" t="inlineStr">
        <is>
          <t>KRAMFORS</t>
        </is>
      </c>
      <c r="G16089" t="n">
        <v>21.6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54456-2024</t>
        </is>
      </c>
      <c r="B16090" s="1" t="n">
        <v>45617</v>
      </c>
      <c r="C16090" s="1" t="n">
        <v>45657</v>
      </c>
      <c r="D16090" t="inlineStr">
        <is>
          <t>VÄSTERNORRLANDS LÄN</t>
        </is>
      </c>
      <c r="E16090" t="inlineStr">
        <is>
          <t>ÅNGE</t>
        </is>
      </c>
      <c r="F16090" t="inlineStr">
        <is>
          <t>SCA</t>
        </is>
      </c>
      <c r="G16090" t="n">
        <v>9.199999999999999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54460-2024</t>
        </is>
      </c>
      <c r="B16091" s="1" t="n">
        <v>45617</v>
      </c>
      <c r="C16091" s="1" t="n">
        <v>45657</v>
      </c>
      <c r="D16091" t="inlineStr">
        <is>
          <t>VÄSTERNORRLANDS LÄN</t>
        </is>
      </c>
      <c r="E16091" t="inlineStr">
        <is>
          <t>SUNDSVALL</t>
        </is>
      </c>
      <c r="F16091" t="inlineStr">
        <is>
          <t>SCA</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54532-2024</t>
        </is>
      </c>
      <c r="B16092" s="1" t="n">
        <v>45617</v>
      </c>
      <c r="C16092" s="1" t="n">
        <v>45657</v>
      </c>
      <c r="D16092" t="inlineStr">
        <is>
          <t>VÄSTERNORRLANDS LÄN</t>
        </is>
      </c>
      <c r="E16092" t="inlineStr">
        <is>
          <t>SOLLEFTEÅ</t>
        </is>
      </c>
      <c r="G16092" t="n">
        <v>8.199999999999999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54548-2024</t>
        </is>
      </c>
      <c r="B16093" s="1" t="n">
        <v>45617</v>
      </c>
      <c r="C16093" s="1" t="n">
        <v>45657</v>
      </c>
      <c r="D16093" t="inlineStr">
        <is>
          <t>VÄSTERNORRLANDS LÄN</t>
        </is>
      </c>
      <c r="E16093" t="inlineStr">
        <is>
          <t>SOLLEFTEÅ</t>
        </is>
      </c>
      <c r="F16093" t="inlineStr">
        <is>
          <t>SCA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54560-2024</t>
        </is>
      </c>
      <c r="B16094" s="1" t="n">
        <v>45617</v>
      </c>
      <c r="C16094" s="1" t="n">
        <v>45657</v>
      </c>
      <c r="D16094" t="inlineStr">
        <is>
          <t>VÄSTERNORRLANDS LÄN</t>
        </is>
      </c>
      <c r="E16094" t="inlineStr">
        <is>
          <t>HÄRNÖSAND</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54572-2024</t>
        </is>
      </c>
      <c r="B16095" s="1" t="n">
        <v>45617</v>
      </c>
      <c r="C16095" s="1" t="n">
        <v>45657</v>
      </c>
      <c r="D16095" t="inlineStr">
        <is>
          <t>VÄSTERNORRLANDS LÄN</t>
        </is>
      </c>
      <c r="E16095" t="inlineStr">
        <is>
          <t>SOLLEFTEÅ</t>
        </is>
      </c>
      <c r="G16095" t="n">
        <v>28.2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54580-2024</t>
        </is>
      </c>
      <c r="B16096" s="1" t="n">
        <v>45617</v>
      </c>
      <c r="C16096" s="1" t="n">
        <v>45657</v>
      </c>
      <c r="D16096" t="inlineStr">
        <is>
          <t>VÄSTERNORRLANDS LÄN</t>
        </is>
      </c>
      <c r="E16096" t="inlineStr">
        <is>
          <t>SUNDSVALL</t>
        </is>
      </c>
      <c r="F16096" t="inlineStr">
        <is>
          <t>SCA</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54584-2024</t>
        </is>
      </c>
      <c r="B16097" s="1" t="n">
        <v>45617</v>
      </c>
      <c r="C16097" s="1" t="n">
        <v>45657</v>
      </c>
      <c r="D16097" t="inlineStr">
        <is>
          <t>VÄSTERNORRLANDS LÄN</t>
        </is>
      </c>
      <c r="E16097" t="inlineStr">
        <is>
          <t>SUNDSVALL</t>
        </is>
      </c>
      <c r="F16097" t="inlineStr">
        <is>
          <t>SCA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54620-2024</t>
        </is>
      </c>
      <c r="B16098" s="1" t="n">
        <v>45617</v>
      </c>
      <c r="C16098" s="1" t="n">
        <v>45657</v>
      </c>
      <c r="D16098" t="inlineStr">
        <is>
          <t>VÄSTERNORRLANDS LÄN</t>
        </is>
      </c>
      <c r="E16098" t="inlineStr">
        <is>
          <t>ÖRNSKÖLDSVIK</t>
        </is>
      </c>
      <c r="F16098" t="inlineStr">
        <is>
          <t>Holmen skog AB</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54429-2024</t>
        </is>
      </c>
      <c r="B16099" s="1" t="n">
        <v>45617</v>
      </c>
      <c r="C16099" s="1" t="n">
        <v>45657</v>
      </c>
      <c r="D16099" t="inlineStr">
        <is>
          <t>VÄSTERNORRLANDS LÄN</t>
        </is>
      </c>
      <c r="E16099" t="inlineStr">
        <is>
          <t>ÅNGE</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54477-2024</t>
        </is>
      </c>
      <c r="B16100" s="1" t="n">
        <v>45617</v>
      </c>
      <c r="C16100" s="1" t="n">
        <v>45657</v>
      </c>
      <c r="D16100" t="inlineStr">
        <is>
          <t>VÄSTERNORRLANDS LÄN</t>
        </is>
      </c>
      <c r="E16100" t="inlineStr">
        <is>
          <t>SUNDSVALL</t>
        </is>
      </c>
      <c r="F16100" t="inlineStr">
        <is>
          <t>SCA</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54485-2024</t>
        </is>
      </c>
      <c r="B16101" s="1" t="n">
        <v>45617</v>
      </c>
      <c r="C16101" s="1" t="n">
        <v>45657</v>
      </c>
      <c r="D16101" t="inlineStr">
        <is>
          <t>VÄSTERNORRLANDS LÄN</t>
        </is>
      </c>
      <c r="E16101" t="inlineStr">
        <is>
          <t>SOLLEFTEÅ</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54513-2024</t>
        </is>
      </c>
      <c r="B16102" s="1" t="n">
        <v>45617</v>
      </c>
      <c r="C16102" s="1" t="n">
        <v>45657</v>
      </c>
      <c r="D16102" t="inlineStr">
        <is>
          <t>VÄSTERNORRLANDS LÄN</t>
        </is>
      </c>
      <c r="E16102" t="inlineStr">
        <is>
          <t>ÖRNSKÖLDSVIK</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54549-2024</t>
        </is>
      </c>
      <c r="B16103" s="1" t="n">
        <v>45617</v>
      </c>
      <c r="C16103" s="1" t="n">
        <v>45657</v>
      </c>
      <c r="D16103" t="inlineStr">
        <is>
          <t>VÄSTERNORRLANDS LÄN</t>
        </is>
      </c>
      <c r="E16103" t="inlineStr">
        <is>
          <t>ÖRNSKÖLDSVIK</t>
        </is>
      </c>
      <c r="F16103" t="inlineStr">
        <is>
          <t>Holmen skog AB</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54553-2024</t>
        </is>
      </c>
      <c r="B16104" s="1" t="n">
        <v>45617</v>
      </c>
      <c r="C16104" s="1" t="n">
        <v>45657</v>
      </c>
      <c r="D16104" t="inlineStr">
        <is>
          <t>VÄSTERNORRLANDS LÄN</t>
        </is>
      </c>
      <c r="E16104" t="inlineStr">
        <is>
          <t>SOLLEFTEÅ</t>
        </is>
      </c>
      <c r="F16104" t="inlineStr">
        <is>
          <t>SCA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54561-2024</t>
        </is>
      </c>
      <c r="B16105" s="1" t="n">
        <v>45617</v>
      </c>
      <c r="C16105" s="1" t="n">
        <v>45657</v>
      </c>
      <c r="D16105" t="inlineStr">
        <is>
          <t>VÄSTERNORRLANDS LÄN</t>
        </is>
      </c>
      <c r="E16105" t="inlineStr">
        <is>
          <t>ÖRNSKÖLDSVIK</t>
        </is>
      </c>
      <c r="F16105" t="inlineStr">
        <is>
          <t>Holmen skog AB</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54585-2024</t>
        </is>
      </c>
      <c r="B16106" s="1" t="n">
        <v>45617</v>
      </c>
      <c r="C16106" s="1" t="n">
        <v>45657</v>
      </c>
      <c r="D16106" t="inlineStr">
        <is>
          <t>VÄSTERNORRLANDS LÄN</t>
        </is>
      </c>
      <c r="E16106" t="inlineStr">
        <is>
          <t>ÅNGE</t>
        </is>
      </c>
      <c r="F16106" t="inlineStr">
        <is>
          <t>SCA</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54613-2024</t>
        </is>
      </c>
      <c r="B16107" s="1" t="n">
        <v>45617</v>
      </c>
      <c r="C16107" s="1" t="n">
        <v>45657</v>
      </c>
      <c r="D16107" t="inlineStr">
        <is>
          <t>VÄSTERNORRLANDS LÄN</t>
        </is>
      </c>
      <c r="E16107" t="inlineStr">
        <is>
          <t>ÖRNSKÖLDSVIK</t>
        </is>
      </c>
      <c r="F16107" t="inlineStr">
        <is>
          <t>Holmen skog AB</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54617-2024</t>
        </is>
      </c>
      <c r="B16108" s="1" t="n">
        <v>45617</v>
      </c>
      <c r="C16108" s="1" t="n">
        <v>45657</v>
      </c>
      <c r="D16108" t="inlineStr">
        <is>
          <t>VÄSTERNORRLANDS LÄN</t>
        </is>
      </c>
      <c r="E16108" t="inlineStr">
        <is>
          <t>ÖRNSKÖLDSVIK</t>
        </is>
      </c>
      <c r="F16108" t="inlineStr">
        <is>
          <t>Holmen skog AB</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54625-2024</t>
        </is>
      </c>
      <c r="B16109" s="1" t="n">
        <v>45617</v>
      </c>
      <c r="C16109" s="1" t="n">
        <v>45657</v>
      </c>
      <c r="D16109" t="inlineStr">
        <is>
          <t>VÄSTERNORRLANDS LÄN</t>
        </is>
      </c>
      <c r="E16109" t="inlineStr">
        <is>
          <t>ÖRNSKÖLDSVIK</t>
        </is>
      </c>
      <c r="F16109" t="inlineStr">
        <is>
          <t>Holmen skog AB</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54908-2024</t>
        </is>
      </c>
      <c r="B16110" s="1" t="n">
        <v>45618</v>
      </c>
      <c r="C16110" s="1" t="n">
        <v>45657</v>
      </c>
      <c r="D16110" t="inlineStr">
        <is>
          <t>VÄSTERNORRLANDS LÄN</t>
        </is>
      </c>
      <c r="E16110" t="inlineStr">
        <is>
          <t>KRAMFORS</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54799-2024</t>
        </is>
      </c>
      <c r="B16111" s="1" t="n">
        <v>45618</v>
      </c>
      <c r="C16111" s="1" t="n">
        <v>45657</v>
      </c>
      <c r="D16111" t="inlineStr">
        <is>
          <t>VÄSTERNORRLANDS LÄN</t>
        </is>
      </c>
      <c r="E16111" t="inlineStr">
        <is>
          <t>SUNDSVALL</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54741-2024</t>
        </is>
      </c>
      <c r="B16112" s="1" t="n">
        <v>45618</v>
      </c>
      <c r="C16112" s="1" t="n">
        <v>45657</v>
      </c>
      <c r="D16112" t="inlineStr">
        <is>
          <t>VÄSTERNORRLANDS LÄN</t>
        </is>
      </c>
      <c r="E16112" t="inlineStr">
        <is>
          <t>KRAMFORS</t>
        </is>
      </c>
      <c r="G16112" t="n">
        <v>7.5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54677-2024</t>
        </is>
      </c>
      <c r="B16113" s="1" t="n">
        <v>45618</v>
      </c>
      <c r="C16113" s="1" t="n">
        <v>45657</v>
      </c>
      <c r="D16113" t="inlineStr">
        <is>
          <t>VÄSTERNORRLANDS LÄN</t>
        </is>
      </c>
      <c r="E16113" t="inlineStr">
        <is>
          <t>ÖRNSKÖLDSVIK</t>
        </is>
      </c>
      <c r="F16113" t="inlineStr">
        <is>
          <t>Holmen skog AB</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54725-2024</t>
        </is>
      </c>
      <c r="B16114" s="1" t="n">
        <v>45618</v>
      </c>
      <c r="C16114" s="1" t="n">
        <v>45657</v>
      </c>
      <c r="D16114" t="inlineStr">
        <is>
          <t>VÄSTERNORRLANDS LÄN</t>
        </is>
      </c>
      <c r="E16114" t="inlineStr">
        <is>
          <t>SOLLEFTEÅ</t>
        </is>
      </c>
      <c r="F16114" t="inlineStr">
        <is>
          <t>SCA</t>
        </is>
      </c>
      <c r="G16114" t="n">
        <v>35.2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54737-2024</t>
        </is>
      </c>
      <c r="B16115" s="1" t="n">
        <v>45618</v>
      </c>
      <c r="C16115" s="1" t="n">
        <v>45657</v>
      </c>
      <c r="D16115" t="inlineStr">
        <is>
          <t>VÄSTERNORRLANDS LÄN</t>
        </is>
      </c>
      <c r="E16115" t="inlineStr">
        <is>
          <t>KRAMFORS</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54791-2024</t>
        </is>
      </c>
      <c r="B16116" s="1" t="n">
        <v>45618</v>
      </c>
      <c r="C16116" s="1" t="n">
        <v>45657</v>
      </c>
      <c r="D16116" t="inlineStr">
        <is>
          <t>VÄSTERNORRLANDS LÄN</t>
        </is>
      </c>
      <c r="E16116" t="inlineStr">
        <is>
          <t>ÖRNSKÖLDSVIK</t>
        </is>
      </c>
      <c r="F16116" t="inlineStr">
        <is>
          <t>Holmen skog AB</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54792-2024</t>
        </is>
      </c>
      <c r="B16117" s="1" t="n">
        <v>45618</v>
      </c>
      <c r="C16117" s="1" t="n">
        <v>45657</v>
      </c>
      <c r="D16117" t="inlineStr">
        <is>
          <t>VÄSTERNORRLANDS LÄN</t>
        </is>
      </c>
      <c r="E16117" t="inlineStr">
        <is>
          <t>SUNDSVALL</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54726-2024</t>
        </is>
      </c>
      <c r="B16118" s="1" t="n">
        <v>45618</v>
      </c>
      <c r="C16118" s="1" t="n">
        <v>45657</v>
      </c>
      <c r="D16118" t="inlineStr">
        <is>
          <t>VÄSTERNORRLANDS LÄN</t>
        </is>
      </c>
      <c r="E16118" t="inlineStr">
        <is>
          <t>SOLLEFTEÅ</t>
        </is>
      </c>
      <c r="F16118" t="inlineStr">
        <is>
          <t>SCA</t>
        </is>
      </c>
      <c r="G16118" t="n">
        <v>28.2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54841-2024</t>
        </is>
      </c>
      <c r="B16119" s="1" t="n">
        <v>45618</v>
      </c>
      <c r="C16119" s="1" t="n">
        <v>45657</v>
      </c>
      <c r="D16119" t="inlineStr">
        <is>
          <t>VÄSTERNORRLANDS LÄN</t>
        </is>
      </c>
      <c r="E16119" t="inlineStr">
        <is>
          <t>ÖRNSKÖLDSVIK</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54801-2024</t>
        </is>
      </c>
      <c r="B16120" s="1" t="n">
        <v>45618</v>
      </c>
      <c r="C16120" s="1" t="n">
        <v>45657</v>
      </c>
      <c r="D16120" t="inlineStr">
        <is>
          <t>VÄSTERNORRLANDS LÄN</t>
        </is>
      </c>
      <c r="E16120" t="inlineStr">
        <is>
          <t>SUNDSVALL</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54789-2024</t>
        </is>
      </c>
      <c r="B16121" s="1" t="n">
        <v>45618</v>
      </c>
      <c r="C16121" s="1" t="n">
        <v>45657</v>
      </c>
      <c r="D16121" t="inlineStr">
        <is>
          <t>VÄSTERNORRLANDS LÄN</t>
        </is>
      </c>
      <c r="E16121" t="inlineStr">
        <is>
          <t>SUNDSVALL</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54923-2024</t>
        </is>
      </c>
      <c r="B16122" s="1" t="n">
        <v>45618</v>
      </c>
      <c r="C16122" s="1" t="n">
        <v>45657</v>
      </c>
      <c r="D16122" t="inlineStr">
        <is>
          <t>VÄSTERNORRLANDS LÄN</t>
        </is>
      </c>
      <c r="E16122" t="inlineStr">
        <is>
          <t>SOLLEFTEÅ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54743-2024</t>
        </is>
      </c>
      <c r="B16123" s="1" t="n">
        <v>45618</v>
      </c>
      <c r="C16123" s="1" t="n">
        <v>45657</v>
      </c>
      <c r="D16123" t="inlineStr">
        <is>
          <t>VÄSTERNORRLANDS LÄN</t>
        </is>
      </c>
      <c r="E16123" t="inlineStr">
        <is>
          <t>SUNDSVALL</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54723-2024</t>
        </is>
      </c>
      <c r="B16124" s="1" t="n">
        <v>45618</v>
      </c>
      <c r="C16124" s="1" t="n">
        <v>45657</v>
      </c>
      <c r="D16124" t="inlineStr">
        <is>
          <t>VÄSTERNORRLANDS LÄN</t>
        </is>
      </c>
      <c r="E16124" t="inlineStr">
        <is>
          <t>TIMRÅ</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54719-2024</t>
        </is>
      </c>
      <c r="B16125" s="1" t="n">
        <v>45618</v>
      </c>
      <c r="C16125" s="1" t="n">
        <v>45657</v>
      </c>
      <c r="D16125" t="inlineStr">
        <is>
          <t>VÄSTERNORRLANDS LÄN</t>
        </is>
      </c>
      <c r="E16125" t="inlineStr">
        <is>
          <t>ÅNGE</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54806-2024</t>
        </is>
      </c>
      <c r="B16126" s="1" t="n">
        <v>45618</v>
      </c>
      <c r="C16126" s="1" t="n">
        <v>45657</v>
      </c>
      <c r="D16126" t="inlineStr">
        <is>
          <t>VÄSTERNORRLANDS LÄN</t>
        </is>
      </c>
      <c r="E16126" t="inlineStr">
        <is>
          <t>SOLLEFTEÅ</t>
        </is>
      </c>
      <c r="F16126" t="inlineStr">
        <is>
          <t>SCA</t>
        </is>
      </c>
      <c r="G16126" t="n">
        <v>4.7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54798-2024</t>
        </is>
      </c>
      <c r="B16127" s="1" t="n">
        <v>45618</v>
      </c>
      <c r="C16127" s="1" t="n">
        <v>45657</v>
      </c>
      <c r="D16127" t="inlineStr">
        <is>
          <t>VÄSTERNORRLANDS LÄN</t>
        </is>
      </c>
      <c r="E16127" t="inlineStr">
        <is>
          <t>ÖRNSKÖLDSVIK</t>
        </is>
      </c>
      <c r="F16127" t="inlineStr">
        <is>
          <t>Holmen skog AB</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54773-2024</t>
        </is>
      </c>
      <c r="B16128" s="1" t="n">
        <v>45618</v>
      </c>
      <c r="C16128" s="1" t="n">
        <v>45657</v>
      </c>
      <c r="D16128" t="inlineStr">
        <is>
          <t>VÄSTERNORRLANDS LÄN</t>
        </is>
      </c>
      <c r="E16128" t="inlineStr">
        <is>
          <t>ÖRNSKÖLDSVIK</t>
        </is>
      </c>
      <c r="F16128" t="inlineStr">
        <is>
          <t>Holmen skog AB</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54732-2024</t>
        </is>
      </c>
      <c r="B16129" s="1" t="n">
        <v>45618</v>
      </c>
      <c r="C16129" s="1" t="n">
        <v>45657</v>
      </c>
      <c r="D16129" t="inlineStr">
        <is>
          <t>VÄSTERNORRLANDS LÄN</t>
        </is>
      </c>
      <c r="E16129" t="inlineStr">
        <is>
          <t>SUNDSVALL</t>
        </is>
      </c>
      <c r="F16129" t="inlineStr">
        <is>
          <t>SCA</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54728-2024</t>
        </is>
      </c>
      <c r="B16130" s="1" t="n">
        <v>45618</v>
      </c>
      <c r="C16130" s="1" t="n">
        <v>45657</v>
      </c>
      <c r="D16130" t="inlineStr">
        <is>
          <t>VÄSTERNORRLANDS LÄN</t>
        </is>
      </c>
      <c r="E16130" t="inlineStr">
        <is>
          <t>ÖRNSKÖLDSVIK</t>
        </is>
      </c>
      <c r="F16130" t="inlineStr">
        <is>
          <t>SCA</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54720-2024</t>
        </is>
      </c>
      <c r="B16131" s="1" t="n">
        <v>45618</v>
      </c>
      <c r="C16131" s="1" t="n">
        <v>45657</v>
      </c>
      <c r="D16131" t="inlineStr">
        <is>
          <t>VÄSTERNORRLANDS LÄN</t>
        </is>
      </c>
      <c r="E16131" t="inlineStr">
        <is>
          <t>ÅNGE</t>
        </is>
      </c>
      <c r="F16131" t="inlineStr">
        <is>
          <t>SCA</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54688-2024</t>
        </is>
      </c>
      <c r="B16132" s="1" t="n">
        <v>45618</v>
      </c>
      <c r="C16132" s="1" t="n">
        <v>45657</v>
      </c>
      <c r="D16132" t="inlineStr">
        <is>
          <t>VÄSTERNORRLANDS LÄN</t>
        </is>
      </c>
      <c r="E16132" t="inlineStr">
        <is>
          <t>ÖRNSKÖLDSVIK</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54672-2024</t>
        </is>
      </c>
      <c r="B16133" s="1" t="n">
        <v>45618</v>
      </c>
      <c r="C16133" s="1" t="n">
        <v>45657</v>
      </c>
      <c r="D16133" t="inlineStr">
        <is>
          <t>VÄSTERNORRLANDS LÄN</t>
        </is>
      </c>
      <c r="E16133" t="inlineStr">
        <is>
          <t>KRAMFORS</t>
        </is>
      </c>
      <c r="G16133" t="n">
        <v>6.9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54949-2024</t>
        </is>
      </c>
      <c r="B16134" s="1" t="n">
        <v>45619</v>
      </c>
      <c r="C16134" s="1" t="n">
        <v>45657</v>
      </c>
      <c r="D16134" t="inlineStr">
        <is>
          <t>VÄSTERNORRLANDS LÄN</t>
        </is>
      </c>
      <c r="E16134" t="inlineStr">
        <is>
          <t>ÖRNSKÖLDSVIK</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54950-2024</t>
        </is>
      </c>
      <c r="B16135" s="1" t="n">
        <v>45619</v>
      </c>
      <c r="C16135" s="1" t="n">
        <v>45657</v>
      </c>
      <c r="D16135" t="inlineStr">
        <is>
          <t>VÄSTERNORRLANDS LÄN</t>
        </is>
      </c>
      <c r="E16135" t="inlineStr">
        <is>
          <t>ÖRNSKÖLDSVIK</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54993-2024</t>
        </is>
      </c>
      <c r="B16136" s="1" t="n">
        <v>45620</v>
      </c>
      <c r="C16136" s="1" t="n">
        <v>45657</v>
      </c>
      <c r="D16136" t="inlineStr">
        <is>
          <t>VÄSTERNORRLANDS LÄN</t>
        </is>
      </c>
      <c r="E16136" t="inlineStr">
        <is>
          <t>TIMRÅ</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55148-2024</t>
        </is>
      </c>
      <c r="B16137" s="1" t="n">
        <v>45621</v>
      </c>
      <c r="C16137" s="1" t="n">
        <v>45657</v>
      </c>
      <c r="D16137" t="inlineStr">
        <is>
          <t>VÄSTERNORRLANDS LÄN</t>
        </is>
      </c>
      <c r="E16137" t="inlineStr">
        <is>
          <t>SUNDSVALL</t>
        </is>
      </c>
      <c r="F16137" t="inlineStr">
        <is>
          <t>SCA</t>
        </is>
      </c>
      <c r="G16137" t="n">
        <v>8.199999999999999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55166-2024</t>
        </is>
      </c>
      <c r="B16138" s="1" t="n">
        <v>45621</v>
      </c>
      <c r="C16138" s="1" t="n">
        <v>45657</v>
      </c>
      <c r="D16138" t="inlineStr">
        <is>
          <t>VÄSTERNORRLANDS LÄN</t>
        </is>
      </c>
      <c r="E16138" t="inlineStr">
        <is>
          <t>ÖRNSKÖLDSVIK</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55251-2024</t>
        </is>
      </c>
      <c r="B16139" s="1" t="n">
        <v>45621</v>
      </c>
      <c r="C16139" s="1" t="n">
        <v>45657</v>
      </c>
      <c r="D16139" t="inlineStr">
        <is>
          <t>VÄSTERNORRLANDS LÄN</t>
        </is>
      </c>
      <c r="E16139" t="inlineStr">
        <is>
          <t>ÖRNSKÖLDSVIK</t>
        </is>
      </c>
      <c r="G16139" t="n">
        <v>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55149-2024</t>
        </is>
      </c>
      <c r="B16140" s="1" t="n">
        <v>45621</v>
      </c>
      <c r="C16140" s="1" t="n">
        <v>45657</v>
      </c>
      <c r="D16140" t="inlineStr">
        <is>
          <t>VÄSTERNORRLANDS LÄN</t>
        </is>
      </c>
      <c r="E16140" t="inlineStr">
        <is>
          <t>SOLLEFTEÅ</t>
        </is>
      </c>
      <c r="F16140" t="inlineStr">
        <is>
          <t>SCA</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55207-2024</t>
        </is>
      </c>
      <c r="B16141" s="1" t="n">
        <v>45621</v>
      </c>
      <c r="C16141" s="1" t="n">
        <v>45657</v>
      </c>
      <c r="D16141" t="inlineStr">
        <is>
          <t>VÄSTERNORRLANDS LÄN</t>
        </is>
      </c>
      <c r="E16141" t="inlineStr">
        <is>
          <t>ÖRNSKÖLDSVIK</t>
        </is>
      </c>
      <c r="F16141" t="inlineStr">
        <is>
          <t>Holmen skog AB</t>
        </is>
      </c>
      <c r="G16141" t="n">
        <v>10.5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55080-2024</t>
        </is>
      </c>
      <c r="B16142" s="1" t="n">
        <v>45621</v>
      </c>
      <c r="C16142" s="1" t="n">
        <v>45657</v>
      </c>
      <c r="D16142" t="inlineStr">
        <is>
          <t>VÄSTERNORRLANDS LÄN</t>
        </is>
      </c>
      <c r="E16142" t="inlineStr">
        <is>
          <t>TIMRÅ</t>
        </is>
      </c>
      <c r="F16142" t="inlineStr">
        <is>
          <t>SCA</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55112-2024</t>
        </is>
      </c>
      <c r="B16143" s="1" t="n">
        <v>45621</v>
      </c>
      <c r="C16143" s="1" t="n">
        <v>45657</v>
      </c>
      <c r="D16143" t="inlineStr">
        <is>
          <t>VÄSTERNORRLANDS LÄN</t>
        </is>
      </c>
      <c r="E16143" t="inlineStr">
        <is>
          <t>SUNDSVALL</t>
        </is>
      </c>
      <c r="G16143" t="n">
        <v>5.7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55116-2024</t>
        </is>
      </c>
      <c r="B16144" s="1" t="n">
        <v>45621</v>
      </c>
      <c r="C16144" s="1" t="n">
        <v>45657</v>
      </c>
      <c r="D16144" t="inlineStr">
        <is>
          <t>VÄSTERNORRLANDS LÄN</t>
        </is>
      </c>
      <c r="E16144" t="inlineStr">
        <is>
          <t>SUNDSVALL</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55172-2024</t>
        </is>
      </c>
      <c r="B16145" s="1" t="n">
        <v>45621</v>
      </c>
      <c r="C16145" s="1" t="n">
        <v>45657</v>
      </c>
      <c r="D16145" t="inlineStr">
        <is>
          <t>VÄSTERNORRLANDS LÄN</t>
        </is>
      </c>
      <c r="E16145" t="inlineStr">
        <is>
          <t>SUNDSVALL</t>
        </is>
      </c>
      <c r="G16145" t="n">
        <v>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55177-2024</t>
        </is>
      </c>
      <c r="B16146" s="1" t="n">
        <v>45621</v>
      </c>
      <c r="C16146" s="1" t="n">
        <v>45657</v>
      </c>
      <c r="D16146" t="inlineStr">
        <is>
          <t>VÄSTERNORRLANDS LÄN</t>
        </is>
      </c>
      <c r="E16146" t="inlineStr">
        <is>
          <t>ÅNGE</t>
        </is>
      </c>
      <c r="F16146" t="inlineStr">
        <is>
          <t>SCA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55188-2024</t>
        </is>
      </c>
      <c r="B16147" s="1" t="n">
        <v>45621</v>
      </c>
      <c r="C16147" s="1" t="n">
        <v>45657</v>
      </c>
      <c r="D16147" t="inlineStr">
        <is>
          <t>VÄSTERNORRLANDS LÄN</t>
        </is>
      </c>
      <c r="E16147" t="inlineStr">
        <is>
          <t>SUNDSVALL</t>
        </is>
      </c>
      <c r="G16147" t="n">
        <v>6.8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55152-2024</t>
        </is>
      </c>
      <c r="B16148" s="1" t="n">
        <v>45621</v>
      </c>
      <c r="C16148" s="1" t="n">
        <v>45657</v>
      </c>
      <c r="D16148" t="inlineStr">
        <is>
          <t>VÄSTERNORRLANDS LÄN</t>
        </is>
      </c>
      <c r="E16148" t="inlineStr">
        <is>
          <t>SUNDSVALL</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55117-2024</t>
        </is>
      </c>
      <c r="B16149" s="1" t="n">
        <v>45621</v>
      </c>
      <c r="C16149" s="1" t="n">
        <v>45657</v>
      </c>
      <c r="D16149" t="inlineStr">
        <is>
          <t>VÄSTERNORRLANDS LÄN</t>
        </is>
      </c>
      <c r="E16149" t="inlineStr">
        <is>
          <t>SUNDSVALL</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55272-2024</t>
        </is>
      </c>
      <c r="B16150" s="1" t="n">
        <v>45621</v>
      </c>
      <c r="C16150" s="1" t="n">
        <v>45657</v>
      </c>
      <c r="D16150" t="inlineStr">
        <is>
          <t>VÄSTERNORRLANDS LÄN</t>
        </is>
      </c>
      <c r="E16150" t="inlineStr">
        <is>
          <t>SOLLEFTEÅ</t>
        </is>
      </c>
      <c r="G16150" t="n">
        <v>4.1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55380-2024</t>
        </is>
      </c>
      <c r="B16151" s="1" t="n">
        <v>45622</v>
      </c>
      <c r="C16151" s="1" t="n">
        <v>45657</v>
      </c>
      <c r="D16151" t="inlineStr">
        <is>
          <t>VÄSTERNORRLANDS LÄN</t>
        </is>
      </c>
      <c r="E16151" t="inlineStr">
        <is>
          <t>ÅNGE</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55422-2024</t>
        </is>
      </c>
      <c r="B16152" s="1" t="n">
        <v>45622</v>
      </c>
      <c r="C16152" s="1" t="n">
        <v>45657</v>
      </c>
      <c r="D16152" t="inlineStr">
        <is>
          <t>VÄSTERNORRLANDS LÄN</t>
        </is>
      </c>
      <c r="E16152" t="inlineStr">
        <is>
          <t>SOLLEFTEÅ</t>
        </is>
      </c>
      <c r="F16152" t="inlineStr">
        <is>
          <t>SCA</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55447-2024</t>
        </is>
      </c>
      <c r="B16153" s="1" t="n">
        <v>45622</v>
      </c>
      <c r="C16153" s="1" t="n">
        <v>45657</v>
      </c>
      <c r="D16153" t="inlineStr">
        <is>
          <t>VÄSTERNORRLANDS LÄN</t>
        </is>
      </c>
      <c r="E16153" t="inlineStr">
        <is>
          <t>ÖRNSKÖLDSVIK</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55420-2024</t>
        </is>
      </c>
      <c r="B16154" s="1" t="n">
        <v>45622</v>
      </c>
      <c r="C16154" s="1" t="n">
        <v>45657</v>
      </c>
      <c r="D16154" t="inlineStr">
        <is>
          <t>VÄSTERNORRLANDS LÄN</t>
        </is>
      </c>
      <c r="E16154" t="inlineStr">
        <is>
          <t>SOLLEFTEÅ</t>
        </is>
      </c>
      <c r="F16154" t="inlineStr">
        <is>
          <t>SCA</t>
        </is>
      </c>
      <c r="G16154" t="n">
        <v>6.5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55439-2024</t>
        </is>
      </c>
      <c r="B16155" s="1" t="n">
        <v>45622</v>
      </c>
      <c r="C16155" s="1" t="n">
        <v>45657</v>
      </c>
      <c r="D16155" t="inlineStr">
        <is>
          <t>VÄSTERNORRLANDS LÄN</t>
        </is>
      </c>
      <c r="E16155" t="inlineStr">
        <is>
          <t>SOLLEFTEÅ</t>
        </is>
      </c>
      <c r="F16155" t="inlineStr">
        <is>
          <t>SCA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55542-2024</t>
        </is>
      </c>
      <c r="B16156" s="1" t="n">
        <v>45622</v>
      </c>
      <c r="C16156" s="1" t="n">
        <v>45657</v>
      </c>
      <c r="D16156" t="inlineStr">
        <is>
          <t>VÄSTERNORRLANDS LÄN</t>
        </is>
      </c>
      <c r="E16156" t="inlineStr">
        <is>
          <t>SOLLEFTEÅ</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55558-2024</t>
        </is>
      </c>
      <c r="B16157" s="1" t="n">
        <v>45622</v>
      </c>
      <c r="C16157" s="1" t="n">
        <v>45657</v>
      </c>
      <c r="D16157" t="inlineStr">
        <is>
          <t>VÄSTERNORRLANDS LÄN</t>
        </is>
      </c>
      <c r="E16157" t="inlineStr">
        <is>
          <t>ÅNGE</t>
        </is>
      </c>
      <c r="F16157" t="inlineStr">
        <is>
          <t>Holmen skog AB</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55576-2024</t>
        </is>
      </c>
      <c r="B16158" s="1" t="n">
        <v>45622</v>
      </c>
      <c r="C16158" s="1" t="n">
        <v>45657</v>
      </c>
      <c r="D16158" t="inlineStr">
        <is>
          <t>VÄSTERNORRLANDS LÄN</t>
        </is>
      </c>
      <c r="E16158" t="inlineStr">
        <is>
          <t>TIMRÅ</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55602-2024</t>
        </is>
      </c>
      <c r="B16159" s="1" t="n">
        <v>45622</v>
      </c>
      <c r="C16159" s="1" t="n">
        <v>45657</v>
      </c>
      <c r="D16159" t="inlineStr">
        <is>
          <t>VÄSTERNORRLANDS LÄN</t>
        </is>
      </c>
      <c r="E16159" t="inlineStr">
        <is>
          <t>TIMRÅ</t>
        </is>
      </c>
      <c r="G16159" t="n">
        <v>3.9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55417-2024</t>
        </is>
      </c>
      <c r="B16160" s="1" t="n">
        <v>45622</v>
      </c>
      <c r="C16160" s="1" t="n">
        <v>45657</v>
      </c>
      <c r="D16160" t="inlineStr">
        <is>
          <t>VÄSTERNORRLANDS LÄN</t>
        </is>
      </c>
      <c r="E16160" t="inlineStr">
        <is>
          <t>ÖRNSKÖLDSVIK</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55440-2024</t>
        </is>
      </c>
      <c r="B16161" s="1" t="n">
        <v>45622</v>
      </c>
      <c r="C16161" s="1" t="n">
        <v>45657</v>
      </c>
      <c r="D16161" t="inlineStr">
        <is>
          <t>VÄSTERNORRLANDS LÄN</t>
        </is>
      </c>
      <c r="E16161" t="inlineStr">
        <is>
          <t>SOLLEFTEÅ</t>
        </is>
      </c>
      <c r="F16161" t="inlineStr">
        <is>
          <t>SCA</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55466-2024</t>
        </is>
      </c>
      <c r="B16162" s="1" t="n">
        <v>45622</v>
      </c>
      <c r="C16162" s="1" t="n">
        <v>45657</v>
      </c>
      <c r="D16162" t="inlineStr">
        <is>
          <t>VÄSTERNORRLANDS LÄN</t>
        </is>
      </c>
      <c r="E16162" t="inlineStr">
        <is>
          <t>SUNDSVALL</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55470-2024</t>
        </is>
      </c>
      <c r="B16163" s="1" t="n">
        <v>45622</v>
      </c>
      <c r="C16163" s="1" t="n">
        <v>45657</v>
      </c>
      <c r="D16163" t="inlineStr">
        <is>
          <t>VÄSTERNORRLANDS LÄN</t>
        </is>
      </c>
      <c r="E16163" t="inlineStr">
        <is>
          <t>ÖRNSKÖLDSVIK</t>
        </is>
      </c>
      <c r="F16163" t="inlineStr">
        <is>
          <t>Holmen skog AB</t>
        </is>
      </c>
      <c r="G16163" t="n">
        <v>5.7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55599-2024</t>
        </is>
      </c>
      <c r="B16164" s="1" t="n">
        <v>45622</v>
      </c>
      <c r="C16164" s="1" t="n">
        <v>45657</v>
      </c>
      <c r="D16164" t="inlineStr">
        <is>
          <t>VÄSTERNORRLANDS LÄN</t>
        </is>
      </c>
      <c r="E16164" t="inlineStr">
        <is>
          <t>SUNDSVALL</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55670-2024</t>
        </is>
      </c>
      <c r="B16165" s="1" t="n">
        <v>45622</v>
      </c>
      <c r="C16165" s="1" t="n">
        <v>45657</v>
      </c>
      <c r="D16165" t="inlineStr">
        <is>
          <t>VÄSTERNORRLANDS LÄN</t>
        </is>
      </c>
      <c r="E16165" t="inlineStr">
        <is>
          <t>ÖRNSKÖLDSVIK</t>
        </is>
      </c>
      <c r="F16165" t="inlineStr">
        <is>
          <t>Holmen skog AB</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55691-2024</t>
        </is>
      </c>
      <c r="B16166" s="1" t="n">
        <v>45622</v>
      </c>
      <c r="C16166" s="1" t="n">
        <v>45657</v>
      </c>
      <c r="D16166" t="inlineStr">
        <is>
          <t>VÄSTERNORRLANDS LÄN</t>
        </is>
      </c>
      <c r="E16166" t="inlineStr">
        <is>
          <t>SOLLEFTEÅ</t>
        </is>
      </c>
      <c r="F16166" t="inlineStr">
        <is>
          <t>SCA</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55707-2024</t>
        </is>
      </c>
      <c r="B16167" s="1" t="n">
        <v>45622</v>
      </c>
      <c r="C16167" s="1" t="n">
        <v>45657</v>
      </c>
      <c r="D16167" t="inlineStr">
        <is>
          <t>VÄSTERNORRLANDS LÄN</t>
        </is>
      </c>
      <c r="E16167" t="inlineStr">
        <is>
          <t>SOLLEFTEÅ</t>
        </is>
      </c>
      <c r="F16167" t="inlineStr">
        <is>
          <t>SCA</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55568-2024</t>
        </is>
      </c>
      <c r="B16168" s="1" t="n">
        <v>45622</v>
      </c>
      <c r="C16168" s="1" t="n">
        <v>45657</v>
      </c>
      <c r="D16168" t="inlineStr">
        <is>
          <t>VÄSTERNORRLANDS LÄN</t>
        </is>
      </c>
      <c r="E16168" t="inlineStr">
        <is>
          <t>SUNDSVALL</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55592-2024</t>
        </is>
      </c>
      <c r="B16169" s="1" t="n">
        <v>45622</v>
      </c>
      <c r="C16169" s="1" t="n">
        <v>45657</v>
      </c>
      <c r="D16169" t="inlineStr">
        <is>
          <t>VÄSTERNORRLANDS LÄN</t>
        </is>
      </c>
      <c r="E16169" t="inlineStr">
        <is>
          <t>ÅNGE</t>
        </is>
      </c>
      <c r="F16169" t="inlineStr">
        <is>
          <t>Holmen skog AB</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55480-2024</t>
        </is>
      </c>
      <c r="B16170" s="1" t="n">
        <v>45622</v>
      </c>
      <c r="C16170" s="1" t="n">
        <v>45657</v>
      </c>
      <c r="D16170" t="inlineStr">
        <is>
          <t>VÄSTERNORRLANDS LÄN</t>
        </is>
      </c>
      <c r="E16170" t="inlineStr">
        <is>
          <t>ÖRNSKÖLDSVIK</t>
        </is>
      </c>
      <c r="F16170" t="inlineStr">
        <is>
          <t>Holmen skog AB</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55492-2024</t>
        </is>
      </c>
      <c r="B16171" s="1" t="n">
        <v>45622</v>
      </c>
      <c r="C16171" s="1" t="n">
        <v>45657</v>
      </c>
      <c r="D16171" t="inlineStr">
        <is>
          <t>VÄSTERNORRLANDS LÄN</t>
        </is>
      </c>
      <c r="E16171" t="inlineStr">
        <is>
          <t>SUNDSVALL</t>
        </is>
      </c>
      <c r="G16171" t="n">
        <v>11.9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55618-2024</t>
        </is>
      </c>
      <c r="B16172" s="1" t="n">
        <v>45622</v>
      </c>
      <c r="C16172" s="1" t="n">
        <v>45657</v>
      </c>
      <c r="D16172" t="inlineStr">
        <is>
          <t>VÄSTERNORRLANDS LÄN</t>
        </is>
      </c>
      <c r="E16172" t="inlineStr">
        <is>
          <t>TIMRÅ</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55655-2024</t>
        </is>
      </c>
      <c r="B16173" s="1" t="n">
        <v>45622</v>
      </c>
      <c r="C16173" s="1" t="n">
        <v>45657</v>
      </c>
      <c r="D16173" t="inlineStr">
        <is>
          <t>VÄSTERNORRLANDS LÄN</t>
        </is>
      </c>
      <c r="E16173" t="inlineStr">
        <is>
          <t>ÖRNSKÖLDSVIK</t>
        </is>
      </c>
      <c r="F16173" t="inlineStr">
        <is>
          <t>SCA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55684-2024</t>
        </is>
      </c>
      <c r="B16174" s="1" t="n">
        <v>45622</v>
      </c>
      <c r="C16174" s="1" t="n">
        <v>45657</v>
      </c>
      <c r="D16174" t="inlineStr">
        <is>
          <t>VÄSTERNORRLANDS LÄN</t>
        </is>
      </c>
      <c r="E16174" t="inlineStr">
        <is>
          <t>ÖRNSKÖLDSVIK</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55692-2024</t>
        </is>
      </c>
      <c r="B16175" s="1" t="n">
        <v>45622</v>
      </c>
      <c r="C16175" s="1" t="n">
        <v>45657</v>
      </c>
      <c r="D16175" t="inlineStr">
        <is>
          <t>VÄSTERNORRLANDS LÄN</t>
        </is>
      </c>
      <c r="E16175" t="inlineStr">
        <is>
          <t>SOLLEFTEÅ</t>
        </is>
      </c>
      <c r="F16175" t="inlineStr">
        <is>
          <t>SCA</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55710-2024</t>
        </is>
      </c>
      <c r="B16176" s="1" t="n">
        <v>45622</v>
      </c>
      <c r="C16176" s="1" t="n">
        <v>45657</v>
      </c>
      <c r="D16176" t="inlineStr">
        <is>
          <t>VÄSTERNORRLANDS LÄN</t>
        </is>
      </c>
      <c r="E16176" t="inlineStr">
        <is>
          <t>SOLLEFTEÅ</t>
        </is>
      </c>
      <c r="F16176" t="inlineStr">
        <is>
          <t>SCA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55726-2024</t>
        </is>
      </c>
      <c r="B16177" s="1" t="n">
        <v>45622</v>
      </c>
      <c r="C16177" s="1" t="n">
        <v>45657</v>
      </c>
      <c r="D16177" t="inlineStr">
        <is>
          <t>VÄSTERNORRLANDS LÄN</t>
        </is>
      </c>
      <c r="E16177" t="inlineStr">
        <is>
          <t>SOLLEFTEÅ</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55884-2024</t>
        </is>
      </c>
      <c r="B16178" s="1" t="n">
        <v>45622</v>
      </c>
      <c r="C16178" s="1" t="n">
        <v>45657</v>
      </c>
      <c r="D16178" t="inlineStr">
        <is>
          <t>VÄSTERNORRLANDS LÄN</t>
        </is>
      </c>
      <c r="E16178" t="inlineStr">
        <is>
          <t>HÄRNÖSAND</t>
        </is>
      </c>
      <c r="G16178" t="n">
        <v>17.7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55896-2024</t>
        </is>
      </c>
      <c r="B16179" s="1" t="n">
        <v>45622</v>
      </c>
      <c r="C16179" s="1" t="n">
        <v>45657</v>
      </c>
      <c r="D16179" t="inlineStr">
        <is>
          <t>VÄSTERNORRLANDS LÄN</t>
        </is>
      </c>
      <c r="E16179" t="inlineStr">
        <is>
          <t>HÄRNÖSAND</t>
        </is>
      </c>
      <c r="G16179" t="n">
        <v>9.5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55588-2024</t>
        </is>
      </c>
      <c r="B16180" s="1" t="n">
        <v>45622</v>
      </c>
      <c r="C16180" s="1" t="n">
        <v>45657</v>
      </c>
      <c r="D16180" t="inlineStr">
        <is>
          <t>VÄSTERNORRLANDS LÄN</t>
        </is>
      </c>
      <c r="E16180" t="inlineStr">
        <is>
          <t>TIMRÅ</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55636-2024</t>
        </is>
      </c>
      <c r="B16181" s="1" t="n">
        <v>45622</v>
      </c>
      <c r="C16181" s="1" t="n">
        <v>45657</v>
      </c>
      <c r="D16181" t="inlineStr">
        <is>
          <t>VÄSTERNORRLANDS LÄN</t>
        </is>
      </c>
      <c r="E16181" t="inlineStr">
        <is>
          <t>ÖRNSKÖLDSVIK</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55664-2024</t>
        </is>
      </c>
      <c r="B16182" s="1" t="n">
        <v>45622</v>
      </c>
      <c r="C16182" s="1" t="n">
        <v>45657</v>
      </c>
      <c r="D16182" t="inlineStr">
        <is>
          <t>VÄSTERNORRLANDS LÄN</t>
        </is>
      </c>
      <c r="E16182" t="inlineStr">
        <is>
          <t>ÅNGE</t>
        </is>
      </c>
      <c r="G16182" t="n">
        <v>6.3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55729-2024</t>
        </is>
      </c>
      <c r="B16183" s="1" t="n">
        <v>45622</v>
      </c>
      <c r="C16183" s="1" t="n">
        <v>45657</v>
      </c>
      <c r="D16183" t="inlineStr">
        <is>
          <t>VÄSTERNORRLANDS LÄN</t>
        </is>
      </c>
      <c r="E16183" t="inlineStr">
        <is>
          <t>TIMRÅ</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55895-2024</t>
        </is>
      </c>
      <c r="B16184" s="1" t="n">
        <v>45622</v>
      </c>
      <c r="C16184" s="1" t="n">
        <v>45657</v>
      </c>
      <c r="D16184" t="inlineStr">
        <is>
          <t>VÄSTERNORRLANDS LÄN</t>
        </is>
      </c>
      <c r="E16184" t="inlineStr">
        <is>
          <t>HÄRNÖSAND</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55769-2024</t>
        </is>
      </c>
      <c r="B16185" s="1" t="n">
        <v>45623</v>
      </c>
      <c r="C16185" s="1" t="n">
        <v>45657</v>
      </c>
      <c r="D16185" t="inlineStr">
        <is>
          <t>VÄSTERNORRLANDS LÄN</t>
        </is>
      </c>
      <c r="E16185" t="inlineStr">
        <is>
          <t>SOLLEFTEÅ</t>
        </is>
      </c>
      <c r="F16185" t="inlineStr">
        <is>
          <t>SCA</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55778-2024</t>
        </is>
      </c>
      <c r="B16186" s="1" t="n">
        <v>45623</v>
      </c>
      <c r="C16186" s="1" t="n">
        <v>45657</v>
      </c>
      <c r="D16186" t="inlineStr">
        <is>
          <t>VÄSTERNORRLANDS LÄN</t>
        </is>
      </c>
      <c r="E16186" t="inlineStr">
        <is>
          <t>SUNDSVALL</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55787-2024</t>
        </is>
      </c>
      <c r="B16187" s="1" t="n">
        <v>45623</v>
      </c>
      <c r="C16187" s="1" t="n">
        <v>45657</v>
      </c>
      <c r="D16187" t="inlineStr">
        <is>
          <t>VÄSTERNORRLANDS LÄN</t>
        </is>
      </c>
      <c r="E16187" t="inlineStr">
        <is>
          <t>KRAMFORS</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55754-2024</t>
        </is>
      </c>
      <c r="B16188" s="1" t="n">
        <v>45623</v>
      </c>
      <c r="C16188" s="1" t="n">
        <v>45657</v>
      </c>
      <c r="D16188" t="inlineStr">
        <is>
          <t>VÄSTERNORRLANDS LÄN</t>
        </is>
      </c>
      <c r="E16188" t="inlineStr">
        <is>
          <t>ÖRNSKÖLDSVIK</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55775-2024</t>
        </is>
      </c>
      <c r="B16189" s="1" t="n">
        <v>45623</v>
      </c>
      <c r="C16189" s="1" t="n">
        <v>45657</v>
      </c>
      <c r="D16189" t="inlineStr">
        <is>
          <t>VÄSTERNORRLANDS LÄN</t>
        </is>
      </c>
      <c r="E16189" t="inlineStr">
        <is>
          <t>SUNDSVALL</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55792-2024</t>
        </is>
      </c>
      <c r="B16190" s="1" t="n">
        <v>45623</v>
      </c>
      <c r="C16190" s="1" t="n">
        <v>45657</v>
      </c>
      <c r="D16190" t="inlineStr">
        <is>
          <t>VÄSTERNORRLANDS LÄN</t>
        </is>
      </c>
      <c r="E16190" t="inlineStr">
        <is>
          <t>SOLLEFTEÅ</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55817-2024</t>
        </is>
      </c>
      <c r="B16191" s="1" t="n">
        <v>45623</v>
      </c>
      <c r="C16191" s="1" t="n">
        <v>45657</v>
      </c>
      <c r="D16191" t="inlineStr">
        <is>
          <t>VÄSTERNORRLANDS LÄN</t>
        </is>
      </c>
      <c r="E16191" t="inlineStr">
        <is>
          <t>SUNDSVALL</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55751-2024</t>
        </is>
      </c>
      <c r="B16192" s="1" t="n">
        <v>45623</v>
      </c>
      <c r="C16192" s="1" t="n">
        <v>45657</v>
      </c>
      <c r="D16192" t="inlineStr">
        <is>
          <t>VÄSTERNORRLANDS LÄN</t>
        </is>
      </c>
      <c r="E16192" t="inlineStr">
        <is>
          <t>ÅNGE</t>
        </is>
      </c>
      <c r="F16192" t="inlineStr">
        <is>
          <t>SCA</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55759-2024</t>
        </is>
      </c>
      <c r="B16193" s="1" t="n">
        <v>45623</v>
      </c>
      <c r="C16193" s="1" t="n">
        <v>45657</v>
      </c>
      <c r="D16193" t="inlineStr">
        <is>
          <t>VÄSTERNORRLANDS LÄN</t>
        </is>
      </c>
      <c r="E16193" t="inlineStr">
        <is>
          <t>SOLLEFTEÅ</t>
        </is>
      </c>
      <c r="G16193" t="n">
        <v>6.1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55789-2024</t>
        </is>
      </c>
      <c r="B16194" s="1" t="n">
        <v>45623</v>
      </c>
      <c r="C16194" s="1" t="n">
        <v>45657</v>
      </c>
      <c r="D16194" t="inlineStr">
        <is>
          <t>VÄSTERNORRLANDS LÄN</t>
        </is>
      </c>
      <c r="E16194" t="inlineStr">
        <is>
          <t>KRAMFORS</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55848-2024</t>
        </is>
      </c>
      <c r="B16195" s="1" t="n">
        <v>45623</v>
      </c>
      <c r="C16195" s="1" t="n">
        <v>45657</v>
      </c>
      <c r="D16195" t="inlineStr">
        <is>
          <t>VÄSTERNORRLANDS LÄN</t>
        </is>
      </c>
      <c r="E16195" t="inlineStr">
        <is>
          <t>SOLLEFTEÅ</t>
        </is>
      </c>
      <c r="F16195" t="inlineStr">
        <is>
          <t>SCA</t>
        </is>
      </c>
      <c r="G16195" t="n">
        <v>5.3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55868-2024</t>
        </is>
      </c>
      <c r="B16196" s="1" t="n">
        <v>45623</v>
      </c>
      <c r="C16196" s="1" t="n">
        <v>45657</v>
      </c>
      <c r="D16196" t="inlineStr">
        <is>
          <t>VÄSTERNORRLANDS LÄN</t>
        </is>
      </c>
      <c r="E16196" t="inlineStr">
        <is>
          <t>ÖRNSKÖLDSVIK</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55874-2024</t>
        </is>
      </c>
      <c r="B16197" s="1" t="n">
        <v>45623</v>
      </c>
      <c r="C16197" s="1" t="n">
        <v>45657</v>
      </c>
      <c r="D16197" t="inlineStr">
        <is>
          <t>VÄSTERNORRLANDS LÄN</t>
        </is>
      </c>
      <c r="E16197" t="inlineStr">
        <is>
          <t>TIMRÅ</t>
        </is>
      </c>
      <c r="F16197" t="inlineStr">
        <is>
          <t>SCA</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55752-2024</t>
        </is>
      </c>
      <c r="B16198" s="1" t="n">
        <v>45623</v>
      </c>
      <c r="C16198" s="1" t="n">
        <v>45657</v>
      </c>
      <c r="D16198" t="inlineStr">
        <is>
          <t>VÄSTERNORRLANDS LÄN</t>
        </is>
      </c>
      <c r="E16198" t="inlineStr">
        <is>
          <t>SUNDSVALL</t>
        </is>
      </c>
      <c r="F16198" t="inlineStr">
        <is>
          <t>SCA</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55756-2024</t>
        </is>
      </c>
      <c r="B16199" s="1" t="n">
        <v>45623</v>
      </c>
      <c r="C16199" s="1" t="n">
        <v>45657</v>
      </c>
      <c r="D16199" t="inlineStr">
        <is>
          <t>VÄSTERNORRLANDS LÄN</t>
        </is>
      </c>
      <c r="E16199" t="inlineStr">
        <is>
          <t>SOLLEFTEÅ</t>
        </is>
      </c>
      <c r="F16199" t="inlineStr">
        <is>
          <t>Holmen skog AB</t>
        </is>
      </c>
      <c r="G16199" t="n">
        <v>5.6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55760-2024</t>
        </is>
      </c>
      <c r="B16200" s="1" t="n">
        <v>45623</v>
      </c>
      <c r="C16200" s="1" t="n">
        <v>45657</v>
      </c>
      <c r="D16200" t="inlineStr">
        <is>
          <t>VÄSTERNORRLANDS LÄN</t>
        </is>
      </c>
      <c r="E16200" t="inlineStr">
        <is>
          <t>KRAMFORS</t>
        </is>
      </c>
      <c r="F16200" t="inlineStr">
        <is>
          <t>SCA</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55790-2024</t>
        </is>
      </c>
      <c r="B16201" s="1" t="n">
        <v>45623</v>
      </c>
      <c r="C16201" s="1" t="n">
        <v>45657</v>
      </c>
      <c r="D16201" t="inlineStr">
        <is>
          <t>VÄSTERNORRLANDS LÄN</t>
        </is>
      </c>
      <c r="E16201" t="inlineStr">
        <is>
          <t>SUNDSVALL</t>
        </is>
      </c>
      <c r="F16201" t="inlineStr">
        <is>
          <t>Naturvårdsverket</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55820-2024</t>
        </is>
      </c>
      <c r="B16202" s="1" t="n">
        <v>45623</v>
      </c>
      <c r="C16202" s="1" t="n">
        <v>45657</v>
      </c>
      <c r="D16202" t="inlineStr">
        <is>
          <t>VÄSTERNORRLANDS LÄN</t>
        </is>
      </c>
      <c r="E16202" t="inlineStr">
        <is>
          <t>KRAMFORS</t>
        </is>
      </c>
      <c r="G16202" t="n">
        <v>6.5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55824-2024</t>
        </is>
      </c>
      <c r="B16203" s="1" t="n">
        <v>45623</v>
      </c>
      <c r="C16203" s="1" t="n">
        <v>45657</v>
      </c>
      <c r="D16203" t="inlineStr">
        <is>
          <t>VÄSTERNORRLANDS LÄN</t>
        </is>
      </c>
      <c r="E16203" t="inlineStr">
        <is>
          <t>SOLLEFTEÅ</t>
        </is>
      </c>
      <c r="G16203" t="n">
        <v>4.5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55829-2024</t>
        </is>
      </c>
      <c r="B16204" s="1" t="n">
        <v>45623</v>
      </c>
      <c r="C16204" s="1" t="n">
        <v>45657</v>
      </c>
      <c r="D16204" t="inlineStr">
        <is>
          <t>VÄSTERNORRLANDS LÄN</t>
        </is>
      </c>
      <c r="E16204" t="inlineStr">
        <is>
          <t>ÖRNSKÖLDSVIK</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55872-2024</t>
        </is>
      </c>
      <c r="B16205" s="1" t="n">
        <v>45623</v>
      </c>
      <c r="C16205" s="1" t="n">
        <v>45657</v>
      </c>
      <c r="D16205" t="inlineStr">
        <is>
          <t>VÄSTERNORRLANDS LÄN</t>
        </is>
      </c>
      <c r="E16205" t="inlineStr">
        <is>
          <t>SOLLEFTEÅ</t>
        </is>
      </c>
      <c r="F16205" t="inlineStr">
        <is>
          <t>SCA</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55851-2024</t>
        </is>
      </c>
      <c r="B16206" s="1" t="n">
        <v>45623</v>
      </c>
      <c r="C16206" s="1" t="n">
        <v>45657</v>
      </c>
      <c r="D16206" t="inlineStr">
        <is>
          <t>VÄSTERNORRLANDS LÄN</t>
        </is>
      </c>
      <c r="E16206" t="inlineStr">
        <is>
          <t>SOLLEFTEÅ</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55873-2024</t>
        </is>
      </c>
      <c r="B16207" s="1" t="n">
        <v>45623</v>
      </c>
      <c r="C16207" s="1" t="n">
        <v>45657</v>
      </c>
      <c r="D16207" t="inlineStr">
        <is>
          <t>VÄSTERNORRLANDS LÄN</t>
        </is>
      </c>
      <c r="E16207" t="inlineStr">
        <is>
          <t>TIMRÅ</t>
        </is>
      </c>
      <c r="F16207" t="inlineStr">
        <is>
          <t>SCA</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55934-2024</t>
        </is>
      </c>
      <c r="B16208" s="1" t="n">
        <v>45623</v>
      </c>
      <c r="C16208" s="1" t="n">
        <v>45657</v>
      </c>
      <c r="D16208" t="inlineStr">
        <is>
          <t>VÄSTERNORRLANDS LÄN</t>
        </is>
      </c>
      <c r="E16208" t="inlineStr">
        <is>
          <t>ÖRNSKÖLDSVIK</t>
        </is>
      </c>
      <c r="F16208" t="inlineStr">
        <is>
          <t>Holmen skog AB</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55923-2024</t>
        </is>
      </c>
      <c r="B16209" s="1" t="n">
        <v>45623</v>
      </c>
      <c r="C16209" s="1" t="n">
        <v>45657</v>
      </c>
      <c r="D16209" t="inlineStr">
        <is>
          <t>VÄSTERNORRLANDS LÄN</t>
        </is>
      </c>
      <c r="E16209" t="inlineStr">
        <is>
          <t>KRAMFORS</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55972-2024</t>
        </is>
      </c>
      <c r="B16210" s="1" t="n">
        <v>45623</v>
      </c>
      <c r="C16210" s="1" t="n">
        <v>45657</v>
      </c>
      <c r="D16210" t="inlineStr">
        <is>
          <t>VÄSTERNORRLANDS LÄN</t>
        </is>
      </c>
      <c r="E16210" t="inlineStr">
        <is>
          <t>ÖRNSKÖLDSVIK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56015-2024</t>
        </is>
      </c>
      <c r="B16211" s="1" t="n">
        <v>45623</v>
      </c>
      <c r="C16211" s="1" t="n">
        <v>45657</v>
      </c>
      <c r="D16211" t="inlineStr">
        <is>
          <t>VÄSTERNORRLANDS LÄN</t>
        </is>
      </c>
      <c r="E16211" t="inlineStr">
        <is>
          <t>SUNDSVALL</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56033-2024</t>
        </is>
      </c>
      <c r="B16212" s="1" t="n">
        <v>45624</v>
      </c>
      <c r="C16212" s="1" t="n">
        <v>45657</v>
      </c>
      <c r="D16212" t="inlineStr">
        <is>
          <t>VÄSTERNORRLANDS LÄN</t>
        </is>
      </c>
      <c r="E16212" t="inlineStr">
        <is>
          <t>SOLLEFTEÅ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56037-2024</t>
        </is>
      </c>
      <c r="B16213" s="1" t="n">
        <v>45624</v>
      </c>
      <c r="C16213" s="1" t="n">
        <v>45657</v>
      </c>
      <c r="D16213" t="inlineStr">
        <is>
          <t>VÄSTERNORRLANDS LÄN</t>
        </is>
      </c>
      <c r="E16213" t="inlineStr">
        <is>
          <t>SOLLEFTEÅ</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56042-2024</t>
        </is>
      </c>
      <c r="B16214" s="1" t="n">
        <v>45624</v>
      </c>
      <c r="C16214" s="1" t="n">
        <v>45657</v>
      </c>
      <c r="D16214" t="inlineStr">
        <is>
          <t>VÄSTERNORRLANDS LÄN</t>
        </is>
      </c>
      <c r="E16214" t="inlineStr">
        <is>
          <t>ÅNGE</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56046-2024</t>
        </is>
      </c>
      <c r="B16215" s="1" t="n">
        <v>45624</v>
      </c>
      <c r="C16215" s="1" t="n">
        <v>45657</v>
      </c>
      <c r="D16215" t="inlineStr">
        <is>
          <t>VÄSTERNORRLANDS LÄN</t>
        </is>
      </c>
      <c r="E16215" t="inlineStr">
        <is>
          <t>TIMRÅ</t>
        </is>
      </c>
      <c r="F16215" t="inlineStr">
        <is>
          <t>SCA</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56070-2024</t>
        </is>
      </c>
      <c r="B16216" s="1" t="n">
        <v>45624</v>
      </c>
      <c r="C16216" s="1" t="n">
        <v>45657</v>
      </c>
      <c r="D16216" t="inlineStr">
        <is>
          <t>VÄSTERNORRLANDS LÄN</t>
        </is>
      </c>
      <c r="E16216" t="inlineStr">
        <is>
          <t>ÖRNSKÖLDSVIK</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56185-2024</t>
        </is>
      </c>
      <c r="B16217" s="1" t="n">
        <v>45624</v>
      </c>
      <c r="C16217" s="1" t="n">
        <v>45657</v>
      </c>
      <c r="D16217" t="inlineStr">
        <is>
          <t>VÄSTERNORRLANDS LÄN</t>
        </is>
      </c>
      <c r="E16217" t="inlineStr">
        <is>
          <t>SUNDSVALL</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56190-2024</t>
        </is>
      </c>
      <c r="B16218" s="1" t="n">
        <v>45624</v>
      </c>
      <c r="C16218" s="1" t="n">
        <v>45657</v>
      </c>
      <c r="D16218" t="inlineStr">
        <is>
          <t>VÄSTERNORRLANDS LÄN</t>
        </is>
      </c>
      <c r="E16218" t="inlineStr">
        <is>
          <t>SOLLEFTEÅ</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56199-2024</t>
        </is>
      </c>
      <c r="B16219" s="1" t="n">
        <v>45624</v>
      </c>
      <c r="C16219" s="1" t="n">
        <v>45657</v>
      </c>
      <c r="D16219" t="inlineStr">
        <is>
          <t>VÄSTERNORRLANDS LÄN</t>
        </is>
      </c>
      <c r="E16219" t="inlineStr">
        <is>
          <t>ÅNGE</t>
        </is>
      </c>
      <c r="F16219" t="inlineStr">
        <is>
          <t>SCA</t>
        </is>
      </c>
      <c r="G16219" t="n">
        <v>5.1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56191-2024</t>
        </is>
      </c>
      <c r="B16220" s="1" t="n">
        <v>45624</v>
      </c>
      <c r="C16220" s="1" t="n">
        <v>45657</v>
      </c>
      <c r="D16220" t="inlineStr">
        <is>
          <t>VÄSTERNORRLANDS LÄN</t>
        </is>
      </c>
      <c r="E16220" t="inlineStr">
        <is>
          <t>ÅNGE</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56207-2024</t>
        </is>
      </c>
      <c r="B16221" s="1" t="n">
        <v>45624</v>
      </c>
      <c r="C16221" s="1" t="n">
        <v>45657</v>
      </c>
      <c r="D16221" t="inlineStr">
        <is>
          <t>VÄSTERNORRLANDS LÄN</t>
        </is>
      </c>
      <c r="E16221" t="inlineStr">
        <is>
          <t>SOLLEFTEÅ</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56211-2024</t>
        </is>
      </c>
      <c r="B16222" s="1" t="n">
        <v>45624</v>
      </c>
      <c r="C16222" s="1" t="n">
        <v>45657</v>
      </c>
      <c r="D16222" t="inlineStr">
        <is>
          <t>VÄSTERNORRLANDS LÄN</t>
        </is>
      </c>
      <c r="E16222" t="inlineStr">
        <is>
          <t>SUNDSVALL</t>
        </is>
      </c>
      <c r="G16222" t="n">
        <v>21.5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56200-2024</t>
        </is>
      </c>
      <c r="B16223" s="1" t="n">
        <v>45624</v>
      </c>
      <c r="C16223" s="1" t="n">
        <v>45657</v>
      </c>
      <c r="D16223" t="inlineStr">
        <is>
          <t>VÄSTERNORRLANDS LÄN</t>
        </is>
      </c>
      <c r="E16223" t="inlineStr">
        <is>
          <t>ÖRNSKÖLDSVIK</t>
        </is>
      </c>
      <c r="F16223" t="inlineStr">
        <is>
          <t>SCA</t>
        </is>
      </c>
      <c r="G16223" t="n">
        <v>5.9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56204-2024</t>
        </is>
      </c>
      <c r="B16224" s="1" t="n">
        <v>45624</v>
      </c>
      <c r="C16224" s="1" t="n">
        <v>45657</v>
      </c>
      <c r="D16224" t="inlineStr">
        <is>
          <t>VÄSTERNORRLANDS LÄN</t>
        </is>
      </c>
      <c r="E16224" t="inlineStr">
        <is>
          <t>SOLLEFTEÅ</t>
        </is>
      </c>
      <c r="G16224" t="n">
        <v>6.4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56208-2024</t>
        </is>
      </c>
      <c r="B16225" s="1" t="n">
        <v>45624</v>
      </c>
      <c r="C16225" s="1" t="n">
        <v>45657</v>
      </c>
      <c r="D16225" t="inlineStr">
        <is>
          <t>VÄSTERNORRLANDS LÄN</t>
        </is>
      </c>
      <c r="E16225" t="inlineStr">
        <is>
          <t>HÄRNÖSAND</t>
        </is>
      </c>
      <c r="G16225" t="n">
        <v>15.5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56232-2024</t>
        </is>
      </c>
      <c r="B16226" s="1" t="n">
        <v>45624</v>
      </c>
      <c r="C16226" s="1" t="n">
        <v>45657</v>
      </c>
      <c r="D16226" t="inlineStr">
        <is>
          <t>VÄSTERNORRLANDS LÄN</t>
        </is>
      </c>
      <c r="E16226" t="inlineStr">
        <is>
          <t>ÅNGE</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56271-2024</t>
        </is>
      </c>
      <c r="B16227" s="1" t="n">
        <v>45624</v>
      </c>
      <c r="C16227" s="1" t="n">
        <v>45657</v>
      </c>
      <c r="D16227" t="inlineStr">
        <is>
          <t>VÄSTERNORRLANDS LÄN</t>
        </is>
      </c>
      <c r="E16227" t="inlineStr">
        <is>
          <t>ÅNGE</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56248-2024</t>
        </is>
      </c>
      <c r="B16228" s="1" t="n">
        <v>45624</v>
      </c>
      <c r="C16228" s="1" t="n">
        <v>45657</v>
      </c>
      <c r="D16228" t="inlineStr">
        <is>
          <t>VÄSTERNORRLANDS LÄN</t>
        </is>
      </c>
      <c r="E16228" t="inlineStr">
        <is>
          <t>SOLLEFTEÅ</t>
        </is>
      </c>
      <c r="F16228" t="inlineStr">
        <is>
          <t>SCA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56252-2024</t>
        </is>
      </c>
      <c r="B16229" s="1" t="n">
        <v>45624</v>
      </c>
      <c r="C16229" s="1" t="n">
        <v>45657</v>
      </c>
      <c r="D16229" t="inlineStr">
        <is>
          <t>VÄSTERNORRLANDS LÄN</t>
        </is>
      </c>
      <c r="E16229" t="inlineStr">
        <is>
          <t>SOLLEFTEÅ</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56256-2024</t>
        </is>
      </c>
      <c r="B16230" s="1" t="n">
        <v>45624</v>
      </c>
      <c r="C16230" s="1" t="n">
        <v>45657</v>
      </c>
      <c r="D16230" t="inlineStr">
        <is>
          <t>VÄSTERNORRLANDS LÄN</t>
        </is>
      </c>
      <c r="E16230" t="inlineStr">
        <is>
          <t>ÖRNSKÖLDSVIK</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56284-2024</t>
        </is>
      </c>
      <c r="B16231" s="1" t="n">
        <v>45624</v>
      </c>
      <c r="C16231" s="1" t="n">
        <v>45657</v>
      </c>
      <c r="D16231" t="inlineStr">
        <is>
          <t>VÄSTERNORRLANDS LÄN</t>
        </is>
      </c>
      <c r="E16231" t="inlineStr">
        <is>
          <t>TIMRÅ</t>
        </is>
      </c>
      <c r="F16231" t="inlineStr">
        <is>
          <t>SCA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56288-2024</t>
        </is>
      </c>
      <c r="B16232" s="1" t="n">
        <v>45624</v>
      </c>
      <c r="C16232" s="1" t="n">
        <v>45657</v>
      </c>
      <c r="D16232" t="inlineStr">
        <is>
          <t>VÄSTERNORRLANDS LÄN</t>
        </is>
      </c>
      <c r="E16232" t="inlineStr">
        <is>
          <t>TIMRÅ</t>
        </is>
      </c>
      <c r="F16232" t="inlineStr">
        <is>
          <t>SCA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56304-2024</t>
        </is>
      </c>
      <c r="B16233" s="1" t="n">
        <v>45624</v>
      </c>
      <c r="C16233" s="1" t="n">
        <v>45657</v>
      </c>
      <c r="D16233" t="inlineStr">
        <is>
          <t>VÄSTERNORRLANDS LÄN</t>
        </is>
      </c>
      <c r="E16233" t="inlineStr">
        <is>
          <t>HÄRNÖSAND</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56044-2024</t>
        </is>
      </c>
      <c r="B16234" s="1" t="n">
        <v>45624</v>
      </c>
      <c r="C16234" s="1" t="n">
        <v>45657</v>
      </c>
      <c r="D16234" t="inlineStr">
        <is>
          <t>VÄSTERNORRLANDS LÄN</t>
        </is>
      </c>
      <c r="E16234" t="inlineStr">
        <is>
          <t>ÅNGE</t>
        </is>
      </c>
      <c r="G16234" t="n">
        <v>3.9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56095-2024</t>
        </is>
      </c>
      <c r="B16235" s="1" t="n">
        <v>45624</v>
      </c>
      <c r="C16235" s="1" t="n">
        <v>45657</v>
      </c>
      <c r="D16235" t="inlineStr">
        <is>
          <t>VÄSTERNORRLANDS LÄN</t>
        </is>
      </c>
      <c r="E16235" t="inlineStr">
        <is>
          <t>ÖRNSKÖLDSVIK</t>
        </is>
      </c>
      <c r="F16235" t="inlineStr">
        <is>
          <t>Holmen skog AB</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56111-2024</t>
        </is>
      </c>
      <c r="B16236" s="1" t="n">
        <v>45624</v>
      </c>
      <c r="C16236" s="1" t="n">
        <v>45657</v>
      </c>
      <c r="D16236" t="inlineStr">
        <is>
          <t>VÄSTERNORRLANDS LÄN</t>
        </is>
      </c>
      <c r="E16236" t="inlineStr">
        <is>
          <t>ÅNGE</t>
        </is>
      </c>
      <c r="F16236" t="inlineStr">
        <is>
          <t>SCA</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56076-2024</t>
        </is>
      </c>
      <c r="B16237" s="1" t="n">
        <v>45624</v>
      </c>
      <c r="C16237" s="1" t="n">
        <v>45657</v>
      </c>
      <c r="D16237" t="inlineStr">
        <is>
          <t>VÄSTERNORRLANDS LÄN</t>
        </is>
      </c>
      <c r="E16237" t="inlineStr">
        <is>
          <t>ÖRNSKÖLDSVIK</t>
        </is>
      </c>
      <c r="F16237" t="inlineStr">
        <is>
          <t>Holmen skog AB</t>
        </is>
      </c>
      <c r="G16237" t="n">
        <v>3.8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56189-2024</t>
        </is>
      </c>
      <c r="B16238" s="1" t="n">
        <v>45624</v>
      </c>
      <c r="C16238" s="1" t="n">
        <v>45657</v>
      </c>
      <c r="D16238" t="inlineStr">
        <is>
          <t>VÄSTERNORRLANDS LÄN</t>
        </is>
      </c>
      <c r="E16238" t="inlineStr">
        <is>
          <t>ÅNGE</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56198-2024</t>
        </is>
      </c>
      <c r="B16239" s="1" t="n">
        <v>45624</v>
      </c>
      <c r="C16239" s="1" t="n">
        <v>45657</v>
      </c>
      <c r="D16239" t="inlineStr">
        <is>
          <t>VÄSTERNORRLANDS LÄN</t>
        </is>
      </c>
      <c r="E16239" t="inlineStr">
        <is>
          <t>ÖRNSKÖLDSVIK</t>
        </is>
      </c>
      <c r="F16239" t="inlineStr">
        <is>
          <t>SCA</t>
        </is>
      </c>
      <c r="G16239" t="n">
        <v>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56206-2024</t>
        </is>
      </c>
      <c r="B16240" s="1" t="n">
        <v>45624</v>
      </c>
      <c r="C16240" s="1" t="n">
        <v>45657</v>
      </c>
      <c r="D16240" t="inlineStr">
        <is>
          <t>VÄSTERNORRLANDS LÄN</t>
        </is>
      </c>
      <c r="E16240" t="inlineStr">
        <is>
          <t>SOLLEFTEÅ</t>
        </is>
      </c>
      <c r="G16240" t="n">
        <v>7.4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56214-2024</t>
        </is>
      </c>
      <c r="B16241" s="1" t="n">
        <v>45624</v>
      </c>
      <c r="C16241" s="1" t="n">
        <v>45657</v>
      </c>
      <c r="D16241" t="inlineStr">
        <is>
          <t>VÄSTERNORRLANDS LÄN</t>
        </is>
      </c>
      <c r="E16241" t="inlineStr">
        <is>
          <t>SUNDSVALL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56250-2024</t>
        </is>
      </c>
      <c r="B16242" s="1" t="n">
        <v>45624</v>
      </c>
      <c r="C16242" s="1" t="n">
        <v>45657</v>
      </c>
      <c r="D16242" t="inlineStr">
        <is>
          <t>VÄSTERNORRLANDS LÄN</t>
        </is>
      </c>
      <c r="E16242" t="inlineStr">
        <is>
          <t>ÖRNSKÖLDSVIK</t>
        </is>
      </c>
      <c r="F16242" t="inlineStr">
        <is>
          <t>Holmen skog AB</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56286-2024</t>
        </is>
      </c>
      <c r="B16243" s="1" t="n">
        <v>45624</v>
      </c>
      <c r="C16243" s="1" t="n">
        <v>45657</v>
      </c>
      <c r="D16243" t="inlineStr">
        <is>
          <t>VÄSTERNORRLANDS LÄN</t>
        </is>
      </c>
      <c r="E16243" t="inlineStr">
        <is>
          <t>TIMRÅ</t>
        </is>
      </c>
      <c r="F16243" t="inlineStr">
        <is>
          <t>SCA</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56155-2024</t>
        </is>
      </c>
      <c r="B16244" s="1" t="n">
        <v>45624</v>
      </c>
      <c r="C16244" s="1" t="n">
        <v>45657</v>
      </c>
      <c r="D16244" t="inlineStr">
        <is>
          <t>VÄSTERNORRLANDS LÄN</t>
        </is>
      </c>
      <c r="E16244" t="inlineStr">
        <is>
          <t>TIMRÅ</t>
        </is>
      </c>
      <c r="G16244" t="n">
        <v>5.9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56188-2024</t>
        </is>
      </c>
      <c r="B16245" s="1" t="n">
        <v>45624</v>
      </c>
      <c r="C16245" s="1" t="n">
        <v>45657</v>
      </c>
      <c r="D16245" t="inlineStr">
        <is>
          <t>VÄSTERNORRLANDS LÄN</t>
        </is>
      </c>
      <c r="E16245" t="inlineStr">
        <is>
          <t>ÅNGE</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56197-2024</t>
        </is>
      </c>
      <c r="B16246" s="1" t="n">
        <v>45624</v>
      </c>
      <c r="C16246" s="1" t="n">
        <v>45657</v>
      </c>
      <c r="D16246" t="inlineStr">
        <is>
          <t>VÄSTERNORRLANDS LÄN</t>
        </is>
      </c>
      <c r="E16246" t="inlineStr">
        <is>
          <t>SUNDSVALL</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56217-2024</t>
        </is>
      </c>
      <c r="B16247" s="1" t="n">
        <v>45624</v>
      </c>
      <c r="C16247" s="1" t="n">
        <v>45657</v>
      </c>
      <c r="D16247" t="inlineStr">
        <is>
          <t>VÄSTERNORRLANDS LÄN</t>
        </is>
      </c>
      <c r="E16247" t="inlineStr">
        <is>
          <t>ÖRNSKÖLDSVIK</t>
        </is>
      </c>
      <c r="F16247" t="inlineStr">
        <is>
          <t>Holmen skog AB</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56249-2024</t>
        </is>
      </c>
      <c r="B16248" s="1" t="n">
        <v>45624</v>
      </c>
      <c r="C16248" s="1" t="n">
        <v>45657</v>
      </c>
      <c r="D16248" t="inlineStr">
        <is>
          <t>VÄSTERNORRLANDS LÄN</t>
        </is>
      </c>
      <c r="E16248" t="inlineStr">
        <is>
          <t>SOLLEFTEÅ</t>
        </is>
      </c>
      <c r="F16248" t="inlineStr">
        <is>
          <t>SCA</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56257-2024</t>
        </is>
      </c>
      <c r="B16249" s="1" t="n">
        <v>45624</v>
      </c>
      <c r="C16249" s="1" t="n">
        <v>45657</v>
      </c>
      <c r="D16249" t="inlineStr">
        <is>
          <t>VÄSTERNORRLANDS LÄN</t>
        </is>
      </c>
      <c r="E16249" t="inlineStr">
        <is>
          <t>SOLLEFTEÅ</t>
        </is>
      </c>
      <c r="G16249" t="n">
        <v>7.4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56265-2024</t>
        </is>
      </c>
      <c r="B16250" s="1" t="n">
        <v>45624</v>
      </c>
      <c r="C16250" s="1" t="n">
        <v>45657</v>
      </c>
      <c r="D16250" t="inlineStr">
        <is>
          <t>VÄSTERNORRLANDS LÄN</t>
        </is>
      </c>
      <c r="E16250" t="inlineStr">
        <is>
          <t>SOLLEFTEÅ</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56273-2024</t>
        </is>
      </c>
      <c r="B16251" s="1" t="n">
        <v>45624</v>
      </c>
      <c r="C16251" s="1" t="n">
        <v>45657</v>
      </c>
      <c r="D16251" t="inlineStr">
        <is>
          <t>VÄSTERNORRLANDS LÄN</t>
        </is>
      </c>
      <c r="E16251" t="inlineStr">
        <is>
          <t>SOLLEFTEÅ</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56285-2024</t>
        </is>
      </c>
      <c r="B16252" s="1" t="n">
        <v>45624</v>
      </c>
      <c r="C16252" s="1" t="n">
        <v>45657</v>
      </c>
      <c r="D16252" t="inlineStr">
        <is>
          <t>VÄSTERNORRLANDS LÄN</t>
        </is>
      </c>
      <c r="E16252" t="inlineStr">
        <is>
          <t>TIMRÅ</t>
        </is>
      </c>
      <c r="F16252" t="inlineStr">
        <is>
          <t>SCA</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56306-2024</t>
        </is>
      </c>
      <c r="B16253" s="1" t="n">
        <v>45624</v>
      </c>
      <c r="C16253" s="1" t="n">
        <v>45657</v>
      </c>
      <c r="D16253" t="inlineStr">
        <is>
          <t>VÄSTERNORRLANDS LÄN</t>
        </is>
      </c>
      <c r="E16253" t="inlineStr">
        <is>
          <t>ÖRNSKÖLDSVIK</t>
        </is>
      </c>
      <c r="F16253" t="inlineStr">
        <is>
          <t>SCA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56322-2024</t>
        </is>
      </c>
      <c r="B16254" s="1" t="n">
        <v>45624</v>
      </c>
      <c r="C16254" s="1" t="n">
        <v>45657</v>
      </c>
      <c r="D16254" t="inlineStr">
        <is>
          <t>VÄSTERNORRLANDS LÄN</t>
        </is>
      </c>
      <c r="E16254" t="inlineStr">
        <is>
          <t>ÖRNSKÖLDSVIK</t>
        </is>
      </c>
      <c r="G16254" t="n">
        <v>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56337-2024</t>
        </is>
      </c>
      <c r="B16255" s="1" t="n">
        <v>45624</v>
      </c>
      <c r="C16255" s="1" t="n">
        <v>45657</v>
      </c>
      <c r="D16255" t="inlineStr">
        <is>
          <t>VÄSTERNORRLANDS LÄN</t>
        </is>
      </c>
      <c r="E16255" t="inlineStr">
        <is>
          <t>ÖRNSKÖLDSVIK</t>
        </is>
      </c>
      <c r="F16255" t="inlineStr">
        <is>
          <t>Holmen skog AB</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56349-2024</t>
        </is>
      </c>
      <c r="B16256" s="1" t="n">
        <v>45624</v>
      </c>
      <c r="C16256" s="1" t="n">
        <v>45657</v>
      </c>
      <c r="D16256" t="inlineStr">
        <is>
          <t>VÄSTERNORRLANDS LÄN</t>
        </is>
      </c>
      <c r="E16256" t="inlineStr">
        <is>
          <t>ÖRNSKÖLDSVIK</t>
        </is>
      </c>
      <c r="F16256" t="inlineStr">
        <is>
          <t>Holmen skog AB</t>
        </is>
      </c>
      <c r="G16256" t="n">
        <v>8.199999999999999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56387-2024</t>
        </is>
      </c>
      <c r="B16257" s="1" t="n">
        <v>45625</v>
      </c>
      <c r="C16257" s="1" t="n">
        <v>45657</v>
      </c>
      <c r="D16257" t="inlineStr">
        <is>
          <t>VÄSTERNORRLANDS LÄN</t>
        </is>
      </c>
      <c r="E16257" t="inlineStr">
        <is>
          <t>SOLLEFTEÅ</t>
        </is>
      </c>
      <c r="F16257" t="inlineStr">
        <is>
          <t>SCA</t>
        </is>
      </c>
      <c r="G16257" t="n">
        <v>10.6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56408-2024</t>
        </is>
      </c>
      <c r="B16258" s="1" t="n">
        <v>45625</v>
      </c>
      <c r="C16258" s="1" t="n">
        <v>45657</v>
      </c>
      <c r="D16258" t="inlineStr">
        <is>
          <t>VÄSTERNORRLANDS LÄN</t>
        </is>
      </c>
      <c r="E16258" t="inlineStr">
        <is>
          <t>SOLLEFTEÅ</t>
        </is>
      </c>
      <c r="F16258" t="inlineStr">
        <is>
          <t>SCA</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56433-2024</t>
        </is>
      </c>
      <c r="B16259" s="1" t="n">
        <v>45625</v>
      </c>
      <c r="C16259" s="1" t="n">
        <v>45657</v>
      </c>
      <c r="D16259" t="inlineStr">
        <is>
          <t>VÄSTERNORRLANDS LÄN</t>
        </is>
      </c>
      <c r="E16259" t="inlineStr">
        <is>
          <t>SOLLEFTEÅ</t>
        </is>
      </c>
      <c r="F16259" t="inlineStr">
        <is>
          <t>SCA</t>
        </is>
      </c>
      <c r="G16259" t="n">
        <v>4.8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56388-2024</t>
        </is>
      </c>
      <c r="B16260" s="1" t="n">
        <v>45625</v>
      </c>
      <c r="C16260" s="1" t="n">
        <v>45657</v>
      </c>
      <c r="D16260" t="inlineStr">
        <is>
          <t>VÄSTERNORRLANDS LÄN</t>
        </is>
      </c>
      <c r="E16260" t="inlineStr">
        <is>
          <t>SOLLEFTEÅ</t>
        </is>
      </c>
      <c r="F16260" t="inlineStr">
        <is>
          <t>SCA</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56397-2024</t>
        </is>
      </c>
      <c r="B16261" s="1" t="n">
        <v>45625</v>
      </c>
      <c r="C16261" s="1" t="n">
        <v>45657</v>
      </c>
      <c r="D16261" t="inlineStr">
        <is>
          <t>VÄSTERNORRLANDS LÄN</t>
        </is>
      </c>
      <c r="E16261" t="inlineStr">
        <is>
          <t>ÖRNSKÖLDSVIK</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56423-2024</t>
        </is>
      </c>
      <c r="B16262" s="1" t="n">
        <v>45625</v>
      </c>
      <c r="C16262" s="1" t="n">
        <v>45657</v>
      </c>
      <c r="D16262" t="inlineStr">
        <is>
          <t>VÄSTERNORRLANDS LÄN</t>
        </is>
      </c>
      <c r="E16262" t="inlineStr">
        <is>
          <t>SUNDSVALL</t>
        </is>
      </c>
      <c r="G16262" t="n">
        <v>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56442-2024</t>
        </is>
      </c>
      <c r="B16263" s="1" t="n">
        <v>45625</v>
      </c>
      <c r="C16263" s="1" t="n">
        <v>45657</v>
      </c>
      <c r="D16263" t="inlineStr">
        <is>
          <t>VÄSTERNORRLANDS LÄN</t>
        </is>
      </c>
      <c r="E16263" t="inlineStr">
        <is>
          <t>TIMRÅ</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56566-2024</t>
        </is>
      </c>
      <c r="B16264" s="1" t="n">
        <v>45625</v>
      </c>
      <c r="C16264" s="1" t="n">
        <v>45657</v>
      </c>
      <c r="D16264" t="inlineStr">
        <is>
          <t>VÄSTERNORRLANDS LÄN</t>
        </is>
      </c>
      <c r="E16264" t="inlineStr">
        <is>
          <t>ÖRNSKÖLDSVIK</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56574-2024</t>
        </is>
      </c>
      <c r="B16265" s="1" t="n">
        <v>45625</v>
      </c>
      <c r="C16265" s="1" t="n">
        <v>45657</v>
      </c>
      <c r="D16265" t="inlineStr">
        <is>
          <t>VÄSTERNORRLANDS LÄN</t>
        </is>
      </c>
      <c r="E16265" t="inlineStr">
        <is>
          <t>ÅNGE</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56648-2024</t>
        </is>
      </c>
      <c r="B16266" s="1" t="n">
        <v>45625</v>
      </c>
      <c r="C16266" s="1" t="n">
        <v>45657</v>
      </c>
      <c r="D16266" t="inlineStr">
        <is>
          <t>VÄSTERNORRLANDS LÄN</t>
        </is>
      </c>
      <c r="E16266" t="inlineStr">
        <is>
          <t>SUNDSVALL</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56389-2024</t>
        </is>
      </c>
      <c r="B16267" s="1" t="n">
        <v>45625</v>
      </c>
      <c r="C16267" s="1" t="n">
        <v>45657</v>
      </c>
      <c r="D16267" t="inlineStr">
        <is>
          <t>VÄSTERNORRLANDS LÄN</t>
        </is>
      </c>
      <c r="E16267" t="inlineStr">
        <is>
          <t>ÖRNSKÖLDSVIK</t>
        </is>
      </c>
      <c r="F16267" t="inlineStr">
        <is>
          <t>SCA</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56398-2024</t>
        </is>
      </c>
      <c r="B16268" s="1" t="n">
        <v>45625</v>
      </c>
      <c r="C16268" s="1" t="n">
        <v>45657</v>
      </c>
      <c r="D16268" t="inlineStr">
        <is>
          <t>VÄSTERNORRLANDS LÄN</t>
        </is>
      </c>
      <c r="E16268" t="inlineStr">
        <is>
          <t>SOLLEFTEÅ</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56402-2024</t>
        </is>
      </c>
      <c r="B16269" s="1" t="n">
        <v>45625</v>
      </c>
      <c r="C16269" s="1" t="n">
        <v>45657</v>
      </c>
      <c r="D16269" t="inlineStr">
        <is>
          <t>VÄSTERNORRLANDS LÄN</t>
        </is>
      </c>
      <c r="E16269" t="inlineStr">
        <is>
          <t>ÖRNSKÖLDSVIK</t>
        </is>
      </c>
      <c r="G16269" t="n">
        <v>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56424-2024</t>
        </is>
      </c>
      <c r="B16270" s="1" t="n">
        <v>45625</v>
      </c>
      <c r="C16270" s="1" t="n">
        <v>45657</v>
      </c>
      <c r="D16270" t="inlineStr">
        <is>
          <t>VÄSTERNORRLANDS LÄN</t>
        </is>
      </c>
      <c r="E16270" t="inlineStr">
        <is>
          <t>ÖRNSKÖLDSVIK</t>
        </is>
      </c>
      <c r="F16270" t="inlineStr">
        <is>
          <t>Holmen skog AB</t>
        </is>
      </c>
      <c r="G16270" t="n">
        <v>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56431-2024</t>
        </is>
      </c>
      <c r="B16271" s="1" t="n">
        <v>45625</v>
      </c>
      <c r="C16271" s="1" t="n">
        <v>45657</v>
      </c>
      <c r="D16271" t="inlineStr">
        <is>
          <t>VÄSTERNORRLANDS LÄN</t>
        </is>
      </c>
      <c r="E16271" t="inlineStr">
        <is>
          <t>SOLLEFTEÅ</t>
        </is>
      </c>
      <c r="F16271" t="inlineStr">
        <is>
          <t>SCA</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56443-2024</t>
        </is>
      </c>
      <c r="B16272" s="1" t="n">
        <v>45625</v>
      </c>
      <c r="C16272" s="1" t="n">
        <v>45657</v>
      </c>
      <c r="D16272" t="inlineStr">
        <is>
          <t>VÄSTERNORRLANDS LÄN</t>
        </is>
      </c>
      <c r="E16272" t="inlineStr">
        <is>
          <t>TIMRÅ</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56569-2024</t>
        </is>
      </c>
      <c r="B16273" s="1" t="n">
        <v>45625</v>
      </c>
      <c r="C16273" s="1" t="n">
        <v>45657</v>
      </c>
      <c r="D16273" t="inlineStr">
        <is>
          <t>VÄSTERNORRLANDS LÄN</t>
        </is>
      </c>
      <c r="E16273" t="inlineStr">
        <is>
          <t>ÅNGE</t>
        </is>
      </c>
      <c r="G16273" t="n">
        <v>4.8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56647-2024</t>
        </is>
      </c>
      <c r="B16274" s="1" t="n">
        <v>45625</v>
      </c>
      <c r="C16274" s="1" t="n">
        <v>45657</v>
      </c>
      <c r="D16274" t="inlineStr">
        <is>
          <t>VÄSTERNORRLANDS LÄN</t>
        </is>
      </c>
      <c r="E16274" t="inlineStr">
        <is>
          <t>SUNDSVALL</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56390-2024</t>
        </is>
      </c>
      <c r="B16275" s="1" t="n">
        <v>45625</v>
      </c>
      <c r="C16275" s="1" t="n">
        <v>45657</v>
      </c>
      <c r="D16275" t="inlineStr">
        <is>
          <t>VÄSTERNORRLANDS LÄN</t>
        </is>
      </c>
      <c r="E16275" t="inlineStr">
        <is>
          <t>SOLLEFTEÅ</t>
        </is>
      </c>
      <c r="F16275" t="inlineStr">
        <is>
          <t>SCA</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56416-2024</t>
        </is>
      </c>
      <c r="B16276" s="1" t="n">
        <v>45625</v>
      </c>
      <c r="C16276" s="1" t="n">
        <v>45657</v>
      </c>
      <c r="D16276" t="inlineStr">
        <is>
          <t>VÄSTERNORRLANDS LÄN</t>
        </is>
      </c>
      <c r="E16276" t="inlineStr">
        <is>
          <t>KRAMFORS</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56421-2024</t>
        </is>
      </c>
      <c r="B16277" s="1" t="n">
        <v>45625</v>
      </c>
      <c r="C16277" s="1" t="n">
        <v>45657</v>
      </c>
      <c r="D16277" t="inlineStr">
        <is>
          <t>VÄSTERNORRLANDS LÄN</t>
        </is>
      </c>
      <c r="E16277" t="inlineStr">
        <is>
          <t>ÖRNSKÖLDSVIK</t>
        </is>
      </c>
      <c r="F16277" t="inlineStr">
        <is>
          <t>Holmen skog AB</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56503-2024</t>
        </is>
      </c>
      <c r="B16278" s="1" t="n">
        <v>45625</v>
      </c>
      <c r="C16278" s="1" t="n">
        <v>45657</v>
      </c>
      <c r="D16278" t="inlineStr">
        <is>
          <t>VÄSTERNORRLANDS LÄN</t>
        </is>
      </c>
      <c r="E16278" t="inlineStr">
        <is>
          <t>SOLLEFTEÅ</t>
        </is>
      </c>
      <c r="F16278" t="inlineStr">
        <is>
          <t>Holmen skog AB</t>
        </is>
      </c>
      <c r="G16278" t="n">
        <v>4.9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56686-2024</t>
        </is>
      </c>
      <c r="B16279" s="1" t="n">
        <v>45627</v>
      </c>
      <c r="C16279" s="1" t="n">
        <v>45657</v>
      </c>
      <c r="D16279" t="inlineStr">
        <is>
          <t>VÄSTERNORRLANDS LÄN</t>
        </is>
      </c>
      <c r="E16279" t="inlineStr">
        <is>
          <t>HÄRNÖSAND</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56790-2024</t>
        </is>
      </c>
      <c r="B16280" s="1" t="n">
        <v>45628</v>
      </c>
      <c r="C16280" s="1" t="n">
        <v>45657</v>
      </c>
      <c r="D16280" t="inlineStr">
        <is>
          <t>VÄSTERNORRLANDS LÄN</t>
        </is>
      </c>
      <c r="E16280" t="inlineStr">
        <is>
          <t>SUNDSVALL</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56775-2024</t>
        </is>
      </c>
      <c r="B16281" s="1" t="n">
        <v>45628</v>
      </c>
      <c r="C16281" s="1" t="n">
        <v>45657</v>
      </c>
      <c r="D16281" t="inlineStr">
        <is>
          <t>VÄSTERNORRLANDS LÄN</t>
        </is>
      </c>
      <c r="E16281" t="inlineStr">
        <is>
          <t>ÖRNSKÖLDSVIK</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56861-2024</t>
        </is>
      </c>
      <c r="B16282" s="1" t="n">
        <v>45628</v>
      </c>
      <c r="C16282" s="1" t="n">
        <v>45657</v>
      </c>
      <c r="D16282" t="inlineStr">
        <is>
          <t>VÄSTERNORRLANDS LÄN</t>
        </is>
      </c>
      <c r="E16282" t="inlineStr">
        <is>
          <t>SOLLEFTEÅ</t>
        </is>
      </c>
      <c r="G16282" t="n">
        <v>13.5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56874-2024</t>
        </is>
      </c>
      <c r="B16283" s="1" t="n">
        <v>45628</v>
      </c>
      <c r="C16283" s="1" t="n">
        <v>45657</v>
      </c>
      <c r="D16283" t="inlineStr">
        <is>
          <t>VÄSTERNORRLANDS LÄN</t>
        </is>
      </c>
      <c r="E16283" t="inlineStr">
        <is>
          <t>ÅNGE</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56991-2024</t>
        </is>
      </c>
      <c r="B16284" s="1" t="n">
        <v>45628</v>
      </c>
      <c r="C16284" s="1" t="n">
        <v>45657</v>
      </c>
      <c r="D16284" t="inlineStr">
        <is>
          <t>VÄSTERNORRLANDS LÄN</t>
        </is>
      </c>
      <c r="E16284" t="inlineStr">
        <is>
          <t>ÖRNSKÖLDSVIK</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57236-2024</t>
        </is>
      </c>
      <c r="B16285" s="1" t="n">
        <v>45628</v>
      </c>
      <c r="C16285" s="1" t="n">
        <v>45657</v>
      </c>
      <c r="D16285" t="inlineStr">
        <is>
          <t>VÄSTERNORRLANDS LÄN</t>
        </is>
      </c>
      <c r="E16285" t="inlineStr">
        <is>
          <t>HÄRNÖSAND</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56906-2024</t>
        </is>
      </c>
      <c r="B16286" s="1" t="n">
        <v>45628</v>
      </c>
      <c r="C16286" s="1" t="n">
        <v>45657</v>
      </c>
      <c r="D16286" t="inlineStr">
        <is>
          <t>VÄSTERNORRLANDS LÄN</t>
        </is>
      </c>
      <c r="E16286" t="inlineStr">
        <is>
          <t>ÖRNSKÖLDSVIK</t>
        </is>
      </c>
      <c r="F16286" t="inlineStr">
        <is>
          <t>Holmen skog AB</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56787-2024</t>
        </is>
      </c>
      <c r="B16287" s="1" t="n">
        <v>45628</v>
      </c>
      <c r="C16287" s="1" t="n">
        <v>45657</v>
      </c>
      <c r="D16287" t="inlineStr">
        <is>
          <t>VÄSTERNORRLANDS LÄN</t>
        </is>
      </c>
      <c r="E16287" t="inlineStr">
        <is>
          <t>ÖRNSKÖLDSVIK</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56801-2024</t>
        </is>
      </c>
      <c r="B16288" s="1" t="n">
        <v>45628</v>
      </c>
      <c r="C16288" s="1" t="n">
        <v>45657</v>
      </c>
      <c r="D16288" t="inlineStr">
        <is>
          <t>VÄSTERNORRLANDS LÄN</t>
        </is>
      </c>
      <c r="E16288" t="inlineStr">
        <is>
          <t>ÖRNSKÖLDSVIK</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56809-2024</t>
        </is>
      </c>
      <c r="B16289" s="1" t="n">
        <v>45628</v>
      </c>
      <c r="C16289" s="1" t="n">
        <v>45657</v>
      </c>
      <c r="D16289" t="inlineStr">
        <is>
          <t>VÄSTERNORRLANDS LÄN</t>
        </is>
      </c>
      <c r="E16289" t="inlineStr">
        <is>
          <t>ÖRNSKÖLDSVIK</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56871-2024</t>
        </is>
      </c>
      <c r="B16290" s="1" t="n">
        <v>45628</v>
      </c>
      <c r="C16290" s="1" t="n">
        <v>45657</v>
      </c>
      <c r="D16290" t="inlineStr">
        <is>
          <t>VÄSTERNORRLANDS LÄN</t>
        </is>
      </c>
      <c r="E16290" t="inlineStr">
        <is>
          <t>SOLLEFTEÅ</t>
        </is>
      </c>
      <c r="G16290" t="n">
        <v>7.2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56869-2024</t>
        </is>
      </c>
      <c r="B16291" s="1" t="n">
        <v>45628</v>
      </c>
      <c r="C16291" s="1" t="n">
        <v>45657</v>
      </c>
      <c r="D16291" t="inlineStr">
        <is>
          <t>VÄSTERNORRLANDS LÄN</t>
        </is>
      </c>
      <c r="E16291" t="inlineStr">
        <is>
          <t>ÖRNSKÖLDSVIK</t>
        </is>
      </c>
      <c r="F16291" t="inlineStr">
        <is>
          <t>Holmen skog AB</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56966-2024</t>
        </is>
      </c>
      <c r="B16292" s="1" t="n">
        <v>45628</v>
      </c>
      <c r="C16292" s="1" t="n">
        <v>45657</v>
      </c>
      <c r="D16292" t="inlineStr">
        <is>
          <t>VÄSTERNORRLANDS LÄN</t>
        </is>
      </c>
      <c r="E16292" t="inlineStr">
        <is>
          <t>ÖRNSKÖLDSVIK</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56979-2024</t>
        </is>
      </c>
      <c r="B16293" s="1" t="n">
        <v>45628</v>
      </c>
      <c r="C16293" s="1" t="n">
        <v>45657</v>
      </c>
      <c r="D16293" t="inlineStr">
        <is>
          <t>VÄSTERNORRLANDS LÄN</t>
        </is>
      </c>
      <c r="E16293" t="inlineStr">
        <is>
          <t>ÖRNSKÖLDSVIK</t>
        </is>
      </c>
      <c r="G16293" t="n">
        <v>11.6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56992-2024</t>
        </is>
      </c>
      <c r="B16294" s="1" t="n">
        <v>45628</v>
      </c>
      <c r="C16294" s="1" t="n">
        <v>45657</v>
      </c>
      <c r="D16294" t="inlineStr">
        <is>
          <t>VÄSTERNORRLANDS LÄN</t>
        </is>
      </c>
      <c r="E16294" t="inlineStr">
        <is>
          <t>ÖRNSKÖLDSVIK</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57045-2024</t>
        </is>
      </c>
      <c r="B16295" s="1" t="n">
        <v>45629</v>
      </c>
      <c r="C16295" s="1" t="n">
        <v>45657</v>
      </c>
      <c r="D16295" t="inlineStr">
        <is>
          <t>VÄSTERNORRLANDS LÄN</t>
        </is>
      </c>
      <c r="E16295" t="inlineStr">
        <is>
          <t>ÖRNSKÖLDSVIK</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57074-2024</t>
        </is>
      </c>
      <c r="B16296" s="1" t="n">
        <v>45629</v>
      </c>
      <c r="C16296" s="1" t="n">
        <v>45657</v>
      </c>
      <c r="D16296" t="inlineStr">
        <is>
          <t>VÄSTERNORRLANDS LÄN</t>
        </is>
      </c>
      <c r="E16296" t="inlineStr">
        <is>
          <t>ÖRNSKÖLDSVIK</t>
        </is>
      </c>
      <c r="F16296" t="inlineStr">
        <is>
          <t>Holmen skog AB</t>
        </is>
      </c>
      <c r="G16296" t="n">
        <v>5.2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57078-2024</t>
        </is>
      </c>
      <c r="B16297" s="1" t="n">
        <v>45629</v>
      </c>
      <c r="C16297" s="1" t="n">
        <v>45657</v>
      </c>
      <c r="D16297" t="inlineStr">
        <is>
          <t>VÄSTERNORRLANDS LÄN</t>
        </is>
      </c>
      <c r="E16297" t="inlineStr">
        <is>
          <t>SOLLEFTEÅ</t>
        </is>
      </c>
      <c r="F16297" t="inlineStr">
        <is>
          <t>SCA</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57097-2024</t>
        </is>
      </c>
      <c r="B16298" s="1" t="n">
        <v>45629</v>
      </c>
      <c r="C16298" s="1" t="n">
        <v>45657</v>
      </c>
      <c r="D16298" t="inlineStr">
        <is>
          <t>VÄSTERNORRLANDS LÄN</t>
        </is>
      </c>
      <c r="E16298" t="inlineStr">
        <is>
          <t>ÖRNSKÖLDSVIK</t>
        </is>
      </c>
      <c r="F16298" t="inlineStr">
        <is>
          <t>Holmen skog AB</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57110-2024</t>
        </is>
      </c>
      <c r="B16299" s="1" t="n">
        <v>45629</v>
      </c>
      <c r="C16299" s="1" t="n">
        <v>45657</v>
      </c>
      <c r="D16299" t="inlineStr">
        <is>
          <t>VÄSTERNORRLANDS LÄN</t>
        </is>
      </c>
      <c r="E16299" t="inlineStr">
        <is>
          <t>SUNDSVALL</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57157-2024</t>
        </is>
      </c>
      <c r="B16300" s="1" t="n">
        <v>45629</v>
      </c>
      <c r="C16300" s="1" t="n">
        <v>45657</v>
      </c>
      <c r="D16300" t="inlineStr">
        <is>
          <t>VÄSTERNORRLANDS LÄN</t>
        </is>
      </c>
      <c r="E16300" t="inlineStr">
        <is>
          <t>ÖRNSKÖLDSVIK</t>
        </is>
      </c>
      <c r="F16300" t="inlineStr">
        <is>
          <t>Holmen skog AB</t>
        </is>
      </c>
      <c r="G16300" t="n">
        <v>14.5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57163-2024</t>
        </is>
      </c>
      <c r="B16301" s="1" t="n">
        <v>45629</v>
      </c>
      <c r="C16301" s="1" t="n">
        <v>45657</v>
      </c>
      <c r="D16301" t="inlineStr">
        <is>
          <t>VÄSTERNORRLANDS LÄN</t>
        </is>
      </c>
      <c r="E16301" t="inlineStr">
        <is>
          <t>SUNDSVALL</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57120-2024</t>
        </is>
      </c>
      <c r="B16302" s="1" t="n">
        <v>45629</v>
      </c>
      <c r="C16302" s="1" t="n">
        <v>45657</v>
      </c>
      <c r="D16302" t="inlineStr">
        <is>
          <t>VÄSTERNORRLANDS LÄN</t>
        </is>
      </c>
      <c r="E16302" t="inlineStr">
        <is>
          <t>ÖRNSKÖLDSVIK</t>
        </is>
      </c>
      <c r="F16302" t="inlineStr">
        <is>
          <t>Holmen skog AB</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57270-2024</t>
        </is>
      </c>
      <c r="B16303" s="1" t="n">
        <v>45629</v>
      </c>
      <c r="C16303" s="1" t="n">
        <v>45657</v>
      </c>
      <c r="D16303" t="inlineStr">
        <is>
          <t>VÄSTERNORRLANDS LÄN</t>
        </is>
      </c>
      <c r="E16303" t="inlineStr">
        <is>
          <t>SUNDSVALL</t>
        </is>
      </c>
      <c r="F16303" t="inlineStr">
        <is>
          <t>SCA</t>
        </is>
      </c>
      <c r="G16303" t="n">
        <v>3.9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57063-2024</t>
        </is>
      </c>
      <c r="B16304" s="1" t="n">
        <v>45629</v>
      </c>
      <c r="C16304" s="1" t="n">
        <v>45657</v>
      </c>
      <c r="D16304" t="inlineStr">
        <is>
          <t>VÄSTERNORRLANDS LÄN</t>
        </is>
      </c>
      <c r="E16304" t="inlineStr">
        <is>
          <t>TIMRÅ</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57067-2024</t>
        </is>
      </c>
      <c r="B16305" s="1" t="n">
        <v>45629</v>
      </c>
      <c r="C16305" s="1" t="n">
        <v>45657</v>
      </c>
      <c r="D16305" t="inlineStr">
        <is>
          <t>VÄSTERNORRLANDS LÄN</t>
        </is>
      </c>
      <c r="E16305" t="inlineStr">
        <is>
          <t>ÅNGE</t>
        </is>
      </c>
      <c r="F16305" t="inlineStr">
        <is>
          <t>SCA</t>
        </is>
      </c>
      <c r="G16305" t="n">
        <v>3.4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57317-2024</t>
        </is>
      </c>
      <c r="B16306" s="1" t="n">
        <v>45629</v>
      </c>
      <c r="C16306" s="1" t="n">
        <v>45657</v>
      </c>
      <c r="D16306" t="inlineStr">
        <is>
          <t>VÄSTERNORRLANDS LÄN</t>
        </is>
      </c>
      <c r="E16306" t="inlineStr">
        <is>
          <t>SOLLEFTEÅ</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57333-2024</t>
        </is>
      </c>
      <c r="B16307" s="1" t="n">
        <v>45629</v>
      </c>
      <c r="C16307" s="1" t="n">
        <v>45657</v>
      </c>
      <c r="D16307" t="inlineStr">
        <is>
          <t>VÄSTERNORRLANDS LÄN</t>
        </is>
      </c>
      <c r="E16307" t="inlineStr">
        <is>
          <t>ÖRNSKÖLDSVIK</t>
        </is>
      </c>
      <c r="F16307" t="inlineStr">
        <is>
          <t>Holmen skog AB</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57341-2024</t>
        </is>
      </c>
      <c r="B16308" s="1" t="n">
        <v>45629</v>
      </c>
      <c r="C16308" s="1" t="n">
        <v>45657</v>
      </c>
      <c r="D16308" t="inlineStr">
        <is>
          <t>VÄSTERNORRLANDS LÄN</t>
        </is>
      </c>
      <c r="E16308" t="inlineStr">
        <is>
          <t>HÄRNÖSAND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57377-2024</t>
        </is>
      </c>
      <c r="B16309" s="1" t="n">
        <v>45629</v>
      </c>
      <c r="C16309" s="1" t="n">
        <v>45657</v>
      </c>
      <c r="D16309" t="inlineStr">
        <is>
          <t>VÄSTERNORRLANDS LÄN</t>
        </is>
      </c>
      <c r="E16309" t="inlineStr">
        <is>
          <t>SOLLEFTEÅ</t>
        </is>
      </c>
      <c r="F16309" t="inlineStr">
        <is>
          <t>SCA</t>
        </is>
      </c>
      <c r="G16309" t="n">
        <v>7.3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57079-2024</t>
        </is>
      </c>
      <c r="B16310" s="1" t="n">
        <v>45629</v>
      </c>
      <c r="C16310" s="1" t="n">
        <v>45657</v>
      </c>
      <c r="D16310" t="inlineStr">
        <is>
          <t>VÄSTERNORRLANDS LÄN</t>
        </is>
      </c>
      <c r="E16310" t="inlineStr">
        <is>
          <t>SUNDSVALL</t>
        </is>
      </c>
      <c r="F16310" t="inlineStr">
        <is>
          <t>SCA</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57083-2024</t>
        </is>
      </c>
      <c r="B16311" s="1" t="n">
        <v>45629</v>
      </c>
      <c r="C16311" s="1" t="n">
        <v>45657</v>
      </c>
      <c r="D16311" t="inlineStr">
        <is>
          <t>VÄSTERNORRLANDS LÄN</t>
        </is>
      </c>
      <c r="E16311" t="inlineStr">
        <is>
          <t>SUNDSVALL</t>
        </is>
      </c>
      <c r="F16311" t="inlineStr">
        <is>
          <t>SCA</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57101-2024</t>
        </is>
      </c>
      <c r="B16312" s="1" t="n">
        <v>45629</v>
      </c>
      <c r="C16312" s="1" t="n">
        <v>45657</v>
      </c>
      <c r="D16312" t="inlineStr">
        <is>
          <t>VÄSTERNORRLANDS LÄN</t>
        </is>
      </c>
      <c r="E16312" t="inlineStr">
        <is>
          <t>SOLLEFTEÅ</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57073-2024</t>
        </is>
      </c>
      <c r="B16313" s="1" t="n">
        <v>45629</v>
      </c>
      <c r="C16313" s="1" t="n">
        <v>45657</v>
      </c>
      <c r="D16313" t="inlineStr">
        <is>
          <t>VÄSTERNORRLANDS LÄN</t>
        </is>
      </c>
      <c r="E16313" t="inlineStr">
        <is>
          <t>ÖRNSKÖLDSVIK</t>
        </is>
      </c>
      <c r="F16313" t="inlineStr">
        <is>
          <t>Holmen skog AB</t>
        </is>
      </c>
      <c r="G16313" t="n">
        <v>3.1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57077-2024</t>
        </is>
      </c>
      <c r="B16314" s="1" t="n">
        <v>45629</v>
      </c>
      <c r="C16314" s="1" t="n">
        <v>45657</v>
      </c>
      <c r="D16314" t="inlineStr">
        <is>
          <t>VÄSTERNORRLANDS LÄN</t>
        </is>
      </c>
      <c r="E16314" t="inlineStr">
        <is>
          <t>SUNDSVALL</t>
        </is>
      </c>
      <c r="F16314" t="inlineStr">
        <is>
          <t>SCA</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57094-2024</t>
        </is>
      </c>
      <c r="B16315" s="1" t="n">
        <v>45629</v>
      </c>
      <c r="C16315" s="1" t="n">
        <v>45657</v>
      </c>
      <c r="D16315" t="inlineStr">
        <is>
          <t>VÄSTERNORRLANDS LÄN</t>
        </is>
      </c>
      <c r="E16315" t="inlineStr">
        <is>
          <t>SOLLEFTEÅ</t>
        </is>
      </c>
      <c r="F16315" t="inlineStr">
        <is>
          <t>SCA</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57137-2024</t>
        </is>
      </c>
      <c r="B16316" s="1" t="n">
        <v>45629</v>
      </c>
      <c r="C16316" s="1" t="n">
        <v>45657</v>
      </c>
      <c r="D16316" t="inlineStr">
        <is>
          <t>VÄSTERNORRLANDS LÄN</t>
        </is>
      </c>
      <c r="E16316" t="inlineStr">
        <is>
          <t>HÄRNÖSAND</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57107-2024</t>
        </is>
      </c>
      <c r="B16317" s="1" t="n">
        <v>45629</v>
      </c>
      <c r="C16317" s="1" t="n">
        <v>45657</v>
      </c>
      <c r="D16317" t="inlineStr">
        <is>
          <t>VÄSTERNORRLANDS LÄN</t>
        </is>
      </c>
      <c r="E16317" t="inlineStr">
        <is>
          <t>SOLLEFTEÅ</t>
        </is>
      </c>
      <c r="F16317" t="inlineStr">
        <is>
          <t>SCA</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57123-2024</t>
        </is>
      </c>
      <c r="B16318" s="1" t="n">
        <v>45629</v>
      </c>
      <c r="C16318" s="1" t="n">
        <v>45657</v>
      </c>
      <c r="D16318" t="inlineStr">
        <is>
          <t>VÄSTERNORRLANDS LÄN</t>
        </is>
      </c>
      <c r="E16318" t="inlineStr">
        <is>
          <t>ÖRNSKÖLDSVIK</t>
        </is>
      </c>
      <c r="F16318" t="inlineStr">
        <is>
          <t>Holmen skog AB</t>
        </is>
      </c>
      <c r="G16318" t="n">
        <v>4.8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57343-2024</t>
        </is>
      </c>
      <c r="B16319" s="1" t="n">
        <v>45629</v>
      </c>
      <c r="C16319" s="1" t="n">
        <v>45657</v>
      </c>
      <c r="D16319" t="inlineStr">
        <is>
          <t>VÄSTERNORRLANDS LÄN</t>
        </is>
      </c>
      <c r="E16319" t="inlineStr">
        <is>
          <t>HÄRNÖSAND</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57351-2024</t>
        </is>
      </c>
      <c r="B16320" s="1" t="n">
        <v>45629</v>
      </c>
      <c r="C16320" s="1" t="n">
        <v>45657</v>
      </c>
      <c r="D16320" t="inlineStr">
        <is>
          <t>VÄSTERNORRLANDS LÄN</t>
        </is>
      </c>
      <c r="E16320" t="inlineStr">
        <is>
          <t>ÖRNSKÖLDSVIK</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57154-2024</t>
        </is>
      </c>
      <c r="B16321" s="1" t="n">
        <v>45629</v>
      </c>
      <c r="C16321" s="1" t="n">
        <v>45657</v>
      </c>
      <c r="D16321" t="inlineStr">
        <is>
          <t>VÄSTERNORRLANDS LÄN</t>
        </is>
      </c>
      <c r="E16321" t="inlineStr">
        <is>
          <t>HÄRNÖSAND</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57416-2024</t>
        </is>
      </c>
      <c r="B16322" s="1" t="n">
        <v>45629</v>
      </c>
      <c r="C16322" s="1" t="n">
        <v>45657</v>
      </c>
      <c r="D16322" t="inlineStr">
        <is>
          <t>VÄSTERNORRLANDS LÄN</t>
        </is>
      </c>
      <c r="E16322" t="inlineStr">
        <is>
          <t>ÖRNSKÖLDSVIK</t>
        </is>
      </c>
      <c r="G16322" t="n">
        <v>5.3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57271-2024</t>
        </is>
      </c>
      <c r="B16323" s="1" t="n">
        <v>45629</v>
      </c>
      <c r="C16323" s="1" t="n">
        <v>45657</v>
      </c>
      <c r="D16323" t="inlineStr">
        <is>
          <t>VÄSTERNORRLANDS LÄN</t>
        </is>
      </c>
      <c r="E16323" t="inlineStr">
        <is>
          <t>ÅNGE</t>
        </is>
      </c>
      <c r="F16323" t="inlineStr">
        <is>
          <t>SCA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57309-2024</t>
        </is>
      </c>
      <c r="B16324" s="1" t="n">
        <v>45629</v>
      </c>
      <c r="C16324" s="1" t="n">
        <v>45657</v>
      </c>
      <c r="D16324" t="inlineStr">
        <is>
          <t>VÄSTERNORRLANDS LÄN</t>
        </is>
      </c>
      <c r="E16324" t="inlineStr">
        <is>
          <t>ÖRNSKÖLDSVIK</t>
        </is>
      </c>
      <c r="F16324" t="inlineStr">
        <is>
          <t>Holmen skog AB</t>
        </is>
      </c>
      <c r="G16324" t="n">
        <v>6.8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57330-2024</t>
        </is>
      </c>
      <c r="B16325" s="1" t="n">
        <v>45629</v>
      </c>
      <c r="C16325" s="1" t="n">
        <v>45657</v>
      </c>
      <c r="D16325" t="inlineStr">
        <is>
          <t>VÄSTERNORRLANDS LÄN</t>
        </is>
      </c>
      <c r="E16325" t="inlineStr">
        <is>
          <t>KRAMFORS</t>
        </is>
      </c>
      <c r="G16325" t="n">
        <v>15.8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57342-2024</t>
        </is>
      </c>
      <c r="B16326" s="1" t="n">
        <v>45629</v>
      </c>
      <c r="C16326" s="1" t="n">
        <v>45657</v>
      </c>
      <c r="D16326" t="inlineStr">
        <is>
          <t>VÄSTERNORRLANDS LÄN</t>
        </is>
      </c>
      <c r="E16326" t="inlineStr">
        <is>
          <t>HÄRNÖSAND</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57362-2024</t>
        </is>
      </c>
      <c r="B16327" s="1" t="n">
        <v>45629</v>
      </c>
      <c r="C16327" s="1" t="n">
        <v>45657</v>
      </c>
      <c r="D16327" t="inlineStr">
        <is>
          <t>VÄSTERNORRLANDS LÄN</t>
        </is>
      </c>
      <c r="E16327" t="inlineStr">
        <is>
          <t>ÖRNSKÖLDSVIK</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57237-2024</t>
        </is>
      </c>
      <c r="B16328" s="1" t="n">
        <v>45629</v>
      </c>
      <c r="C16328" s="1" t="n">
        <v>45657</v>
      </c>
      <c r="D16328" t="inlineStr">
        <is>
          <t>VÄSTERNORRLANDS LÄN</t>
        </is>
      </c>
      <c r="E16328" t="inlineStr">
        <is>
          <t>ÖRNSKÖLDSVIK</t>
        </is>
      </c>
      <c r="F16328" t="inlineStr">
        <is>
          <t>Holmen skog AB</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57273-2024</t>
        </is>
      </c>
      <c r="B16329" s="1" t="n">
        <v>45629</v>
      </c>
      <c r="C16329" s="1" t="n">
        <v>45657</v>
      </c>
      <c r="D16329" t="inlineStr">
        <is>
          <t>VÄSTERNORRLANDS LÄN</t>
        </is>
      </c>
      <c r="E16329" t="inlineStr">
        <is>
          <t>SUNDSVALL</t>
        </is>
      </c>
      <c r="F16329" t="inlineStr">
        <is>
          <t>SCA</t>
        </is>
      </c>
      <c r="G16329" t="n">
        <v>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57288-2024</t>
        </is>
      </c>
      <c r="B16330" s="1" t="n">
        <v>45629</v>
      </c>
      <c r="C16330" s="1" t="n">
        <v>45657</v>
      </c>
      <c r="D16330" t="inlineStr">
        <is>
          <t>VÄSTERNORRLANDS LÄN</t>
        </is>
      </c>
      <c r="E16330" t="inlineStr">
        <is>
          <t>SUNDSVALL</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57316-2024</t>
        </is>
      </c>
      <c r="B16331" s="1" t="n">
        <v>45629</v>
      </c>
      <c r="C16331" s="1" t="n">
        <v>45657</v>
      </c>
      <c r="D16331" t="inlineStr">
        <is>
          <t>VÄSTERNORRLANDS LÄN</t>
        </is>
      </c>
      <c r="E16331" t="inlineStr">
        <is>
          <t>TIMRÅ</t>
        </is>
      </c>
      <c r="F16331" t="inlineStr">
        <is>
          <t>SCA</t>
        </is>
      </c>
      <c r="G16331" t="n">
        <v>5.7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57344-2024</t>
        </is>
      </c>
      <c r="B16332" s="1" t="n">
        <v>45629</v>
      </c>
      <c r="C16332" s="1" t="n">
        <v>45657</v>
      </c>
      <c r="D16332" t="inlineStr">
        <is>
          <t>VÄSTERNORRLANDS LÄN</t>
        </is>
      </c>
      <c r="E16332" t="inlineStr">
        <is>
          <t>HÄRNÖSAND</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57396-2024</t>
        </is>
      </c>
      <c r="B16333" s="1" t="n">
        <v>45629</v>
      </c>
      <c r="C16333" s="1" t="n">
        <v>45657</v>
      </c>
      <c r="D16333" t="inlineStr">
        <is>
          <t>VÄSTERNORRLANDS LÄN</t>
        </is>
      </c>
      <c r="E16333" t="inlineStr">
        <is>
          <t>ÅNGE</t>
        </is>
      </c>
      <c r="F16333" t="inlineStr">
        <is>
          <t>SCA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57521-2024</t>
        </is>
      </c>
      <c r="B16334" s="1" t="n">
        <v>45629</v>
      </c>
      <c r="C16334" s="1" t="n">
        <v>45657</v>
      </c>
      <c r="D16334" t="inlineStr">
        <is>
          <t>VÄSTERNORRLANDS LÄN</t>
        </is>
      </c>
      <c r="E16334" t="inlineStr">
        <is>
          <t>SUNDSVALL</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57508-2024</t>
        </is>
      </c>
      <c r="B16335" s="1" t="n">
        <v>45629</v>
      </c>
      <c r="C16335" s="1" t="n">
        <v>45657</v>
      </c>
      <c r="D16335" t="inlineStr">
        <is>
          <t>VÄSTERNORRLANDS LÄN</t>
        </is>
      </c>
      <c r="E16335" t="inlineStr">
        <is>
          <t>HÄRNÖSAND</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58521-2024</t>
        </is>
      </c>
      <c r="B16336" s="1" t="n">
        <v>45629</v>
      </c>
      <c r="C16336" s="1" t="n">
        <v>45657</v>
      </c>
      <c r="D16336" t="inlineStr">
        <is>
          <t>VÄSTERNORRLANDS LÄN</t>
        </is>
      </c>
      <c r="E16336" t="inlineStr">
        <is>
          <t>KRAMFORS</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57492-2024</t>
        </is>
      </c>
      <c r="B16337" s="1" t="n">
        <v>45630</v>
      </c>
      <c r="C16337" s="1" t="n">
        <v>45657</v>
      </c>
      <c r="D16337" t="inlineStr">
        <is>
          <t>VÄSTERNORRLANDS LÄN</t>
        </is>
      </c>
      <c r="E16337" t="inlineStr">
        <is>
          <t>SOLLEFTEÅ</t>
        </is>
      </c>
      <c r="F16337" t="inlineStr">
        <is>
          <t>Holmen skog AB</t>
        </is>
      </c>
      <c r="G16337" t="n">
        <v>0.2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57529-2024</t>
        </is>
      </c>
      <c r="B16338" s="1" t="n">
        <v>45630</v>
      </c>
      <c r="C16338" s="1" t="n">
        <v>45657</v>
      </c>
      <c r="D16338" t="inlineStr">
        <is>
          <t>VÄSTERNORRLANDS LÄN</t>
        </is>
      </c>
      <c r="E16338" t="inlineStr">
        <is>
          <t>ÅNGE</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57487-2024</t>
        </is>
      </c>
      <c r="B16339" s="1" t="n">
        <v>45630</v>
      </c>
      <c r="C16339" s="1" t="n">
        <v>45657</v>
      </c>
      <c r="D16339" t="inlineStr">
        <is>
          <t>VÄSTERNORRLANDS LÄN</t>
        </is>
      </c>
      <c r="E16339" t="inlineStr">
        <is>
          <t>SOLLEFTEÅ</t>
        </is>
      </c>
      <c r="F16339" t="inlineStr">
        <is>
          <t>Holmen skog AB</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57499-2024</t>
        </is>
      </c>
      <c r="B16340" s="1" t="n">
        <v>45630</v>
      </c>
      <c r="C16340" s="1" t="n">
        <v>45657</v>
      </c>
      <c r="D16340" t="inlineStr">
        <is>
          <t>VÄSTERNORRLANDS LÄN</t>
        </is>
      </c>
      <c r="E16340" t="inlineStr">
        <is>
          <t>SUNDSVALL</t>
        </is>
      </c>
      <c r="G16340" t="n">
        <v>5.6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57526-2024</t>
        </is>
      </c>
      <c r="B16341" s="1" t="n">
        <v>45630</v>
      </c>
      <c r="C16341" s="1" t="n">
        <v>45657</v>
      </c>
      <c r="D16341" t="inlineStr">
        <is>
          <t>VÄSTERNORRLANDS LÄN</t>
        </is>
      </c>
      <c r="E16341" t="inlineStr">
        <is>
          <t>ÅNGE</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57595-2024</t>
        </is>
      </c>
      <c r="B16342" s="1" t="n">
        <v>45630</v>
      </c>
      <c r="C16342" s="1" t="n">
        <v>45657</v>
      </c>
      <c r="D16342" t="inlineStr">
        <is>
          <t>VÄSTERNORRLANDS LÄN</t>
        </is>
      </c>
      <c r="E16342" t="inlineStr">
        <is>
          <t>SUNDSVALL</t>
        </is>
      </c>
      <c r="F16342" t="inlineStr">
        <is>
          <t>SCA</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57677-2024</t>
        </is>
      </c>
      <c r="B16343" s="1" t="n">
        <v>45630</v>
      </c>
      <c r="C16343" s="1" t="n">
        <v>45657</v>
      </c>
      <c r="D16343" t="inlineStr">
        <is>
          <t>VÄSTERNORRLANDS LÄN</t>
        </is>
      </c>
      <c r="E16343" t="inlineStr">
        <is>
          <t>SOLLEFTEÅ</t>
        </is>
      </c>
      <c r="F16343" t="inlineStr">
        <is>
          <t>SCA</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57488-2024</t>
        </is>
      </c>
      <c r="B16344" s="1" t="n">
        <v>45630</v>
      </c>
      <c r="C16344" s="1" t="n">
        <v>45657</v>
      </c>
      <c r="D16344" t="inlineStr">
        <is>
          <t>VÄSTERNORRLANDS LÄN</t>
        </is>
      </c>
      <c r="E16344" t="inlineStr">
        <is>
          <t>SUNDSVALL</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57552-2024</t>
        </is>
      </c>
      <c r="B16345" s="1" t="n">
        <v>45630</v>
      </c>
      <c r="C16345" s="1" t="n">
        <v>45657</v>
      </c>
      <c r="D16345" t="inlineStr">
        <is>
          <t>VÄSTERNORRLANDS LÄN</t>
        </is>
      </c>
      <c r="E16345" t="inlineStr">
        <is>
          <t>HÄRNÖSAND</t>
        </is>
      </c>
      <c r="F16345" t="inlineStr">
        <is>
          <t>SCA</t>
        </is>
      </c>
      <c r="G16345" t="n">
        <v>25.9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57604-2024</t>
        </is>
      </c>
      <c r="B16346" s="1" t="n">
        <v>45630</v>
      </c>
      <c r="C16346" s="1" t="n">
        <v>45657</v>
      </c>
      <c r="D16346" t="inlineStr">
        <is>
          <t>VÄSTERNORRLANDS LÄN</t>
        </is>
      </c>
      <c r="E16346" t="inlineStr">
        <is>
          <t>ÖRNSKÖLDSVIK</t>
        </is>
      </c>
      <c r="F16346" t="inlineStr">
        <is>
          <t>SCA</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57639-2024</t>
        </is>
      </c>
      <c r="B16347" s="1" t="n">
        <v>45630</v>
      </c>
      <c r="C16347" s="1" t="n">
        <v>45657</v>
      </c>
      <c r="D16347" t="inlineStr">
        <is>
          <t>VÄSTERNORRLANDS LÄN</t>
        </is>
      </c>
      <c r="E16347" t="inlineStr">
        <is>
          <t>SOLLEFTEÅ</t>
        </is>
      </c>
      <c r="F16347" t="inlineStr">
        <is>
          <t>SCA</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57676-2024</t>
        </is>
      </c>
      <c r="B16348" s="1" t="n">
        <v>45630</v>
      </c>
      <c r="C16348" s="1" t="n">
        <v>45657</v>
      </c>
      <c r="D16348" t="inlineStr">
        <is>
          <t>VÄSTERNORRLANDS LÄN</t>
        </is>
      </c>
      <c r="E16348" t="inlineStr">
        <is>
          <t>ÖRNSKÖLDSVIK</t>
        </is>
      </c>
      <c r="F16348" t="inlineStr">
        <is>
          <t>Holmen skog AB</t>
        </is>
      </c>
      <c r="G16348" t="n">
        <v>7.4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57680-2024</t>
        </is>
      </c>
      <c r="B16349" s="1" t="n">
        <v>45630</v>
      </c>
      <c r="C16349" s="1" t="n">
        <v>45657</v>
      </c>
      <c r="D16349" t="inlineStr">
        <is>
          <t>VÄSTERNORRLANDS LÄN</t>
        </is>
      </c>
      <c r="E16349" t="inlineStr">
        <is>
          <t>ÖRNSKÖLDSVIK</t>
        </is>
      </c>
      <c r="F16349" t="inlineStr">
        <is>
          <t>Holmen skog AB</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57685-2024</t>
        </is>
      </c>
      <c r="B16350" s="1" t="n">
        <v>45630</v>
      </c>
      <c r="C16350" s="1" t="n">
        <v>45657</v>
      </c>
      <c r="D16350" t="inlineStr">
        <is>
          <t>VÄSTERNORRLANDS LÄN</t>
        </is>
      </c>
      <c r="E16350" t="inlineStr">
        <is>
          <t>HÄRNÖSAND</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57519-2024</t>
        </is>
      </c>
      <c r="B16351" s="1" t="n">
        <v>45630</v>
      </c>
      <c r="C16351" s="1" t="n">
        <v>45657</v>
      </c>
      <c r="D16351" t="inlineStr">
        <is>
          <t>VÄSTERNORRLANDS LÄN</t>
        </is>
      </c>
      <c r="E16351" t="inlineStr">
        <is>
          <t>SUNDSVALL</t>
        </is>
      </c>
      <c r="F16351" t="inlineStr">
        <is>
          <t>SCA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57641-2024</t>
        </is>
      </c>
      <c r="B16352" s="1" t="n">
        <v>45630</v>
      </c>
      <c r="C16352" s="1" t="n">
        <v>45657</v>
      </c>
      <c r="D16352" t="inlineStr">
        <is>
          <t>VÄSTERNORRLANDS LÄN</t>
        </is>
      </c>
      <c r="E16352" t="inlineStr">
        <is>
          <t>SUNDSVALL</t>
        </is>
      </c>
      <c r="G16352" t="n">
        <v>11.5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57800-2024</t>
        </is>
      </c>
      <c r="B16353" s="1" t="n">
        <v>45631</v>
      </c>
      <c r="C16353" s="1" t="n">
        <v>45657</v>
      </c>
      <c r="D16353" t="inlineStr">
        <is>
          <t>VÄSTERNORRLANDS LÄN</t>
        </is>
      </c>
      <c r="E16353" t="inlineStr">
        <is>
          <t>SOLLEFTEÅ</t>
        </is>
      </c>
      <c r="F16353" t="inlineStr">
        <is>
          <t>SCA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57797-2024</t>
        </is>
      </c>
      <c r="B16354" s="1" t="n">
        <v>45631</v>
      </c>
      <c r="C16354" s="1" t="n">
        <v>45657</v>
      </c>
      <c r="D16354" t="inlineStr">
        <is>
          <t>VÄSTERNORRLANDS LÄN</t>
        </is>
      </c>
      <c r="E16354" t="inlineStr">
        <is>
          <t>SUNDSVALL</t>
        </is>
      </c>
      <c r="F16354" t="inlineStr">
        <is>
          <t>SCA</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57844-2024</t>
        </is>
      </c>
      <c r="B16355" s="1" t="n">
        <v>45631</v>
      </c>
      <c r="C16355" s="1" t="n">
        <v>45657</v>
      </c>
      <c r="D16355" t="inlineStr">
        <is>
          <t>VÄSTERNORRLANDS LÄN</t>
        </is>
      </c>
      <c r="E16355" t="inlineStr">
        <is>
          <t>SUNDSVALL</t>
        </is>
      </c>
      <c r="F16355" t="inlineStr">
        <is>
          <t>SCA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57892-2024</t>
        </is>
      </c>
      <c r="B16356" s="1" t="n">
        <v>45631</v>
      </c>
      <c r="C16356" s="1" t="n">
        <v>45657</v>
      </c>
      <c r="D16356" t="inlineStr">
        <is>
          <t>VÄSTERNORRLANDS LÄN</t>
        </is>
      </c>
      <c r="E16356" t="inlineStr">
        <is>
          <t>SOLLEFTEÅ</t>
        </is>
      </c>
      <c r="F16356" t="inlineStr">
        <is>
          <t>SCA</t>
        </is>
      </c>
      <c r="G16356" t="n">
        <v>13.8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57807-2024</t>
        </is>
      </c>
      <c r="B16357" s="1" t="n">
        <v>45631</v>
      </c>
      <c r="C16357" s="1" t="n">
        <v>45657</v>
      </c>
      <c r="D16357" t="inlineStr">
        <is>
          <t>VÄSTERNORRLANDS LÄN</t>
        </is>
      </c>
      <c r="E16357" t="inlineStr">
        <is>
          <t>ÖRNSKÖLDSVIK</t>
        </is>
      </c>
      <c r="G16357" t="n">
        <v>10.3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57815-2024</t>
        </is>
      </c>
      <c r="B16358" s="1" t="n">
        <v>45631</v>
      </c>
      <c r="C16358" s="1" t="n">
        <v>45657</v>
      </c>
      <c r="D16358" t="inlineStr">
        <is>
          <t>VÄSTERNORRLANDS LÄN</t>
        </is>
      </c>
      <c r="E16358" t="inlineStr">
        <is>
          <t>ÅNGE</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57859-2024</t>
        </is>
      </c>
      <c r="B16359" s="1" t="n">
        <v>45631</v>
      </c>
      <c r="C16359" s="1" t="n">
        <v>45657</v>
      </c>
      <c r="D16359" t="inlineStr">
        <is>
          <t>VÄSTERNORRLANDS LÄN</t>
        </is>
      </c>
      <c r="E16359" t="inlineStr">
        <is>
          <t>SUNDSVALL</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57875-2024</t>
        </is>
      </c>
      <c r="B16360" s="1" t="n">
        <v>45631</v>
      </c>
      <c r="C16360" s="1" t="n">
        <v>45657</v>
      </c>
      <c r="D16360" t="inlineStr">
        <is>
          <t>VÄSTERNORRLANDS LÄN</t>
        </is>
      </c>
      <c r="E16360" t="inlineStr">
        <is>
          <t>SUNDSVALL</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57922-2024</t>
        </is>
      </c>
      <c r="B16361" s="1" t="n">
        <v>45631</v>
      </c>
      <c r="C16361" s="1" t="n">
        <v>45657</v>
      </c>
      <c r="D16361" t="inlineStr">
        <is>
          <t>VÄSTERNORRLANDS LÄN</t>
        </is>
      </c>
      <c r="E16361" t="inlineStr">
        <is>
          <t>SOLLEFTEÅ</t>
        </is>
      </c>
      <c r="F16361" t="inlineStr">
        <is>
          <t>SCA</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57942-2024</t>
        </is>
      </c>
      <c r="B16362" s="1" t="n">
        <v>45631</v>
      </c>
      <c r="C16362" s="1" t="n">
        <v>45657</v>
      </c>
      <c r="D16362" t="inlineStr">
        <is>
          <t>VÄSTERNORRLANDS LÄN</t>
        </is>
      </c>
      <c r="E16362" t="inlineStr">
        <is>
          <t>SUNDSVALL</t>
        </is>
      </c>
      <c r="F16362" t="inlineStr">
        <is>
          <t>SCA</t>
        </is>
      </c>
      <c r="G16362" t="n">
        <v>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57958-2024</t>
        </is>
      </c>
      <c r="B16363" s="1" t="n">
        <v>45631</v>
      </c>
      <c r="C16363" s="1" t="n">
        <v>45657</v>
      </c>
      <c r="D16363" t="inlineStr">
        <is>
          <t>VÄSTERNORRLANDS LÄN</t>
        </is>
      </c>
      <c r="E16363" t="inlineStr">
        <is>
          <t>ÖRNSKÖLDSVIK</t>
        </is>
      </c>
      <c r="F16363" t="inlineStr">
        <is>
          <t>Holmen skog AB</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57970-2024</t>
        </is>
      </c>
      <c r="B16364" s="1" t="n">
        <v>45631</v>
      </c>
      <c r="C16364" s="1" t="n">
        <v>45657</v>
      </c>
      <c r="D16364" t="inlineStr">
        <is>
          <t>VÄSTERNORRLANDS LÄN</t>
        </is>
      </c>
      <c r="E16364" t="inlineStr">
        <is>
          <t>ÖRNSKÖLDSVIK</t>
        </is>
      </c>
      <c r="F16364" t="inlineStr">
        <is>
          <t>Holmen skog AB</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57846-2024</t>
        </is>
      </c>
      <c r="B16365" s="1" t="n">
        <v>45631</v>
      </c>
      <c r="C16365" s="1" t="n">
        <v>45657</v>
      </c>
      <c r="D16365" t="inlineStr">
        <is>
          <t>VÄSTERNORRLANDS LÄN</t>
        </is>
      </c>
      <c r="E16365" t="inlineStr">
        <is>
          <t>SOLLEFTEÅ</t>
        </is>
      </c>
      <c r="G16365" t="n">
        <v>0.3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57967-2024</t>
        </is>
      </c>
      <c r="B16366" s="1" t="n">
        <v>45631</v>
      </c>
      <c r="C16366" s="1" t="n">
        <v>45657</v>
      </c>
      <c r="D16366" t="inlineStr">
        <is>
          <t>VÄSTERNORRLANDS LÄN</t>
        </is>
      </c>
      <c r="E16366" t="inlineStr">
        <is>
          <t>ÖRNSKÖLDSVIK</t>
        </is>
      </c>
      <c r="F16366" t="inlineStr">
        <is>
          <t>Holmen skog AB</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57847-2024</t>
        </is>
      </c>
      <c r="B16367" s="1" t="n">
        <v>45631</v>
      </c>
      <c r="C16367" s="1" t="n">
        <v>45657</v>
      </c>
      <c r="D16367" t="inlineStr">
        <is>
          <t>VÄSTERNORRLANDS LÄN</t>
        </is>
      </c>
      <c r="E16367" t="inlineStr">
        <is>
          <t>SOLLEFTEÅ</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57972-2024</t>
        </is>
      </c>
      <c r="B16368" s="1" t="n">
        <v>45631</v>
      </c>
      <c r="C16368" s="1" t="n">
        <v>45657</v>
      </c>
      <c r="D16368" t="inlineStr">
        <is>
          <t>VÄSTERNORRLANDS LÄN</t>
        </is>
      </c>
      <c r="E16368" t="inlineStr">
        <is>
          <t>SUNDSVALL</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58016-2024</t>
        </is>
      </c>
      <c r="B16369" s="1" t="n">
        <v>45631</v>
      </c>
      <c r="C16369" s="1" t="n">
        <v>45657</v>
      </c>
      <c r="D16369" t="inlineStr">
        <is>
          <t>VÄSTERNORRLANDS LÄN</t>
        </is>
      </c>
      <c r="E16369" t="inlineStr">
        <is>
          <t>ÖRNSKÖLDSVIK</t>
        </is>
      </c>
      <c r="F16369" t="inlineStr">
        <is>
          <t>Holmen skog AB</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58043-2024</t>
        </is>
      </c>
      <c r="B16370" s="1" t="n">
        <v>45631</v>
      </c>
      <c r="C16370" s="1" t="n">
        <v>45657</v>
      </c>
      <c r="D16370" t="inlineStr">
        <is>
          <t>VÄSTERNORRLANDS LÄN</t>
        </is>
      </c>
      <c r="E16370" t="inlineStr">
        <is>
          <t>ÖRNSKÖLDSVIK</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58046-2024</t>
        </is>
      </c>
      <c r="B16371" s="1" t="n">
        <v>45631</v>
      </c>
      <c r="C16371" s="1" t="n">
        <v>45657</v>
      </c>
      <c r="D16371" t="inlineStr">
        <is>
          <t>VÄSTERNORRLANDS LÄN</t>
        </is>
      </c>
      <c r="E16371" t="inlineStr">
        <is>
          <t>ÖRNSKÖLDSVIK</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58054-2024</t>
        </is>
      </c>
      <c r="B16372" s="1" t="n">
        <v>45631</v>
      </c>
      <c r="C16372" s="1" t="n">
        <v>45657</v>
      </c>
      <c r="D16372" t="inlineStr">
        <is>
          <t>VÄSTERNORRLANDS LÄN</t>
        </is>
      </c>
      <c r="E16372" t="inlineStr">
        <is>
          <t>ÖRNSKÖLDSVIK</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58069-2024</t>
        </is>
      </c>
      <c r="B16373" s="1" t="n">
        <v>45631</v>
      </c>
      <c r="C16373" s="1" t="n">
        <v>45657</v>
      </c>
      <c r="D16373" t="inlineStr">
        <is>
          <t>VÄSTERNORRLANDS LÄN</t>
        </is>
      </c>
      <c r="E16373" t="inlineStr">
        <is>
          <t>ÖRNSKÖLDSVIK</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58068-2024</t>
        </is>
      </c>
      <c r="B16374" s="1" t="n">
        <v>45631</v>
      </c>
      <c r="C16374" s="1" t="n">
        <v>45657</v>
      </c>
      <c r="D16374" t="inlineStr">
        <is>
          <t>VÄSTERNORRLANDS LÄN</t>
        </is>
      </c>
      <c r="E16374" t="inlineStr">
        <is>
          <t>ÖRNSKÖLDSVIK</t>
        </is>
      </c>
      <c r="G16374" t="n">
        <v>14.1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58075-2024</t>
        </is>
      </c>
      <c r="B16375" s="1" t="n">
        <v>45632</v>
      </c>
      <c r="C16375" s="1" t="n">
        <v>45657</v>
      </c>
      <c r="D16375" t="inlineStr">
        <is>
          <t>VÄSTERNORRLANDS LÄN</t>
        </is>
      </c>
      <c r="E16375" t="inlineStr">
        <is>
          <t>KRAMFORS</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58087-2024</t>
        </is>
      </c>
      <c r="B16376" s="1" t="n">
        <v>45632</v>
      </c>
      <c r="C16376" s="1" t="n">
        <v>45657</v>
      </c>
      <c r="D16376" t="inlineStr">
        <is>
          <t>VÄSTERNORRLANDS LÄN</t>
        </is>
      </c>
      <c r="E16376" t="inlineStr">
        <is>
          <t>ÅNGE</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58267-2024</t>
        </is>
      </c>
      <c r="B16377" s="1" t="n">
        <v>45632</v>
      </c>
      <c r="C16377" s="1" t="n">
        <v>45657</v>
      </c>
      <c r="D16377" t="inlineStr">
        <is>
          <t>VÄSTERNORRLANDS LÄN</t>
        </is>
      </c>
      <c r="E16377" t="inlineStr">
        <is>
          <t>ÖRNSKÖLDSVIK</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58271-2024</t>
        </is>
      </c>
      <c r="B16378" s="1" t="n">
        <v>45632</v>
      </c>
      <c r="C16378" s="1" t="n">
        <v>45657</v>
      </c>
      <c r="D16378" t="inlineStr">
        <is>
          <t>VÄSTERNORRLANDS LÄN</t>
        </is>
      </c>
      <c r="E16378" t="inlineStr">
        <is>
          <t>HÄRNÖSAND</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58275-2024</t>
        </is>
      </c>
      <c r="B16379" s="1" t="n">
        <v>45632</v>
      </c>
      <c r="C16379" s="1" t="n">
        <v>45657</v>
      </c>
      <c r="D16379" t="inlineStr">
        <is>
          <t>VÄSTERNORRLANDS LÄN</t>
        </is>
      </c>
      <c r="E16379" t="inlineStr">
        <is>
          <t>ÖRNSKÖLDSVIK</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58338-2024</t>
        </is>
      </c>
      <c r="B16380" s="1" t="n">
        <v>45632</v>
      </c>
      <c r="C16380" s="1" t="n">
        <v>45657</v>
      </c>
      <c r="D16380" t="inlineStr">
        <is>
          <t>VÄSTERNORRLANDS LÄN</t>
        </is>
      </c>
      <c r="E16380" t="inlineStr">
        <is>
          <t>ÅNGE</t>
        </is>
      </c>
      <c r="F16380" t="inlineStr">
        <is>
          <t>SCA</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58342-2024</t>
        </is>
      </c>
      <c r="B16381" s="1" t="n">
        <v>45632</v>
      </c>
      <c r="C16381" s="1" t="n">
        <v>45657</v>
      </c>
      <c r="D16381" t="inlineStr">
        <is>
          <t>VÄSTERNORRLANDS LÄN</t>
        </is>
      </c>
      <c r="E16381" t="inlineStr">
        <is>
          <t>ÖRNSKÖLDSVIK</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58226-2024</t>
        </is>
      </c>
      <c r="B16382" s="1" t="n">
        <v>45632</v>
      </c>
      <c r="C16382" s="1" t="n">
        <v>45657</v>
      </c>
      <c r="D16382" t="inlineStr">
        <is>
          <t>VÄSTERNORRLANDS LÄN</t>
        </is>
      </c>
      <c r="E16382" t="inlineStr">
        <is>
          <t>SOLLEFTEÅ</t>
        </is>
      </c>
      <c r="F16382" t="inlineStr">
        <is>
          <t>SCA</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58276-2024</t>
        </is>
      </c>
      <c r="B16383" s="1" t="n">
        <v>45632</v>
      </c>
      <c r="C16383" s="1" t="n">
        <v>45657</v>
      </c>
      <c r="D16383" t="inlineStr">
        <is>
          <t>VÄSTERNORRLANDS LÄN</t>
        </is>
      </c>
      <c r="E16383" t="inlineStr">
        <is>
          <t>KRAMFORS</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58311-2024</t>
        </is>
      </c>
      <c r="B16384" s="1" t="n">
        <v>45632</v>
      </c>
      <c r="C16384" s="1" t="n">
        <v>45657</v>
      </c>
      <c r="D16384" t="inlineStr">
        <is>
          <t>VÄSTERNORRLANDS LÄN</t>
        </is>
      </c>
      <c r="E16384" t="inlineStr">
        <is>
          <t>ÖRNSKÖLDSVIK</t>
        </is>
      </c>
      <c r="F16384" t="inlineStr">
        <is>
          <t>Holmen skog AB</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58355-2024</t>
        </is>
      </c>
      <c r="B16385" s="1" t="n">
        <v>45632</v>
      </c>
      <c r="C16385" s="1" t="n">
        <v>45657</v>
      </c>
      <c r="D16385" t="inlineStr">
        <is>
          <t>VÄSTERNORRLANDS LÄN</t>
        </is>
      </c>
      <c r="E16385" t="inlineStr">
        <is>
          <t>SUNDSVALL</t>
        </is>
      </c>
      <c r="F16385" t="inlineStr">
        <is>
          <t>SCA</t>
        </is>
      </c>
      <c r="G16385" t="n">
        <v>8.4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58130-2024</t>
        </is>
      </c>
      <c r="B16386" s="1" t="n">
        <v>45632</v>
      </c>
      <c r="C16386" s="1" t="n">
        <v>45657</v>
      </c>
      <c r="D16386" t="inlineStr">
        <is>
          <t>VÄSTERNORRLANDS LÄN</t>
        </is>
      </c>
      <c r="E16386" t="inlineStr">
        <is>
          <t>SUNDSVALL</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58287-2024</t>
        </is>
      </c>
      <c r="B16387" s="1" t="n">
        <v>45632</v>
      </c>
      <c r="C16387" s="1" t="n">
        <v>45657</v>
      </c>
      <c r="D16387" t="inlineStr">
        <is>
          <t>VÄSTERNORRLANDS LÄN</t>
        </is>
      </c>
      <c r="E16387" t="inlineStr">
        <is>
          <t>ÖRNSKÖLDSVIK</t>
        </is>
      </c>
      <c r="F16387" t="inlineStr">
        <is>
          <t>Holmen skog AB</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58357-2024</t>
        </is>
      </c>
      <c r="B16388" s="1" t="n">
        <v>45632</v>
      </c>
      <c r="C16388" s="1" t="n">
        <v>45657</v>
      </c>
      <c r="D16388" t="inlineStr">
        <is>
          <t>VÄSTERNORRLANDS LÄN</t>
        </is>
      </c>
      <c r="E16388" t="inlineStr">
        <is>
          <t>SOLLEFTEÅ</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58277-2024</t>
        </is>
      </c>
      <c r="B16389" s="1" t="n">
        <v>45632</v>
      </c>
      <c r="C16389" s="1" t="n">
        <v>45657</v>
      </c>
      <c r="D16389" t="inlineStr">
        <is>
          <t>VÄSTERNORRLANDS LÄN</t>
        </is>
      </c>
      <c r="E16389" t="inlineStr">
        <is>
          <t>KRAMFORS</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58318-2024</t>
        </is>
      </c>
      <c r="B16390" s="1" t="n">
        <v>45632</v>
      </c>
      <c r="C16390" s="1" t="n">
        <v>45657</v>
      </c>
      <c r="D16390" t="inlineStr">
        <is>
          <t>VÄSTERNORRLANDS LÄN</t>
        </is>
      </c>
      <c r="E16390" t="inlineStr">
        <is>
          <t>ÖRNSKÖLDSVIK</t>
        </is>
      </c>
      <c r="F16390" t="inlineStr">
        <is>
          <t>Holmen skog AB</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58360-2024</t>
        </is>
      </c>
      <c r="B16391" s="1" t="n">
        <v>45632</v>
      </c>
      <c r="C16391" s="1" t="n">
        <v>45657</v>
      </c>
      <c r="D16391" t="inlineStr">
        <is>
          <t>VÄSTERNORRLANDS LÄN</t>
        </is>
      </c>
      <c r="E16391" t="inlineStr">
        <is>
          <t>SOLLEFTEÅ</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58638-2024</t>
        </is>
      </c>
      <c r="B16392" s="1" t="n">
        <v>45632</v>
      </c>
      <c r="C16392" s="1" t="n">
        <v>45657</v>
      </c>
      <c r="D16392" t="inlineStr">
        <is>
          <t>VÄSTERNORRLANDS LÄN</t>
        </is>
      </c>
      <c r="E16392" t="inlineStr">
        <is>
          <t>HÄRNÖSAND</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58463-2024</t>
        </is>
      </c>
      <c r="B16393" s="1" t="n">
        <v>45635</v>
      </c>
      <c r="C16393" s="1" t="n">
        <v>45657</v>
      </c>
      <c r="D16393" t="inlineStr">
        <is>
          <t>VÄSTERNORRLANDS LÄN</t>
        </is>
      </c>
      <c r="E16393" t="inlineStr">
        <is>
          <t>SOLLEFTEÅ</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58485-2024</t>
        </is>
      </c>
      <c r="B16394" s="1" t="n">
        <v>45635</v>
      </c>
      <c r="C16394" s="1" t="n">
        <v>45657</v>
      </c>
      <c r="D16394" t="inlineStr">
        <is>
          <t>VÄSTERNORRLANDS LÄN</t>
        </is>
      </c>
      <c r="E16394" t="inlineStr">
        <is>
          <t>ÖRNSKÖLDSVIK</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58583-2024</t>
        </is>
      </c>
      <c r="B16395" s="1" t="n">
        <v>45635</v>
      </c>
      <c r="C16395" s="1" t="n">
        <v>45657</v>
      </c>
      <c r="D16395" t="inlineStr">
        <is>
          <t>VÄSTERNORRLANDS LÄN</t>
        </is>
      </c>
      <c r="E16395" t="inlineStr">
        <is>
          <t>SUNDSVALL</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58481-2024</t>
        </is>
      </c>
      <c r="B16396" s="1" t="n">
        <v>45635</v>
      </c>
      <c r="C16396" s="1" t="n">
        <v>45657</v>
      </c>
      <c r="D16396" t="inlineStr">
        <is>
          <t>VÄSTERNORRLANDS LÄN</t>
        </is>
      </c>
      <c r="E16396" t="inlineStr">
        <is>
          <t>ÖRNSKÖLDSVIK</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58441-2024</t>
        </is>
      </c>
      <c r="B16397" s="1" t="n">
        <v>45635</v>
      </c>
      <c r="C16397" s="1" t="n">
        <v>45657</v>
      </c>
      <c r="D16397" t="inlineStr">
        <is>
          <t>VÄSTERNORRLANDS LÄN</t>
        </is>
      </c>
      <c r="E16397" t="inlineStr">
        <is>
          <t>ÖRNSKÖLDSVIK</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58461-2024</t>
        </is>
      </c>
      <c r="B16398" s="1" t="n">
        <v>45635</v>
      </c>
      <c r="C16398" s="1" t="n">
        <v>45657</v>
      </c>
      <c r="D16398" t="inlineStr">
        <is>
          <t>VÄSTERNORRLANDS LÄN</t>
        </is>
      </c>
      <c r="E16398" t="inlineStr">
        <is>
          <t>SOLLEFTEÅ</t>
        </is>
      </c>
      <c r="F16398" t="inlineStr">
        <is>
          <t>SCA</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58478-2024</t>
        </is>
      </c>
      <c r="B16399" s="1" t="n">
        <v>45635</v>
      </c>
      <c r="C16399" s="1" t="n">
        <v>45657</v>
      </c>
      <c r="D16399" t="inlineStr">
        <is>
          <t>VÄSTERNORRLANDS LÄN</t>
        </is>
      </c>
      <c r="E16399" t="inlineStr">
        <is>
          <t>SOLLEFTEÅ</t>
        </is>
      </c>
      <c r="F16399" t="inlineStr">
        <is>
          <t>SCA</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58526-2024</t>
        </is>
      </c>
      <c r="B16400" s="1" t="n">
        <v>45635</v>
      </c>
      <c r="C16400" s="1" t="n">
        <v>45657</v>
      </c>
      <c r="D16400" t="inlineStr">
        <is>
          <t>VÄSTERNORRLANDS LÄN</t>
        </is>
      </c>
      <c r="E16400" t="inlineStr">
        <is>
          <t>ÖRNSKÖLDSVIK</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58694-2024</t>
        </is>
      </c>
      <c r="B16401" s="1" t="n">
        <v>45635</v>
      </c>
      <c r="C16401" s="1" t="n">
        <v>45657</v>
      </c>
      <c r="D16401" t="inlineStr">
        <is>
          <t>VÄSTERNORRLANDS LÄN</t>
        </is>
      </c>
      <c r="E16401" t="inlineStr">
        <is>
          <t>SOLLEFTEÅ</t>
        </is>
      </c>
      <c r="F16401" t="inlineStr">
        <is>
          <t>SCA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58723-2024</t>
        </is>
      </c>
      <c r="B16402" s="1" t="n">
        <v>45635</v>
      </c>
      <c r="C16402" s="1" t="n">
        <v>45657</v>
      </c>
      <c r="D16402" t="inlineStr">
        <is>
          <t>VÄSTERNORRLANDS LÄN</t>
        </is>
      </c>
      <c r="E16402" t="inlineStr">
        <is>
          <t>SUNDSVALL</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58462-2024</t>
        </is>
      </c>
      <c r="B16403" s="1" t="n">
        <v>45635</v>
      </c>
      <c r="C16403" s="1" t="n">
        <v>45657</v>
      </c>
      <c r="D16403" t="inlineStr">
        <is>
          <t>VÄSTERNORRLANDS LÄN</t>
        </is>
      </c>
      <c r="E16403" t="inlineStr">
        <is>
          <t>SOLLEFTEÅ</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58466-2024</t>
        </is>
      </c>
      <c r="B16404" s="1" t="n">
        <v>45635</v>
      </c>
      <c r="C16404" s="1" t="n">
        <v>45657</v>
      </c>
      <c r="D16404" t="inlineStr">
        <is>
          <t>VÄSTERNORRLANDS LÄN</t>
        </is>
      </c>
      <c r="E16404" t="inlineStr">
        <is>
          <t>SUNDSVALL</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58752-2024</t>
        </is>
      </c>
      <c r="B16405" s="1" t="n">
        <v>45635</v>
      </c>
      <c r="C16405" s="1" t="n">
        <v>45657</v>
      </c>
      <c r="D16405" t="inlineStr">
        <is>
          <t>VÄSTERNORRLANDS LÄN</t>
        </is>
      </c>
      <c r="E16405" t="inlineStr">
        <is>
          <t>TIMRÅ</t>
        </is>
      </c>
      <c r="F16405" t="inlineStr">
        <is>
          <t>SCA</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58756-2024</t>
        </is>
      </c>
      <c r="B16406" s="1" t="n">
        <v>45635</v>
      </c>
      <c r="C16406" s="1" t="n">
        <v>45657</v>
      </c>
      <c r="D16406" t="inlineStr">
        <is>
          <t>VÄSTERNORRLANDS LÄN</t>
        </is>
      </c>
      <c r="E16406" t="inlineStr">
        <is>
          <t>SUNDSVALL</t>
        </is>
      </c>
      <c r="F16406" t="inlineStr">
        <is>
          <t>SCA</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58760-2024</t>
        </is>
      </c>
      <c r="B16407" s="1" t="n">
        <v>45635</v>
      </c>
      <c r="C16407" s="1" t="n">
        <v>45657</v>
      </c>
      <c r="D16407" t="inlineStr">
        <is>
          <t>VÄSTERNORRLANDS LÄN</t>
        </is>
      </c>
      <c r="E16407" t="inlineStr">
        <is>
          <t>TIMRÅ</t>
        </is>
      </c>
      <c r="F16407" t="inlineStr">
        <is>
          <t>SCA</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58475-2024</t>
        </is>
      </c>
      <c r="B16408" s="1" t="n">
        <v>45635</v>
      </c>
      <c r="C16408" s="1" t="n">
        <v>45657</v>
      </c>
      <c r="D16408" t="inlineStr">
        <is>
          <t>VÄSTERNORRLANDS LÄN</t>
        </is>
      </c>
      <c r="E16408" t="inlineStr">
        <is>
          <t>SUNDSVALL</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58531-2024</t>
        </is>
      </c>
      <c r="B16409" s="1" t="n">
        <v>45635</v>
      </c>
      <c r="C16409" s="1" t="n">
        <v>45657</v>
      </c>
      <c r="D16409" t="inlineStr">
        <is>
          <t>VÄSTERNORRLANDS LÄN</t>
        </is>
      </c>
      <c r="E16409" t="inlineStr">
        <is>
          <t>SOLLEFTEÅ</t>
        </is>
      </c>
      <c r="F16409" t="inlineStr">
        <is>
          <t>SCA</t>
        </is>
      </c>
      <c r="G16409" t="n">
        <v>7.1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58578-2024</t>
        </is>
      </c>
      <c r="B16410" s="1" t="n">
        <v>45635</v>
      </c>
      <c r="C16410" s="1" t="n">
        <v>45657</v>
      </c>
      <c r="D16410" t="inlineStr">
        <is>
          <t>VÄSTERNORRLANDS LÄN</t>
        </is>
      </c>
      <c r="E16410" t="inlineStr">
        <is>
          <t>SOLLEFTEÅ</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58588-2024</t>
        </is>
      </c>
      <c r="B16411" s="1" t="n">
        <v>45635</v>
      </c>
      <c r="C16411" s="1" t="n">
        <v>45657</v>
      </c>
      <c r="D16411" t="inlineStr">
        <is>
          <t>VÄSTERNORRLANDS LÄN</t>
        </is>
      </c>
      <c r="E16411" t="inlineStr">
        <is>
          <t>SOLLEFTEÅ</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58720-2024</t>
        </is>
      </c>
      <c r="B16412" s="1" t="n">
        <v>45635</v>
      </c>
      <c r="C16412" s="1" t="n">
        <v>45657</v>
      </c>
      <c r="D16412" t="inlineStr">
        <is>
          <t>VÄSTERNORRLANDS LÄN</t>
        </is>
      </c>
      <c r="E16412" t="inlineStr">
        <is>
          <t>SUNDSVALL</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58753-2024</t>
        </is>
      </c>
      <c r="B16413" s="1" t="n">
        <v>45635</v>
      </c>
      <c r="C16413" s="1" t="n">
        <v>45657</v>
      </c>
      <c r="D16413" t="inlineStr">
        <is>
          <t>VÄSTERNORRLANDS LÄN</t>
        </is>
      </c>
      <c r="E16413" t="inlineStr">
        <is>
          <t>SUNDSVALL</t>
        </is>
      </c>
      <c r="F16413" t="inlineStr">
        <is>
          <t>SCA</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58689-2024</t>
        </is>
      </c>
      <c r="B16414" s="1" t="n">
        <v>45635</v>
      </c>
      <c r="C16414" s="1" t="n">
        <v>45657</v>
      </c>
      <c r="D16414" t="inlineStr">
        <is>
          <t>VÄSTERNORRLANDS LÄN</t>
        </is>
      </c>
      <c r="E16414" t="inlineStr">
        <is>
          <t>ÖRNSKÖLDSVIK</t>
        </is>
      </c>
      <c r="F16414" t="inlineStr">
        <is>
          <t>Holmen skog AB</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58710-2024</t>
        </is>
      </c>
      <c r="B16415" s="1" t="n">
        <v>45635</v>
      </c>
      <c r="C16415" s="1" t="n">
        <v>45657</v>
      </c>
      <c r="D16415" t="inlineStr">
        <is>
          <t>VÄSTERNORRLANDS LÄN</t>
        </is>
      </c>
      <c r="E16415" t="inlineStr">
        <is>
          <t>ÖRNSKÖLDSVIK</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58722-2024</t>
        </is>
      </c>
      <c r="B16416" s="1" t="n">
        <v>45635</v>
      </c>
      <c r="C16416" s="1" t="n">
        <v>45657</v>
      </c>
      <c r="D16416" t="inlineStr">
        <is>
          <t>VÄSTERNORRLANDS LÄN</t>
        </is>
      </c>
      <c r="E16416" t="inlineStr">
        <is>
          <t>SUNDSVALL</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58721-2024</t>
        </is>
      </c>
      <c r="B16417" s="1" t="n">
        <v>45635</v>
      </c>
      <c r="C16417" s="1" t="n">
        <v>45657</v>
      </c>
      <c r="D16417" t="inlineStr">
        <is>
          <t>VÄSTERNORRLANDS LÄN</t>
        </is>
      </c>
      <c r="E16417" t="inlineStr">
        <is>
          <t>SUNDSVALL</t>
        </is>
      </c>
      <c r="G16417" t="n">
        <v>4.2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58725-2024</t>
        </is>
      </c>
      <c r="B16418" s="1" t="n">
        <v>45635</v>
      </c>
      <c r="C16418" s="1" t="n">
        <v>45657</v>
      </c>
      <c r="D16418" t="inlineStr">
        <is>
          <t>VÄSTERNORRLANDS LÄN</t>
        </is>
      </c>
      <c r="E16418" t="inlineStr">
        <is>
          <t>ÖRNSKÖLDSVIK</t>
        </is>
      </c>
      <c r="F16418" t="inlineStr">
        <is>
          <t>Holmen skog AB</t>
        </is>
      </c>
      <c r="G16418" t="n">
        <v>5.2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58754-2024</t>
        </is>
      </c>
      <c r="B16419" s="1" t="n">
        <v>45635</v>
      </c>
      <c r="C16419" s="1" t="n">
        <v>45657</v>
      </c>
      <c r="D16419" t="inlineStr">
        <is>
          <t>VÄSTERNORRLANDS LÄN</t>
        </is>
      </c>
      <c r="E16419" t="inlineStr">
        <is>
          <t>TIMRÅ</t>
        </is>
      </c>
      <c r="F16419" t="inlineStr">
        <is>
          <t>SCA</t>
        </is>
      </c>
      <c r="G16419" t="n">
        <v>9.1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58758-2024</t>
        </is>
      </c>
      <c r="B16420" s="1" t="n">
        <v>45635</v>
      </c>
      <c r="C16420" s="1" t="n">
        <v>45657</v>
      </c>
      <c r="D16420" t="inlineStr">
        <is>
          <t>VÄSTERNORRLANDS LÄN</t>
        </is>
      </c>
      <c r="E16420" t="inlineStr">
        <is>
          <t>SUNDSVALL</t>
        </is>
      </c>
      <c r="F16420" t="inlineStr">
        <is>
          <t>SCA</t>
        </is>
      </c>
      <c r="G16420" t="n">
        <v>7.7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58762-2024</t>
        </is>
      </c>
      <c r="B16421" s="1" t="n">
        <v>45635</v>
      </c>
      <c r="C16421" s="1" t="n">
        <v>45657</v>
      </c>
      <c r="D16421" t="inlineStr">
        <is>
          <t>VÄSTERNORRLANDS LÄN</t>
        </is>
      </c>
      <c r="E16421" t="inlineStr">
        <is>
          <t>SUNDSVALL</t>
        </is>
      </c>
      <c r="F16421" t="inlineStr">
        <is>
          <t>SCA</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58755-2024</t>
        </is>
      </c>
      <c r="B16422" s="1" t="n">
        <v>45635</v>
      </c>
      <c r="C16422" s="1" t="n">
        <v>45657</v>
      </c>
      <c r="D16422" t="inlineStr">
        <is>
          <t>VÄSTERNORRLANDS LÄN</t>
        </is>
      </c>
      <c r="E16422" t="inlineStr">
        <is>
          <t>TIMRÅ</t>
        </is>
      </c>
      <c r="F16422" t="inlineStr">
        <is>
          <t>SCA</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58759-2024</t>
        </is>
      </c>
      <c r="B16423" s="1" t="n">
        <v>45635</v>
      </c>
      <c r="C16423" s="1" t="n">
        <v>45657</v>
      </c>
      <c r="D16423" t="inlineStr">
        <is>
          <t>VÄSTERNORRLANDS LÄN</t>
        </is>
      </c>
      <c r="E16423" t="inlineStr">
        <is>
          <t>TIMRÅ</t>
        </is>
      </c>
      <c r="F16423" t="inlineStr">
        <is>
          <t>SCA</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58763-2024</t>
        </is>
      </c>
      <c r="B16424" s="1" t="n">
        <v>45635</v>
      </c>
      <c r="C16424" s="1" t="n">
        <v>45657</v>
      </c>
      <c r="D16424" t="inlineStr">
        <is>
          <t>VÄSTERNORRLANDS LÄN</t>
        </is>
      </c>
      <c r="E16424" t="inlineStr">
        <is>
          <t>SUNDSVALL</t>
        </is>
      </c>
      <c r="F16424" t="inlineStr">
        <is>
          <t>SCA</t>
        </is>
      </c>
      <c r="G16424" t="n">
        <v>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58757-2024</t>
        </is>
      </c>
      <c r="B16425" s="1" t="n">
        <v>45635</v>
      </c>
      <c r="C16425" s="1" t="n">
        <v>45657</v>
      </c>
      <c r="D16425" t="inlineStr">
        <is>
          <t>VÄSTERNORRLANDS LÄN</t>
        </is>
      </c>
      <c r="E16425" t="inlineStr">
        <is>
          <t>SUNDSVALL</t>
        </is>
      </c>
      <c r="F16425" t="inlineStr">
        <is>
          <t>SCA</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58761-2024</t>
        </is>
      </c>
      <c r="B16426" s="1" t="n">
        <v>45635</v>
      </c>
      <c r="C16426" s="1" t="n">
        <v>45657</v>
      </c>
      <c r="D16426" t="inlineStr">
        <is>
          <t>VÄSTERNORRLANDS LÄN</t>
        </is>
      </c>
      <c r="E16426" t="inlineStr">
        <is>
          <t>SUNDSVALL</t>
        </is>
      </c>
      <c r="F16426" t="inlineStr">
        <is>
          <t>SCA</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58811-2024</t>
        </is>
      </c>
      <c r="B16427" s="1" t="n">
        <v>45636</v>
      </c>
      <c r="C16427" s="1" t="n">
        <v>45657</v>
      </c>
      <c r="D16427" t="inlineStr">
        <is>
          <t>VÄSTERNORRLANDS LÄN</t>
        </is>
      </c>
      <c r="E16427" t="inlineStr">
        <is>
          <t>KRAMFORS</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58808-2024</t>
        </is>
      </c>
      <c r="B16428" s="1" t="n">
        <v>45636</v>
      </c>
      <c r="C16428" s="1" t="n">
        <v>45657</v>
      </c>
      <c r="D16428" t="inlineStr">
        <is>
          <t>VÄSTERNORRLANDS LÄN</t>
        </is>
      </c>
      <c r="E16428" t="inlineStr">
        <is>
          <t>SOLLEFTEÅ</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58866-2024</t>
        </is>
      </c>
      <c r="B16429" s="1" t="n">
        <v>45636</v>
      </c>
      <c r="C16429" s="1" t="n">
        <v>45657</v>
      </c>
      <c r="D16429" t="inlineStr">
        <is>
          <t>VÄSTERNORRLANDS LÄN</t>
        </is>
      </c>
      <c r="E16429" t="inlineStr">
        <is>
          <t>TIMRÅ</t>
        </is>
      </c>
      <c r="F16429" t="inlineStr">
        <is>
          <t>SCA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58804-2024</t>
        </is>
      </c>
      <c r="B16430" s="1" t="n">
        <v>45636</v>
      </c>
      <c r="C16430" s="1" t="n">
        <v>45657</v>
      </c>
      <c r="D16430" t="inlineStr">
        <is>
          <t>VÄSTERNORRLANDS LÄN</t>
        </is>
      </c>
      <c r="E16430" t="inlineStr">
        <is>
          <t>KRAMFORS</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58809-2024</t>
        </is>
      </c>
      <c r="B16431" s="1" t="n">
        <v>45636</v>
      </c>
      <c r="C16431" s="1" t="n">
        <v>45657</v>
      </c>
      <c r="D16431" t="inlineStr">
        <is>
          <t>VÄSTERNORRLANDS LÄN</t>
        </is>
      </c>
      <c r="E16431" t="inlineStr">
        <is>
          <t>KRAMFORS</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58879-2024</t>
        </is>
      </c>
      <c r="B16432" s="1" t="n">
        <v>45636</v>
      </c>
      <c r="C16432" s="1" t="n">
        <v>45657</v>
      </c>
      <c r="D16432" t="inlineStr">
        <is>
          <t>VÄSTERNORRLANDS LÄN</t>
        </is>
      </c>
      <c r="E16432" t="inlineStr">
        <is>
          <t>TIMRÅ</t>
        </is>
      </c>
      <c r="F16432" t="inlineStr">
        <is>
          <t>SCA</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58841-2024</t>
        </is>
      </c>
      <c r="B16433" s="1" t="n">
        <v>45636</v>
      </c>
      <c r="C16433" s="1" t="n">
        <v>45657</v>
      </c>
      <c r="D16433" t="inlineStr">
        <is>
          <t>VÄSTERNORRLANDS LÄN</t>
        </is>
      </c>
      <c r="E16433" t="inlineStr">
        <is>
          <t>SOLLEFTEÅ</t>
        </is>
      </c>
      <c r="F16433" t="inlineStr">
        <is>
          <t>SCA</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58845-2024</t>
        </is>
      </c>
      <c r="B16434" s="1" t="n">
        <v>45636</v>
      </c>
      <c r="C16434" s="1" t="n">
        <v>45657</v>
      </c>
      <c r="D16434" t="inlineStr">
        <is>
          <t>VÄSTERNORRLANDS LÄN</t>
        </is>
      </c>
      <c r="E16434" t="inlineStr">
        <is>
          <t>SOLLEFTEÅ</t>
        </is>
      </c>
      <c r="F16434" t="inlineStr">
        <is>
          <t>SCA</t>
        </is>
      </c>
      <c r="G16434" t="n">
        <v>11.3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58930-2024</t>
        </is>
      </c>
      <c r="B16435" s="1" t="n">
        <v>45636</v>
      </c>
      <c r="C16435" s="1" t="n">
        <v>45657</v>
      </c>
      <c r="D16435" t="inlineStr">
        <is>
          <t>VÄSTERNORRLANDS LÄN</t>
        </is>
      </c>
      <c r="E16435" t="inlineStr">
        <is>
          <t>TIMRÅ</t>
        </is>
      </c>
      <c r="F16435" t="inlineStr">
        <is>
          <t>SCA</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58958-2024</t>
        </is>
      </c>
      <c r="B16436" s="1" t="n">
        <v>45636</v>
      </c>
      <c r="C16436" s="1" t="n">
        <v>45657</v>
      </c>
      <c r="D16436" t="inlineStr">
        <is>
          <t>VÄSTERNORRLANDS LÄN</t>
        </is>
      </c>
      <c r="E16436" t="inlineStr">
        <is>
          <t>KRAMFORS</t>
        </is>
      </c>
      <c r="G16436" t="n">
        <v>10.1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58963-2024</t>
        </is>
      </c>
      <c r="B16437" s="1" t="n">
        <v>45636</v>
      </c>
      <c r="C16437" s="1" t="n">
        <v>45657</v>
      </c>
      <c r="D16437" t="inlineStr">
        <is>
          <t>VÄSTERNORRLANDS LÄN</t>
        </is>
      </c>
      <c r="E16437" t="inlineStr">
        <is>
          <t>KRAMFORS</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58929-2024</t>
        </is>
      </c>
      <c r="B16438" s="1" t="n">
        <v>45636</v>
      </c>
      <c r="C16438" s="1" t="n">
        <v>45657</v>
      </c>
      <c r="D16438" t="inlineStr">
        <is>
          <t>VÄSTERNORRLANDS LÄN</t>
        </is>
      </c>
      <c r="E16438" t="inlineStr">
        <is>
          <t>ÅNGE</t>
        </is>
      </c>
      <c r="F16438" t="inlineStr">
        <is>
          <t>SCA</t>
        </is>
      </c>
      <c r="G16438" t="n">
        <v>3.9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58931-2024</t>
        </is>
      </c>
      <c r="B16439" s="1" t="n">
        <v>45636</v>
      </c>
      <c r="C16439" s="1" t="n">
        <v>45657</v>
      </c>
      <c r="D16439" t="inlineStr">
        <is>
          <t>VÄSTERNORRLANDS LÄN</t>
        </is>
      </c>
      <c r="E16439" t="inlineStr">
        <is>
          <t>SOLLEFTEÅ</t>
        </is>
      </c>
      <c r="F16439" t="inlineStr">
        <is>
          <t>SCA</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58966-2024</t>
        </is>
      </c>
      <c r="B16440" s="1" t="n">
        <v>45636</v>
      </c>
      <c r="C16440" s="1" t="n">
        <v>45657</v>
      </c>
      <c r="D16440" t="inlineStr">
        <is>
          <t>VÄSTERNORRLANDS LÄN</t>
        </is>
      </c>
      <c r="E16440" t="inlineStr">
        <is>
          <t>KRAMFORS</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59046-2024</t>
        </is>
      </c>
      <c r="B16441" s="1" t="n">
        <v>45636</v>
      </c>
      <c r="C16441" s="1" t="n">
        <v>45657</v>
      </c>
      <c r="D16441" t="inlineStr">
        <is>
          <t>VÄSTERNORRLANDS LÄN</t>
        </is>
      </c>
      <c r="E16441" t="inlineStr">
        <is>
          <t>SUNDSVALL</t>
        </is>
      </c>
      <c r="G16441" t="n">
        <v>14.3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58994-2024</t>
        </is>
      </c>
      <c r="B16442" s="1" t="n">
        <v>45636</v>
      </c>
      <c r="C16442" s="1" t="n">
        <v>45657</v>
      </c>
      <c r="D16442" t="inlineStr">
        <is>
          <t>VÄSTERNORRLANDS LÄN</t>
        </is>
      </c>
      <c r="E16442" t="inlineStr">
        <is>
          <t>SOLLEFTEÅ</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59006-2024</t>
        </is>
      </c>
      <c r="B16443" s="1" t="n">
        <v>45636</v>
      </c>
      <c r="C16443" s="1" t="n">
        <v>45657</v>
      </c>
      <c r="D16443" t="inlineStr">
        <is>
          <t>VÄSTERNORRLANDS LÄN</t>
        </is>
      </c>
      <c r="E16443" t="inlineStr">
        <is>
          <t>ÅNGE</t>
        </is>
      </c>
      <c r="F16443" t="inlineStr">
        <is>
          <t>SCA</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59041-2024</t>
        </is>
      </c>
      <c r="B16444" s="1" t="n">
        <v>45636</v>
      </c>
      <c r="C16444" s="1" t="n">
        <v>45657</v>
      </c>
      <c r="D16444" t="inlineStr">
        <is>
          <t>VÄSTERNORRLANDS LÄN</t>
        </is>
      </c>
      <c r="E16444" t="inlineStr">
        <is>
          <t>ÖRNSKÖLDSVIK</t>
        </is>
      </c>
      <c r="F16444" t="inlineStr">
        <is>
          <t>SCA</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59065-2024</t>
        </is>
      </c>
      <c r="B16445" s="1" t="n">
        <v>45636</v>
      </c>
      <c r="C16445" s="1" t="n">
        <v>45657</v>
      </c>
      <c r="D16445" t="inlineStr">
        <is>
          <t>VÄSTERNORRLANDS LÄN</t>
        </is>
      </c>
      <c r="E16445" t="inlineStr">
        <is>
          <t>KRAMFORS</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58806-2024</t>
        </is>
      </c>
      <c r="B16446" s="1" t="n">
        <v>45636</v>
      </c>
      <c r="C16446" s="1" t="n">
        <v>45657</v>
      </c>
      <c r="D16446" t="inlineStr">
        <is>
          <t>VÄSTERNORRLANDS LÄN</t>
        </is>
      </c>
      <c r="E16446" t="inlineStr">
        <is>
          <t>KRAMFORS</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58850-2024</t>
        </is>
      </c>
      <c r="B16447" s="1" t="n">
        <v>45636</v>
      </c>
      <c r="C16447" s="1" t="n">
        <v>45657</v>
      </c>
      <c r="D16447" t="inlineStr">
        <is>
          <t>VÄSTERNORRLANDS LÄN</t>
        </is>
      </c>
      <c r="E16447" t="inlineStr">
        <is>
          <t>ÖRNSKÖLDSVIK</t>
        </is>
      </c>
      <c r="G16447" t="n">
        <v>5.9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58928-2024</t>
        </is>
      </c>
      <c r="B16448" s="1" t="n">
        <v>45636</v>
      </c>
      <c r="C16448" s="1" t="n">
        <v>45657</v>
      </c>
      <c r="D16448" t="inlineStr">
        <is>
          <t>VÄSTERNORRLANDS LÄN</t>
        </is>
      </c>
      <c r="E16448" t="inlineStr">
        <is>
          <t>KRAMFORS</t>
        </is>
      </c>
      <c r="G16448" t="n">
        <v>4.6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58936-2024</t>
        </is>
      </c>
      <c r="B16449" s="1" t="n">
        <v>45636</v>
      </c>
      <c r="C16449" s="1" t="n">
        <v>45657</v>
      </c>
      <c r="D16449" t="inlineStr">
        <is>
          <t>VÄSTERNORRLANDS LÄN</t>
        </is>
      </c>
      <c r="E16449" t="inlineStr">
        <is>
          <t>ÖRNSKÖLDSVIK</t>
        </is>
      </c>
      <c r="G16449" t="n">
        <v>7.3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58965-2024</t>
        </is>
      </c>
      <c r="B16450" s="1" t="n">
        <v>45636</v>
      </c>
      <c r="C16450" s="1" t="n">
        <v>45657</v>
      </c>
      <c r="D16450" t="inlineStr">
        <is>
          <t>VÄSTERNORRLANDS LÄN</t>
        </is>
      </c>
      <c r="E16450" t="inlineStr">
        <is>
          <t>KRAMFORS</t>
        </is>
      </c>
      <c r="G16450" t="n">
        <v>11.7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58979-2024</t>
        </is>
      </c>
      <c r="B16451" s="1" t="n">
        <v>45636</v>
      </c>
      <c r="C16451" s="1" t="n">
        <v>45657</v>
      </c>
      <c r="D16451" t="inlineStr">
        <is>
          <t>VÄSTERNORRLANDS LÄN</t>
        </is>
      </c>
      <c r="E16451" t="inlineStr">
        <is>
          <t>SOLLEFTEÅ</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58991-2024</t>
        </is>
      </c>
      <c r="B16452" s="1" t="n">
        <v>45636</v>
      </c>
      <c r="C16452" s="1" t="n">
        <v>45657</v>
      </c>
      <c r="D16452" t="inlineStr">
        <is>
          <t>VÄSTERNORRLANDS LÄN</t>
        </is>
      </c>
      <c r="E16452" t="inlineStr">
        <is>
          <t>SUNDSVALL</t>
        </is>
      </c>
      <c r="F16452" t="inlineStr">
        <is>
          <t>SCA</t>
        </is>
      </c>
      <c r="G16452" t="n">
        <v>6.4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58995-2024</t>
        </is>
      </c>
      <c r="B16453" s="1" t="n">
        <v>45636</v>
      </c>
      <c r="C16453" s="1" t="n">
        <v>45657</v>
      </c>
      <c r="D16453" t="inlineStr">
        <is>
          <t>VÄSTERNORRLANDS LÄN</t>
        </is>
      </c>
      <c r="E16453" t="inlineStr">
        <is>
          <t>SOLLEFTEÅ</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59040-2024</t>
        </is>
      </c>
      <c r="B16454" s="1" t="n">
        <v>45636</v>
      </c>
      <c r="C16454" s="1" t="n">
        <v>45657</v>
      </c>
      <c r="D16454" t="inlineStr">
        <is>
          <t>VÄSTERNORRLANDS LÄN</t>
        </is>
      </c>
      <c r="E16454" t="inlineStr">
        <is>
          <t>ÖRNSKÖLDSVIK</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59115-2024</t>
        </is>
      </c>
      <c r="B16455" s="1" t="n">
        <v>45637</v>
      </c>
      <c r="C16455" s="1" t="n">
        <v>45657</v>
      </c>
      <c r="D16455" t="inlineStr">
        <is>
          <t>VÄSTERNORRLANDS LÄN</t>
        </is>
      </c>
      <c r="E16455" t="inlineStr">
        <is>
          <t>KRAMFORS</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59162-2024</t>
        </is>
      </c>
      <c r="B16456" s="1" t="n">
        <v>45637</v>
      </c>
      <c r="C16456" s="1" t="n">
        <v>45657</v>
      </c>
      <c r="D16456" t="inlineStr">
        <is>
          <t>VÄSTERNORRLANDS LÄN</t>
        </is>
      </c>
      <c r="E16456" t="inlineStr">
        <is>
          <t>ÖRNSKÖLDSVIK</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59105-2024</t>
        </is>
      </c>
      <c r="B16457" s="1" t="n">
        <v>45637</v>
      </c>
      <c r="C16457" s="1" t="n">
        <v>45657</v>
      </c>
      <c r="D16457" t="inlineStr">
        <is>
          <t>VÄSTERNORRLANDS LÄN</t>
        </is>
      </c>
      <c r="E16457" t="inlineStr">
        <is>
          <t>SOLLEFTEÅ</t>
        </is>
      </c>
      <c r="F16457" t="inlineStr">
        <is>
          <t>SCA</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59287-2024</t>
        </is>
      </c>
      <c r="B16458" s="1" t="n">
        <v>45637</v>
      </c>
      <c r="C16458" s="1" t="n">
        <v>45657</v>
      </c>
      <c r="D16458" t="inlineStr">
        <is>
          <t>VÄSTERNORRLANDS LÄN</t>
        </is>
      </c>
      <c r="E16458" t="inlineStr">
        <is>
          <t>ÖRNSKÖLDSVIK</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59392-2024</t>
        </is>
      </c>
      <c r="B16459" s="1" t="n">
        <v>45637</v>
      </c>
      <c r="C16459" s="1" t="n">
        <v>45657</v>
      </c>
      <c r="D16459" t="inlineStr">
        <is>
          <t>VÄSTERNORRLANDS LÄN</t>
        </is>
      </c>
      <c r="E16459" t="inlineStr">
        <is>
          <t>ÖRNSKÖLDSVIK</t>
        </is>
      </c>
      <c r="G16459" t="n">
        <v>8.5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59144-2024</t>
        </is>
      </c>
      <c r="B16460" s="1" t="n">
        <v>45637</v>
      </c>
      <c r="C16460" s="1" t="n">
        <v>45657</v>
      </c>
      <c r="D16460" t="inlineStr">
        <is>
          <t>VÄSTERNORRLANDS LÄN</t>
        </is>
      </c>
      <c r="E16460" t="inlineStr">
        <is>
          <t>SOLLEFTEÅ</t>
        </is>
      </c>
      <c r="F16460" t="inlineStr">
        <is>
          <t>SCA</t>
        </is>
      </c>
      <c r="G16460" t="n">
        <v>5.3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59189-2024</t>
        </is>
      </c>
      <c r="B16461" s="1" t="n">
        <v>45637</v>
      </c>
      <c r="C16461" s="1" t="n">
        <v>45657</v>
      </c>
      <c r="D16461" t="inlineStr">
        <is>
          <t>VÄSTERNORRLANDS LÄN</t>
        </is>
      </c>
      <c r="E16461" t="inlineStr">
        <is>
          <t>TIMRÅ</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59313-2024</t>
        </is>
      </c>
      <c r="B16462" s="1" t="n">
        <v>45637</v>
      </c>
      <c r="C16462" s="1" t="n">
        <v>45657</v>
      </c>
      <c r="D16462" t="inlineStr">
        <is>
          <t>VÄSTERNORRLANDS LÄN</t>
        </is>
      </c>
      <c r="E16462" t="inlineStr">
        <is>
          <t>ÖRNSKÖLDSVIK</t>
        </is>
      </c>
      <c r="F16462" t="inlineStr">
        <is>
          <t>Holmen skog AB</t>
        </is>
      </c>
      <c r="G16462" t="n">
        <v>5.6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59317-2024</t>
        </is>
      </c>
      <c r="B16463" s="1" t="n">
        <v>45637</v>
      </c>
      <c r="C16463" s="1" t="n">
        <v>45657</v>
      </c>
      <c r="D16463" t="inlineStr">
        <is>
          <t>VÄSTERNORRLANDS LÄN</t>
        </is>
      </c>
      <c r="E16463" t="inlineStr">
        <is>
          <t>SOLLEFTEÅ</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59113-2024</t>
        </is>
      </c>
      <c r="B16464" s="1" t="n">
        <v>45637</v>
      </c>
      <c r="C16464" s="1" t="n">
        <v>45657</v>
      </c>
      <c r="D16464" t="inlineStr">
        <is>
          <t>VÄSTERNORRLANDS LÄN</t>
        </is>
      </c>
      <c r="E16464" t="inlineStr">
        <is>
          <t>HÄRNÖSAND</t>
        </is>
      </c>
      <c r="F16464" t="inlineStr">
        <is>
          <t>SCA</t>
        </is>
      </c>
      <c r="G16464" t="n">
        <v>4.5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59163-2024</t>
        </is>
      </c>
      <c r="B16465" s="1" t="n">
        <v>45637</v>
      </c>
      <c r="C16465" s="1" t="n">
        <v>45657</v>
      </c>
      <c r="D16465" t="inlineStr">
        <is>
          <t>VÄSTERNORRLANDS LÄN</t>
        </is>
      </c>
      <c r="E16465" t="inlineStr">
        <is>
          <t>ÖRNSKÖLDSVIK</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59179-2024</t>
        </is>
      </c>
      <c r="B16466" s="1" t="n">
        <v>45637</v>
      </c>
      <c r="C16466" s="1" t="n">
        <v>45657</v>
      </c>
      <c r="D16466" t="inlineStr">
        <is>
          <t>VÄSTERNORRLANDS LÄN</t>
        </is>
      </c>
      <c r="E16466" t="inlineStr">
        <is>
          <t>SOLLEFTEÅ</t>
        </is>
      </c>
      <c r="G16466" t="n">
        <v>5.1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59164-2024</t>
        </is>
      </c>
      <c r="B16467" s="1" t="n">
        <v>45637</v>
      </c>
      <c r="C16467" s="1" t="n">
        <v>45657</v>
      </c>
      <c r="D16467" t="inlineStr">
        <is>
          <t>VÄSTERNORRLANDS LÄN</t>
        </is>
      </c>
      <c r="E16467" t="inlineStr">
        <is>
          <t>ÖRNSKÖLDSVIK</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59218-2024</t>
        </is>
      </c>
      <c r="B16468" s="1" t="n">
        <v>45637</v>
      </c>
      <c r="C16468" s="1" t="n">
        <v>45657</v>
      </c>
      <c r="D16468" t="inlineStr">
        <is>
          <t>VÄSTERNORRLANDS LÄN</t>
        </is>
      </c>
      <c r="E16468" t="inlineStr">
        <is>
          <t>ÖRNSKÖLDSVIK</t>
        </is>
      </c>
      <c r="G16468" t="n">
        <v>2.8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59281-2024</t>
        </is>
      </c>
      <c r="B16469" s="1" t="n">
        <v>45637</v>
      </c>
      <c r="C16469" s="1" t="n">
        <v>45657</v>
      </c>
      <c r="D16469" t="inlineStr">
        <is>
          <t>VÄSTERNORRLANDS LÄN</t>
        </is>
      </c>
      <c r="E16469" t="inlineStr">
        <is>
          <t>ÖRNSKÖLDSVIK</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59308-2024</t>
        </is>
      </c>
      <c r="B16470" s="1" t="n">
        <v>45637</v>
      </c>
      <c r="C16470" s="1" t="n">
        <v>45657</v>
      </c>
      <c r="D16470" t="inlineStr">
        <is>
          <t>VÄSTERNORRLANDS LÄN</t>
        </is>
      </c>
      <c r="E16470" t="inlineStr">
        <is>
          <t>SOLLEFTEÅ</t>
        </is>
      </c>
      <c r="F16470" t="inlineStr">
        <is>
          <t>SCA</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59491-2024</t>
        </is>
      </c>
      <c r="B16471" s="1" t="n">
        <v>45637</v>
      </c>
      <c r="C16471" s="1" t="n">
        <v>45657</v>
      </c>
      <c r="D16471" t="inlineStr">
        <is>
          <t>VÄSTERNORRLANDS LÄN</t>
        </is>
      </c>
      <c r="E16471" t="inlineStr">
        <is>
          <t>SOLLEFTEÅ</t>
        </is>
      </c>
      <c r="G16471" t="n">
        <v>4.9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59393-2024</t>
        </is>
      </c>
      <c r="B16472" s="1" t="n">
        <v>45637</v>
      </c>
      <c r="C16472" s="1" t="n">
        <v>45657</v>
      </c>
      <c r="D16472" t="inlineStr">
        <is>
          <t>VÄSTERNORRLANDS LÄN</t>
        </is>
      </c>
      <c r="E16472" t="inlineStr">
        <is>
          <t>ÖRNSKÖLDSVIK</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59370-2024</t>
        </is>
      </c>
      <c r="B16473" s="1" t="n">
        <v>45638</v>
      </c>
      <c r="C16473" s="1" t="n">
        <v>45657</v>
      </c>
      <c r="D16473" t="inlineStr">
        <is>
          <t>VÄSTERNORRLANDS LÄN</t>
        </is>
      </c>
      <c r="E16473" t="inlineStr">
        <is>
          <t>HÄRNÖSAND</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59378-2024</t>
        </is>
      </c>
      <c r="B16474" s="1" t="n">
        <v>45638</v>
      </c>
      <c r="C16474" s="1" t="n">
        <v>45657</v>
      </c>
      <c r="D16474" t="inlineStr">
        <is>
          <t>VÄSTERNORRLANDS LÄN</t>
        </is>
      </c>
      <c r="E16474" t="inlineStr">
        <is>
          <t>KRAMFORS</t>
        </is>
      </c>
      <c r="G16474" t="n">
        <v>7.1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59388-2024</t>
        </is>
      </c>
      <c r="B16475" s="1" t="n">
        <v>45638</v>
      </c>
      <c r="C16475" s="1" t="n">
        <v>45657</v>
      </c>
      <c r="D16475" t="inlineStr">
        <is>
          <t>VÄSTERNORRLANDS LÄN</t>
        </is>
      </c>
      <c r="E16475" t="inlineStr">
        <is>
          <t>SOLLEFTEÅ</t>
        </is>
      </c>
      <c r="F16475" t="inlineStr">
        <is>
          <t>SCA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59408-2024</t>
        </is>
      </c>
      <c r="B16476" s="1" t="n">
        <v>45638</v>
      </c>
      <c r="C16476" s="1" t="n">
        <v>45657</v>
      </c>
      <c r="D16476" t="inlineStr">
        <is>
          <t>VÄSTERNORRLANDS LÄN</t>
        </is>
      </c>
      <c r="E16476" t="inlineStr">
        <is>
          <t>HÄRNÖSAND</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59412-2024</t>
        </is>
      </c>
      <c r="B16477" s="1" t="n">
        <v>45638</v>
      </c>
      <c r="C16477" s="1" t="n">
        <v>45657</v>
      </c>
      <c r="D16477" t="inlineStr">
        <is>
          <t>VÄSTERNORRLANDS LÄN</t>
        </is>
      </c>
      <c r="E16477" t="inlineStr">
        <is>
          <t>ÅNGE</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59421-2024</t>
        </is>
      </c>
      <c r="B16478" s="1" t="n">
        <v>45638</v>
      </c>
      <c r="C16478" s="1" t="n">
        <v>45657</v>
      </c>
      <c r="D16478" t="inlineStr">
        <is>
          <t>VÄSTERNORRLANDS LÄN</t>
        </is>
      </c>
      <c r="E16478" t="inlineStr">
        <is>
          <t>SOLLEFTEÅ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59453-2024</t>
        </is>
      </c>
      <c r="B16479" s="1" t="n">
        <v>45638</v>
      </c>
      <c r="C16479" s="1" t="n">
        <v>45657</v>
      </c>
      <c r="D16479" t="inlineStr">
        <is>
          <t>VÄSTERNORRLANDS LÄN</t>
        </is>
      </c>
      <c r="E16479" t="inlineStr">
        <is>
          <t>ÖRNSKÖLDSVIK</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59474-2024</t>
        </is>
      </c>
      <c r="B16480" s="1" t="n">
        <v>45638</v>
      </c>
      <c r="C16480" s="1" t="n">
        <v>45657</v>
      </c>
      <c r="D16480" t="inlineStr">
        <is>
          <t>VÄSTERNORRLANDS LÄN</t>
        </is>
      </c>
      <c r="E16480" t="inlineStr">
        <is>
          <t>SOLLEFTEÅ</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59389-2024</t>
        </is>
      </c>
      <c r="B16481" s="1" t="n">
        <v>45638</v>
      </c>
      <c r="C16481" s="1" t="n">
        <v>45657</v>
      </c>
      <c r="D16481" t="inlineStr">
        <is>
          <t>VÄSTERNORRLANDS LÄN</t>
        </is>
      </c>
      <c r="E16481" t="inlineStr">
        <is>
          <t>SOLLEFTEÅ</t>
        </is>
      </c>
      <c r="F16481" t="inlineStr">
        <is>
          <t>SCA</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59407-2024</t>
        </is>
      </c>
      <c r="B16482" s="1" t="n">
        <v>45638</v>
      </c>
      <c r="C16482" s="1" t="n">
        <v>45657</v>
      </c>
      <c r="D16482" t="inlineStr">
        <is>
          <t>VÄSTERNORRLANDS LÄN</t>
        </is>
      </c>
      <c r="E16482" t="inlineStr">
        <is>
          <t>SOLLEFTEÅ</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59418-2024</t>
        </is>
      </c>
      <c r="B16483" s="1" t="n">
        <v>45638</v>
      </c>
      <c r="C16483" s="1" t="n">
        <v>45657</v>
      </c>
      <c r="D16483" t="inlineStr">
        <is>
          <t>VÄSTERNORRLANDS LÄN</t>
        </is>
      </c>
      <c r="E16483" t="inlineStr">
        <is>
          <t>SOLLEFTEÅ</t>
        </is>
      </c>
      <c r="F16483" t="inlineStr">
        <is>
          <t>SCA</t>
        </is>
      </c>
      <c r="G16483" t="n">
        <v>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59422-2024</t>
        </is>
      </c>
      <c r="B16484" s="1" t="n">
        <v>45638</v>
      </c>
      <c r="C16484" s="1" t="n">
        <v>45657</v>
      </c>
      <c r="D16484" t="inlineStr">
        <is>
          <t>VÄSTERNORRLANDS LÄN</t>
        </is>
      </c>
      <c r="E16484" t="inlineStr">
        <is>
          <t>SOLLEFTEÅ</t>
        </is>
      </c>
      <c r="G16484" t="n">
        <v>5.6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59558-2024</t>
        </is>
      </c>
      <c r="B16485" s="1" t="n">
        <v>45638</v>
      </c>
      <c r="C16485" s="1" t="n">
        <v>45657</v>
      </c>
      <c r="D16485" t="inlineStr">
        <is>
          <t>VÄSTERNORRLANDS LÄN</t>
        </is>
      </c>
      <c r="E16485" t="inlineStr">
        <is>
          <t>SOLLEFTEÅ</t>
        </is>
      </c>
      <c r="G16485" t="n">
        <v>8.9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59566-2024</t>
        </is>
      </c>
      <c r="B16486" s="1" t="n">
        <v>45638</v>
      </c>
      <c r="C16486" s="1" t="n">
        <v>45657</v>
      </c>
      <c r="D16486" t="inlineStr">
        <is>
          <t>VÄSTERNORRLANDS LÄN</t>
        </is>
      </c>
      <c r="E16486" t="inlineStr">
        <is>
          <t>SOLLEFTEÅ</t>
        </is>
      </c>
      <c r="F16486" t="inlineStr">
        <is>
          <t>SCA</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59426-2024</t>
        </is>
      </c>
      <c r="B16487" s="1" t="n">
        <v>45638</v>
      </c>
      <c r="C16487" s="1" t="n">
        <v>45657</v>
      </c>
      <c r="D16487" t="inlineStr">
        <is>
          <t>VÄSTERNORRLANDS LÄN</t>
        </is>
      </c>
      <c r="E16487" t="inlineStr">
        <is>
          <t>SOLLEFTEÅ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59434-2024</t>
        </is>
      </c>
      <c r="B16488" s="1" t="n">
        <v>45638</v>
      </c>
      <c r="C16488" s="1" t="n">
        <v>45657</v>
      </c>
      <c r="D16488" t="inlineStr">
        <is>
          <t>VÄSTERNORRLANDS LÄN</t>
        </is>
      </c>
      <c r="E16488" t="inlineStr">
        <is>
          <t>SOLLEFTEÅ</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59458-2024</t>
        </is>
      </c>
      <c r="B16489" s="1" t="n">
        <v>45638</v>
      </c>
      <c r="C16489" s="1" t="n">
        <v>45657</v>
      </c>
      <c r="D16489" t="inlineStr">
        <is>
          <t>VÄSTERNORRLANDS LÄN</t>
        </is>
      </c>
      <c r="E16489" t="inlineStr">
        <is>
          <t>ÖRNSKÖLDSVIK</t>
        </is>
      </c>
      <c r="G16489" t="n">
        <v>5.1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59559-2024</t>
        </is>
      </c>
      <c r="B16490" s="1" t="n">
        <v>45638</v>
      </c>
      <c r="C16490" s="1" t="n">
        <v>45657</v>
      </c>
      <c r="D16490" t="inlineStr">
        <is>
          <t>VÄSTERNORRLANDS LÄN</t>
        </is>
      </c>
      <c r="E16490" t="inlineStr">
        <is>
          <t>SOLLEFTEÅ</t>
        </is>
      </c>
      <c r="F16490" t="inlineStr">
        <is>
          <t>SCA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59563-2024</t>
        </is>
      </c>
      <c r="B16491" s="1" t="n">
        <v>45638</v>
      </c>
      <c r="C16491" s="1" t="n">
        <v>45657</v>
      </c>
      <c r="D16491" t="inlineStr">
        <is>
          <t>VÄSTERNORRLANDS LÄN</t>
        </is>
      </c>
      <c r="E16491" t="inlineStr">
        <is>
          <t>SOLLEFTEÅ</t>
        </is>
      </c>
      <c r="F16491" t="inlineStr">
        <is>
          <t>SCA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59567-2024</t>
        </is>
      </c>
      <c r="B16492" s="1" t="n">
        <v>45638</v>
      </c>
      <c r="C16492" s="1" t="n">
        <v>45657</v>
      </c>
      <c r="D16492" t="inlineStr">
        <is>
          <t>VÄSTERNORRLANDS LÄN</t>
        </is>
      </c>
      <c r="E16492" t="inlineStr">
        <is>
          <t>SOLLEFTEÅ</t>
        </is>
      </c>
      <c r="F16492" t="inlineStr">
        <is>
          <t>SCA</t>
        </is>
      </c>
      <c r="G16492" t="n">
        <v>13.8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59415-2024</t>
        </is>
      </c>
      <c r="B16493" s="1" t="n">
        <v>45638</v>
      </c>
      <c r="C16493" s="1" t="n">
        <v>45657</v>
      </c>
      <c r="D16493" t="inlineStr">
        <is>
          <t>VÄSTERNORRLANDS LÄN</t>
        </is>
      </c>
      <c r="E16493" t="inlineStr">
        <is>
          <t>SOLLEFTEÅ</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59455-2024</t>
        </is>
      </c>
      <c r="B16494" s="1" t="n">
        <v>45638</v>
      </c>
      <c r="C16494" s="1" t="n">
        <v>45657</v>
      </c>
      <c r="D16494" t="inlineStr">
        <is>
          <t>VÄSTERNORRLANDS LÄN</t>
        </is>
      </c>
      <c r="E16494" t="inlineStr">
        <is>
          <t>SOLLEFTEÅ</t>
        </is>
      </c>
      <c r="F16494" t="inlineStr">
        <is>
          <t>SCA</t>
        </is>
      </c>
      <c r="G16494" t="n">
        <v>8.800000000000001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59564-2024</t>
        </is>
      </c>
      <c r="B16495" s="1" t="n">
        <v>45638</v>
      </c>
      <c r="C16495" s="1" t="n">
        <v>45657</v>
      </c>
      <c r="D16495" t="inlineStr">
        <is>
          <t>VÄSTERNORRLANDS LÄN</t>
        </is>
      </c>
      <c r="E16495" t="inlineStr">
        <is>
          <t>SOLLEFTEÅ</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59416-2024</t>
        </is>
      </c>
      <c r="B16496" s="1" t="n">
        <v>45638</v>
      </c>
      <c r="C16496" s="1" t="n">
        <v>45657</v>
      </c>
      <c r="D16496" t="inlineStr">
        <is>
          <t>VÄSTERNORRLANDS LÄN</t>
        </is>
      </c>
      <c r="E16496" t="inlineStr">
        <is>
          <t>SOLLEFTEÅ</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59424-2024</t>
        </is>
      </c>
      <c r="B16497" s="1" t="n">
        <v>45638</v>
      </c>
      <c r="C16497" s="1" t="n">
        <v>45657</v>
      </c>
      <c r="D16497" t="inlineStr">
        <is>
          <t>VÄSTERNORRLANDS LÄN</t>
        </is>
      </c>
      <c r="E16497" t="inlineStr">
        <is>
          <t>SOLLEFTEÅ</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59461-2024</t>
        </is>
      </c>
      <c r="B16498" s="1" t="n">
        <v>45638</v>
      </c>
      <c r="C16498" s="1" t="n">
        <v>45657</v>
      </c>
      <c r="D16498" t="inlineStr">
        <is>
          <t>VÄSTERNORRLANDS LÄN</t>
        </is>
      </c>
      <c r="E16498" t="inlineStr">
        <is>
          <t>SUNDSVALL</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59473-2024</t>
        </is>
      </c>
      <c r="B16499" s="1" t="n">
        <v>45638</v>
      </c>
      <c r="C16499" s="1" t="n">
        <v>45657</v>
      </c>
      <c r="D16499" t="inlineStr">
        <is>
          <t>VÄSTERNORRLANDS LÄN</t>
        </is>
      </c>
      <c r="E16499" t="inlineStr">
        <is>
          <t>SOLLEFTEÅ</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59485-2024</t>
        </is>
      </c>
      <c r="B16500" s="1" t="n">
        <v>45638</v>
      </c>
      <c r="C16500" s="1" t="n">
        <v>45657</v>
      </c>
      <c r="D16500" t="inlineStr">
        <is>
          <t>VÄSTERNORRLANDS LÄN</t>
        </is>
      </c>
      <c r="E16500" t="inlineStr">
        <is>
          <t>ÖRNSKÖLDSVIK</t>
        </is>
      </c>
      <c r="F16500" t="inlineStr">
        <is>
          <t>SCA</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59591-2024</t>
        </is>
      </c>
      <c r="B16501" s="1" t="n">
        <v>45638</v>
      </c>
      <c r="C16501" s="1" t="n">
        <v>45657</v>
      </c>
      <c r="D16501" t="inlineStr">
        <is>
          <t>VÄSTERNORRLANDS LÄN</t>
        </is>
      </c>
      <c r="E16501" t="inlineStr">
        <is>
          <t>HÄRNÖSAND</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59781-2024</t>
        </is>
      </c>
      <c r="B16502" s="1" t="n">
        <v>45638</v>
      </c>
      <c r="C16502" s="1" t="n">
        <v>45657</v>
      </c>
      <c r="D16502" t="inlineStr">
        <is>
          <t>VÄSTERNORRLANDS LÄN</t>
        </is>
      </c>
      <c r="E16502" t="inlineStr">
        <is>
          <t>ÖRNSKÖLDSVIK</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59755-2024</t>
        </is>
      </c>
      <c r="B16503" s="1" t="n">
        <v>45638</v>
      </c>
      <c r="C16503" s="1" t="n">
        <v>45657</v>
      </c>
      <c r="D16503" t="inlineStr">
        <is>
          <t>VÄSTERNORRLANDS LÄN</t>
        </is>
      </c>
      <c r="E16503" t="inlineStr">
        <is>
          <t>ÖRNSKÖLDSVIK</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59771-2024</t>
        </is>
      </c>
      <c r="B16504" s="1" t="n">
        <v>45638</v>
      </c>
      <c r="C16504" s="1" t="n">
        <v>45657</v>
      </c>
      <c r="D16504" t="inlineStr">
        <is>
          <t>VÄSTERNORRLANDS LÄN</t>
        </is>
      </c>
      <c r="E16504" t="inlineStr">
        <is>
          <t>ÖRNSKÖLDSVIK</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59835-2024</t>
        </is>
      </c>
      <c r="B16505" s="1" t="n">
        <v>45638</v>
      </c>
      <c r="C16505" s="1" t="n">
        <v>45657</v>
      </c>
      <c r="D16505" t="inlineStr">
        <is>
          <t>VÄSTERNORRLANDS LÄN</t>
        </is>
      </c>
      <c r="E16505" t="inlineStr">
        <is>
          <t>ÖRNSKÖLDSVIK</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59590-2024</t>
        </is>
      </c>
      <c r="B16506" s="1" t="n">
        <v>45638</v>
      </c>
      <c r="C16506" s="1" t="n">
        <v>45657</v>
      </c>
      <c r="D16506" t="inlineStr">
        <is>
          <t>VÄSTERNORRLANDS LÄN</t>
        </is>
      </c>
      <c r="E16506" t="inlineStr">
        <is>
          <t>ÖRNSKÖLDSVIK</t>
        </is>
      </c>
      <c r="G16506" t="n">
        <v>7.6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59594-2024</t>
        </is>
      </c>
      <c r="B16507" s="1" t="n">
        <v>45638</v>
      </c>
      <c r="C16507" s="1" t="n">
        <v>45657</v>
      </c>
      <c r="D16507" t="inlineStr">
        <is>
          <t>VÄSTERNORRLANDS LÄN</t>
        </is>
      </c>
      <c r="E16507" t="inlineStr">
        <is>
          <t>ÖRNSKÖLDSVIK</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59598-2024</t>
        </is>
      </c>
      <c r="B16508" s="1" t="n">
        <v>45638</v>
      </c>
      <c r="C16508" s="1" t="n">
        <v>45657</v>
      </c>
      <c r="D16508" t="inlineStr">
        <is>
          <t>VÄSTERNORRLANDS LÄN</t>
        </is>
      </c>
      <c r="E16508" t="inlineStr">
        <is>
          <t>HÄRNÖSAND</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59596-2024</t>
        </is>
      </c>
      <c r="B16509" s="1" t="n">
        <v>45638</v>
      </c>
      <c r="C16509" s="1" t="n">
        <v>45657</v>
      </c>
      <c r="D16509" t="inlineStr">
        <is>
          <t>VÄSTERNORRLANDS LÄN</t>
        </is>
      </c>
      <c r="E16509" t="inlineStr">
        <is>
          <t>ÖRNSKÖLDSVIK</t>
        </is>
      </c>
      <c r="G16509" t="n">
        <v>3.5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59600-2024</t>
        </is>
      </c>
      <c r="B16510" s="1" t="n">
        <v>45638</v>
      </c>
      <c r="C16510" s="1" t="n">
        <v>45657</v>
      </c>
      <c r="D16510" t="inlineStr">
        <is>
          <t>VÄSTERNORRLANDS LÄN</t>
        </is>
      </c>
      <c r="E16510" t="inlineStr">
        <is>
          <t>ÅNGE</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60720-2024</t>
        </is>
      </c>
      <c r="B16511" s="1" t="n">
        <v>45638</v>
      </c>
      <c r="C16511" s="1" t="n">
        <v>45657</v>
      </c>
      <c r="D16511" t="inlineStr">
        <is>
          <t>VÄSTERNORRLANDS LÄN</t>
        </is>
      </c>
      <c r="E16511" t="inlineStr">
        <is>
          <t>ÖRNSKÖLDSVIK</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59769-2024</t>
        </is>
      </c>
      <c r="B16512" s="1" t="n">
        <v>45638</v>
      </c>
      <c r="C16512" s="1" t="n">
        <v>45657</v>
      </c>
      <c r="D16512" t="inlineStr">
        <is>
          <t>VÄSTERNORRLANDS LÄN</t>
        </is>
      </c>
      <c r="E16512" t="inlineStr">
        <is>
          <t>ÖRNSKÖLDSVIK</t>
        </is>
      </c>
      <c r="G16512" t="n">
        <v>4.4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59834-2024</t>
        </is>
      </c>
      <c r="B16513" s="1" t="n">
        <v>45638</v>
      </c>
      <c r="C16513" s="1" t="n">
        <v>45657</v>
      </c>
      <c r="D16513" t="inlineStr">
        <is>
          <t>VÄSTERNORRLANDS LÄN</t>
        </is>
      </c>
      <c r="E16513" t="inlineStr">
        <is>
          <t>ÖRNSKÖLDSVIK</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59715-2024</t>
        </is>
      </c>
      <c r="B16514" s="1" t="n">
        <v>45639</v>
      </c>
      <c r="C16514" s="1" t="n">
        <v>45657</v>
      </c>
      <c r="D16514" t="inlineStr">
        <is>
          <t>VÄSTERNORRLANDS LÄN</t>
        </is>
      </c>
      <c r="E16514" t="inlineStr">
        <is>
          <t>HÄRNÖSAND</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59724-2024</t>
        </is>
      </c>
      <c r="B16515" s="1" t="n">
        <v>45639</v>
      </c>
      <c r="C16515" s="1" t="n">
        <v>45657</v>
      </c>
      <c r="D16515" t="inlineStr">
        <is>
          <t>VÄSTERNORRLANDS LÄN</t>
        </is>
      </c>
      <c r="E16515" t="inlineStr">
        <is>
          <t>SOLLEFTEÅ</t>
        </is>
      </c>
      <c r="F16515" t="inlineStr">
        <is>
          <t>SCA</t>
        </is>
      </c>
      <c r="G16515" t="n">
        <v>9.1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59706-2024</t>
        </is>
      </c>
      <c r="B16516" s="1" t="n">
        <v>45639</v>
      </c>
      <c r="C16516" s="1" t="n">
        <v>45657</v>
      </c>
      <c r="D16516" t="inlineStr">
        <is>
          <t>VÄSTERNORRLANDS LÄN</t>
        </is>
      </c>
      <c r="E16516" t="inlineStr">
        <is>
          <t>ÖRNSKÖLDSVIK</t>
        </is>
      </c>
      <c r="F16516" t="inlineStr">
        <is>
          <t>Holmen skog AB</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59714-2024</t>
        </is>
      </c>
      <c r="B16517" s="1" t="n">
        <v>45639</v>
      </c>
      <c r="C16517" s="1" t="n">
        <v>45657</v>
      </c>
      <c r="D16517" t="inlineStr">
        <is>
          <t>VÄSTERNORRLANDS LÄN</t>
        </is>
      </c>
      <c r="E16517" t="inlineStr">
        <is>
          <t>HÄRNÖSAND</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59739-2024</t>
        </is>
      </c>
      <c r="B16518" s="1" t="n">
        <v>45639</v>
      </c>
      <c r="C16518" s="1" t="n">
        <v>45657</v>
      </c>
      <c r="D16518" t="inlineStr">
        <is>
          <t>VÄSTERNORRLANDS LÄN</t>
        </is>
      </c>
      <c r="E16518" t="inlineStr">
        <is>
          <t>ÖRNSKÖLDSVIK</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59817-2024</t>
        </is>
      </c>
      <c r="B16519" s="1" t="n">
        <v>45639</v>
      </c>
      <c r="C16519" s="1" t="n">
        <v>45657</v>
      </c>
      <c r="D16519" t="inlineStr">
        <is>
          <t>VÄSTERNORRLANDS LÄN</t>
        </is>
      </c>
      <c r="E16519" t="inlineStr">
        <is>
          <t>ÖRNSKÖLDSVIK</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59820-2024</t>
        </is>
      </c>
      <c r="B16520" s="1" t="n">
        <v>45639</v>
      </c>
      <c r="C16520" s="1" t="n">
        <v>45657</v>
      </c>
      <c r="D16520" t="inlineStr">
        <is>
          <t>VÄSTERNORRLANDS LÄN</t>
        </is>
      </c>
      <c r="E16520" t="inlineStr">
        <is>
          <t>ÅNGE</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59761-2024</t>
        </is>
      </c>
      <c r="B16521" s="1" t="n">
        <v>45639</v>
      </c>
      <c r="C16521" s="1" t="n">
        <v>45657</v>
      </c>
      <c r="D16521" t="inlineStr">
        <is>
          <t>VÄSTERNORRLANDS LÄN</t>
        </is>
      </c>
      <c r="E16521" t="inlineStr">
        <is>
          <t>SUNDSVALL</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59654-2024</t>
        </is>
      </c>
      <c r="B16522" s="1" t="n">
        <v>45639</v>
      </c>
      <c r="C16522" s="1" t="n">
        <v>45657</v>
      </c>
      <c r="D16522" t="inlineStr">
        <is>
          <t>VÄSTERNORRLANDS LÄN</t>
        </is>
      </c>
      <c r="E16522" t="inlineStr">
        <is>
          <t>ÖRNSKÖLDSVIK</t>
        </is>
      </c>
      <c r="G16522" t="n">
        <v>6.5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59725-2024</t>
        </is>
      </c>
      <c r="B16523" s="1" t="n">
        <v>45639</v>
      </c>
      <c r="C16523" s="1" t="n">
        <v>45657</v>
      </c>
      <c r="D16523" t="inlineStr">
        <is>
          <t>VÄSTERNORRLANDS LÄN</t>
        </is>
      </c>
      <c r="E16523" t="inlineStr">
        <is>
          <t>SOLLEFTEÅ</t>
        </is>
      </c>
      <c r="F16523" t="inlineStr">
        <is>
          <t>SCA</t>
        </is>
      </c>
      <c r="G16523" t="n">
        <v>16.3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59794-2024</t>
        </is>
      </c>
      <c r="B16524" s="1" t="n">
        <v>45639</v>
      </c>
      <c r="C16524" s="1" t="n">
        <v>45657</v>
      </c>
      <c r="D16524" t="inlineStr">
        <is>
          <t>VÄSTERNORRLANDS LÄN</t>
        </is>
      </c>
      <c r="E16524" t="inlineStr">
        <is>
          <t>ÖRNSKÖLDSVIK</t>
        </is>
      </c>
      <c r="G16524" t="n">
        <v>7.1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59818-2024</t>
        </is>
      </c>
      <c r="B16525" s="1" t="n">
        <v>45639</v>
      </c>
      <c r="C16525" s="1" t="n">
        <v>45657</v>
      </c>
      <c r="D16525" t="inlineStr">
        <is>
          <t>VÄSTERNORRLANDS LÄN</t>
        </is>
      </c>
      <c r="E16525" t="inlineStr">
        <is>
          <t>ÅNGE</t>
        </is>
      </c>
      <c r="F16525" t="inlineStr">
        <is>
          <t>SCA</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59967-2024</t>
        </is>
      </c>
      <c r="B16526" s="1" t="n">
        <v>45639</v>
      </c>
      <c r="C16526" s="1" t="n">
        <v>45657</v>
      </c>
      <c r="D16526" t="inlineStr">
        <is>
          <t>VÄSTERNORRLANDS LÄN</t>
        </is>
      </c>
      <c r="E16526" t="inlineStr">
        <is>
          <t>ÖRNSKÖLDSVIK</t>
        </is>
      </c>
      <c r="G16526" t="n">
        <v>21.4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59978-2024</t>
        </is>
      </c>
      <c r="B16527" s="1" t="n">
        <v>45639</v>
      </c>
      <c r="C16527" s="1" t="n">
        <v>45657</v>
      </c>
      <c r="D16527" t="inlineStr">
        <is>
          <t>VÄSTERNORRLANDS LÄN</t>
        </is>
      </c>
      <c r="E16527" t="inlineStr">
        <is>
          <t>ÖRNSKÖLDSVIK</t>
        </is>
      </c>
      <c r="G16527" t="n">
        <v>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59899-2024</t>
        </is>
      </c>
      <c r="B16528" s="1" t="n">
        <v>45641</v>
      </c>
      <c r="C16528" s="1" t="n">
        <v>45657</v>
      </c>
      <c r="D16528" t="inlineStr">
        <is>
          <t>VÄSTERNORRLANDS LÄN</t>
        </is>
      </c>
      <c r="E16528" t="inlineStr">
        <is>
          <t>SUNDSVALL</t>
        </is>
      </c>
      <c r="F16528" t="inlineStr">
        <is>
          <t>SCA</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59896-2024</t>
        </is>
      </c>
      <c r="B16529" s="1" t="n">
        <v>45641</v>
      </c>
      <c r="C16529" s="1" t="n">
        <v>45657</v>
      </c>
      <c r="D16529" t="inlineStr">
        <is>
          <t>VÄSTERNORRLANDS LÄN</t>
        </is>
      </c>
      <c r="E16529" t="inlineStr">
        <is>
          <t>SUNDSVALL</t>
        </is>
      </c>
      <c r="F16529" t="inlineStr">
        <is>
          <t>SCA</t>
        </is>
      </c>
      <c r="G16529" t="n">
        <v>6.1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59900-2024</t>
        </is>
      </c>
      <c r="B16530" s="1" t="n">
        <v>45641</v>
      </c>
      <c r="C16530" s="1" t="n">
        <v>45657</v>
      </c>
      <c r="D16530" t="inlineStr">
        <is>
          <t>VÄSTERNORRLANDS LÄN</t>
        </is>
      </c>
      <c r="E16530" t="inlineStr">
        <is>
          <t>SUNDSVALL</t>
        </is>
      </c>
      <c r="F16530" t="inlineStr">
        <is>
          <t>SCA</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59894-2024</t>
        </is>
      </c>
      <c r="B16531" s="1" t="n">
        <v>45641</v>
      </c>
      <c r="C16531" s="1" t="n">
        <v>45657</v>
      </c>
      <c r="D16531" t="inlineStr">
        <is>
          <t>VÄSTERNORRLANDS LÄN</t>
        </is>
      </c>
      <c r="E16531" t="inlineStr">
        <is>
          <t>TIMRÅ</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59898-2024</t>
        </is>
      </c>
      <c r="B16532" s="1" t="n">
        <v>45641</v>
      </c>
      <c r="C16532" s="1" t="n">
        <v>45657</v>
      </c>
      <c r="D16532" t="inlineStr">
        <is>
          <t>VÄSTERNORRLANDS LÄN</t>
        </is>
      </c>
      <c r="E16532" t="inlineStr">
        <is>
          <t>SUNDSVALL</t>
        </is>
      </c>
      <c r="F16532" t="inlineStr">
        <is>
          <t>SCA</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59902-2024</t>
        </is>
      </c>
      <c r="B16533" s="1" t="n">
        <v>45641</v>
      </c>
      <c r="C16533" s="1" t="n">
        <v>45657</v>
      </c>
      <c r="D16533" t="inlineStr">
        <is>
          <t>VÄSTERNORRLANDS LÄN</t>
        </is>
      </c>
      <c r="E16533" t="inlineStr">
        <is>
          <t>SUNDSVALL</t>
        </is>
      </c>
      <c r="F16533" t="inlineStr">
        <is>
          <t>SCA</t>
        </is>
      </c>
      <c r="G16533" t="n">
        <v>5.7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59897-2024</t>
        </is>
      </c>
      <c r="B16534" s="1" t="n">
        <v>45641</v>
      </c>
      <c r="C16534" s="1" t="n">
        <v>45657</v>
      </c>
      <c r="D16534" t="inlineStr">
        <is>
          <t>VÄSTERNORRLANDS LÄN</t>
        </is>
      </c>
      <c r="E16534" t="inlineStr">
        <is>
          <t>SUNDSVALL</t>
        </is>
      </c>
      <c r="F16534" t="inlineStr">
        <is>
          <t>SCA</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59901-2024</t>
        </is>
      </c>
      <c r="B16535" s="1" t="n">
        <v>45641</v>
      </c>
      <c r="C16535" s="1" t="n">
        <v>45657</v>
      </c>
      <c r="D16535" t="inlineStr">
        <is>
          <t>VÄSTERNORRLANDS LÄN</t>
        </is>
      </c>
      <c r="E16535" t="inlineStr">
        <is>
          <t>SUNDSVALL</t>
        </is>
      </c>
      <c r="F16535" t="inlineStr">
        <is>
          <t>SCA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59939-2024</t>
        </is>
      </c>
      <c r="B16536" s="1" t="n">
        <v>45642</v>
      </c>
      <c r="C16536" s="1" t="n">
        <v>45657</v>
      </c>
      <c r="D16536" t="inlineStr">
        <is>
          <t>VÄSTERNORRLANDS LÄN</t>
        </is>
      </c>
      <c r="E16536" t="inlineStr">
        <is>
          <t>SOLLEFTEÅ</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59933-2024</t>
        </is>
      </c>
      <c r="B16537" s="1" t="n">
        <v>45642</v>
      </c>
      <c r="C16537" s="1" t="n">
        <v>45657</v>
      </c>
      <c r="D16537" t="inlineStr">
        <is>
          <t>VÄSTERNORRLANDS LÄN</t>
        </is>
      </c>
      <c r="E16537" t="inlineStr">
        <is>
          <t>ÖRNSKÖLDSVIK</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59949-2024</t>
        </is>
      </c>
      <c r="B16538" s="1" t="n">
        <v>45642</v>
      </c>
      <c r="C16538" s="1" t="n">
        <v>45657</v>
      </c>
      <c r="D16538" t="inlineStr">
        <is>
          <t>VÄSTERNORRLANDS LÄN</t>
        </is>
      </c>
      <c r="E16538" t="inlineStr">
        <is>
          <t>SOLLEFTEÅ</t>
        </is>
      </c>
      <c r="F16538" t="inlineStr">
        <is>
          <t>SCA</t>
        </is>
      </c>
      <c r="G16538" t="n">
        <v>3.5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59995-2024</t>
        </is>
      </c>
      <c r="B16539" s="1" t="n">
        <v>45642</v>
      </c>
      <c r="C16539" s="1" t="n">
        <v>45657</v>
      </c>
      <c r="D16539" t="inlineStr">
        <is>
          <t>VÄSTERNORRLANDS LÄN</t>
        </is>
      </c>
      <c r="E16539" t="inlineStr">
        <is>
          <t>TIMRÅ</t>
        </is>
      </c>
      <c r="F16539" t="inlineStr">
        <is>
          <t>SCA</t>
        </is>
      </c>
      <c r="G16539" t="n">
        <v>19.6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59985-2024</t>
        </is>
      </c>
      <c r="B16540" s="1" t="n">
        <v>45642</v>
      </c>
      <c r="C16540" s="1" t="n">
        <v>45657</v>
      </c>
      <c r="D16540" t="inlineStr">
        <is>
          <t>VÄSTERNORRLANDS LÄN</t>
        </is>
      </c>
      <c r="E16540" t="inlineStr">
        <is>
          <t>SOLLEFTEÅ</t>
        </is>
      </c>
      <c r="F16540" t="inlineStr">
        <is>
          <t>SCA</t>
        </is>
      </c>
      <c r="G16540" t="n">
        <v>8.5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60111-2024</t>
        </is>
      </c>
      <c r="B16541" s="1" t="n">
        <v>45642</v>
      </c>
      <c r="C16541" s="1" t="n">
        <v>45657</v>
      </c>
      <c r="D16541" t="inlineStr">
        <is>
          <t>VÄSTERNORRLANDS LÄN</t>
        </is>
      </c>
      <c r="E16541" t="inlineStr">
        <is>
          <t>TIMRÅ</t>
        </is>
      </c>
      <c r="F16541" t="inlineStr">
        <is>
          <t>SCA</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60115-2024</t>
        </is>
      </c>
      <c r="B16542" s="1" t="n">
        <v>45642</v>
      </c>
      <c r="C16542" s="1" t="n">
        <v>45657</v>
      </c>
      <c r="D16542" t="inlineStr">
        <is>
          <t>VÄSTERNORRLANDS LÄN</t>
        </is>
      </c>
      <c r="E16542" t="inlineStr">
        <is>
          <t>ÖRNSKÖLDSVIK</t>
        </is>
      </c>
      <c r="F16542" t="inlineStr">
        <is>
          <t>Holmen skog AB</t>
        </is>
      </c>
      <c r="G16542" t="n">
        <v>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60131-2024</t>
        </is>
      </c>
      <c r="B16543" s="1" t="n">
        <v>45642</v>
      </c>
      <c r="C16543" s="1" t="n">
        <v>45657</v>
      </c>
      <c r="D16543" t="inlineStr">
        <is>
          <t>VÄSTERNORRLANDS LÄN</t>
        </is>
      </c>
      <c r="E16543" t="inlineStr">
        <is>
          <t>SOLLEFTEÅ</t>
        </is>
      </c>
      <c r="G16543" t="n">
        <v>5.2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60024-2024</t>
        </is>
      </c>
      <c r="B16544" s="1" t="n">
        <v>45642</v>
      </c>
      <c r="C16544" s="1" t="n">
        <v>45657</v>
      </c>
      <c r="D16544" t="inlineStr">
        <is>
          <t>VÄSTERNORRLANDS LÄN</t>
        </is>
      </c>
      <c r="E16544" t="inlineStr">
        <is>
          <t>SOLLEFTEÅ</t>
        </is>
      </c>
      <c r="F16544" t="inlineStr">
        <is>
          <t>SCA</t>
        </is>
      </c>
      <c r="G16544" t="n">
        <v>7.6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60029-2024</t>
        </is>
      </c>
      <c r="B16545" s="1" t="n">
        <v>45642</v>
      </c>
      <c r="C16545" s="1" t="n">
        <v>45657</v>
      </c>
      <c r="D16545" t="inlineStr">
        <is>
          <t>VÄSTERNORRLANDS LÄN</t>
        </is>
      </c>
      <c r="E16545" t="inlineStr">
        <is>
          <t>ÖRNSKÖLDSVIK</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59948-2024</t>
        </is>
      </c>
      <c r="B16546" s="1" t="n">
        <v>45642</v>
      </c>
      <c r="C16546" s="1" t="n">
        <v>45657</v>
      </c>
      <c r="D16546" t="inlineStr">
        <is>
          <t>VÄSTERNORRLANDS LÄN</t>
        </is>
      </c>
      <c r="E16546" t="inlineStr">
        <is>
          <t>TIMRÅ</t>
        </is>
      </c>
      <c r="F16546" t="inlineStr">
        <is>
          <t>SCA</t>
        </is>
      </c>
      <c r="G16546" t="n">
        <v>46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60110-2024</t>
        </is>
      </c>
      <c r="B16547" s="1" t="n">
        <v>45642</v>
      </c>
      <c r="C16547" s="1" t="n">
        <v>45657</v>
      </c>
      <c r="D16547" t="inlineStr">
        <is>
          <t>VÄSTERNORRLANDS LÄN</t>
        </is>
      </c>
      <c r="E16547" t="inlineStr">
        <is>
          <t>TIMRÅ</t>
        </is>
      </c>
      <c r="F16547" t="inlineStr">
        <is>
          <t>SCA</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60026-2024</t>
        </is>
      </c>
      <c r="B16548" s="1" t="n">
        <v>45642</v>
      </c>
      <c r="C16548" s="1" t="n">
        <v>45657</v>
      </c>
      <c r="D16548" t="inlineStr">
        <is>
          <t>VÄSTERNORRLANDS LÄN</t>
        </is>
      </c>
      <c r="E16548" t="inlineStr">
        <is>
          <t>ÖRNSKÖLDSVIK</t>
        </is>
      </c>
      <c r="G16548" t="n">
        <v>4.4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60001-2024</t>
        </is>
      </c>
      <c r="B16549" s="1" t="n">
        <v>45642</v>
      </c>
      <c r="C16549" s="1" t="n">
        <v>45657</v>
      </c>
      <c r="D16549" t="inlineStr">
        <is>
          <t>VÄSTERNORRLANDS LÄN</t>
        </is>
      </c>
      <c r="E16549" t="inlineStr">
        <is>
          <t>KRAMFORS</t>
        </is>
      </c>
      <c r="G16549" t="n">
        <v>7.3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60060-2024</t>
        </is>
      </c>
      <c r="B16550" s="1" t="n">
        <v>45642</v>
      </c>
      <c r="C16550" s="1" t="n">
        <v>45657</v>
      </c>
      <c r="D16550" t="inlineStr">
        <is>
          <t>VÄSTERNORRLANDS LÄN</t>
        </is>
      </c>
      <c r="E16550" t="inlineStr">
        <is>
          <t>SOLLEFTEÅ</t>
        </is>
      </c>
      <c r="F16550" t="inlineStr">
        <is>
          <t>SCA</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60077-2024</t>
        </is>
      </c>
      <c r="B16551" s="1" t="n">
        <v>45642</v>
      </c>
      <c r="C16551" s="1" t="n">
        <v>45657</v>
      </c>
      <c r="D16551" t="inlineStr">
        <is>
          <t>VÄSTERNORRLANDS LÄN</t>
        </is>
      </c>
      <c r="E16551" t="inlineStr">
        <is>
          <t>SOLLEFTEÅ</t>
        </is>
      </c>
      <c r="F16551" t="inlineStr">
        <is>
          <t>SCA</t>
        </is>
      </c>
      <c r="G16551" t="n">
        <v>21.5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60161-2024</t>
        </is>
      </c>
      <c r="B16552" s="1" t="n">
        <v>45642</v>
      </c>
      <c r="C16552" s="1" t="n">
        <v>45657</v>
      </c>
      <c r="D16552" t="inlineStr">
        <is>
          <t>VÄSTERNORRLANDS LÄN</t>
        </is>
      </c>
      <c r="E16552" t="inlineStr">
        <is>
          <t>ÖRNSKÖLDSVIK</t>
        </is>
      </c>
      <c r="G16552" t="n">
        <v>4.7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60141-2024</t>
        </is>
      </c>
      <c r="B16553" s="1" t="n">
        <v>45642</v>
      </c>
      <c r="C16553" s="1" t="n">
        <v>45657</v>
      </c>
      <c r="D16553" t="inlineStr">
        <is>
          <t>VÄSTERNORRLANDS LÄN</t>
        </is>
      </c>
      <c r="E16553" t="inlineStr">
        <is>
          <t>SUNDSVALL</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60144-2024</t>
        </is>
      </c>
      <c r="B16554" s="1" t="n">
        <v>45642</v>
      </c>
      <c r="C16554" s="1" t="n">
        <v>45657</v>
      </c>
      <c r="D16554" t="inlineStr">
        <is>
          <t>VÄSTERNORRLANDS LÄN</t>
        </is>
      </c>
      <c r="E16554" t="inlineStr">
        <is>
          <t>SUNDSVALL</t>
        </is>
      </c>
      <c r="G16554" t="n">
        <v>17.8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60149-2024</t>
        </is>
      </c>
      <c r="B16555" s="1" t="n">
        <v>45642</v>
      </c>
      <c r="C16555" s="1" t="n">
        <v>45657</v>
      </c>
      <c r="D16555" t="inlineStr">
        <is>
          <t>VÄSTERNORRLANDS LÄN</t>
        </is>
      </c>
      <c r="E16555" t="inlineStr">
        <is>
          <t>ÖRNSKÖLDSVIK</t>
        </is>
      </c>
      <c r="G16555" t="n">
        <v>10.8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60154-2024</t>
        </is>
      </c>
      <c r="B16556" s="1" t="n">
        <v>45642</v>
      </c>
      <c r="C16556" s="1" t="n">
        <v>45657</v>
      </c>
      <c r="D16556" t="inlineStr">
        <is>
          <t>VÄSTERNORRLANDS LÄN</t>
        </is>
      </c>
      <c r="E16556" t="inlineStr">
        <is>
          <t>SOLLEFTEÅ</t>
        </is>
      </c>
      <c r="G16556" t="n">
        <v>15.1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60235-2024</t>
        </is>
      </c>
      <c r="B16557" s="1" t="n">
        <v>45642</v>
      </c>
      <c r="C16557" s="1" t="n">
        <v>45657</v>
      </c>
      <c r="D16557" t="inlineStr">
        <is>
          <t>VÄSTERNORRLANDS LÄN</t>
        </is>
      </c>
      <c r="E16557" t="inlineStr">
        <is>
          <t>ÖRNSKÖLDSVIK</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60681-2024</t>
        </is>
      </c>
      <c r="B16558" s="1" t="n">
        <v>45642</v>
      </c>
      <c r="C16558" s="1" t="n">
        <v>45657</v>
      </c>
      <c r="D16558" t="inlineStr">
        <is>
          <t>VÄSTERNORRLANDS LÄN</t>
        </is>
      </c>
      <c r="E16558" t="inlineStr">
        <is>
          <t>TIMRÅ</t>
        </is>
      </c>
      <c r="G16558" t="n">
        <v>2.9</v>
      </c>
      <c r="H16558" t="n">
        <v>0</v>
      </c>
      <c r="I16558" t="n">
        <v>0</v>
      </c>
      <c r="J16558" t="n">
        <v>0</v>
      </c>
      <c r="K16558" t="n">
        <v>0</v>
      </c>
      <c r="L16558" t="n">
        <v>0</v>
      </c>
      <c r="M16558" t="n">
        <v>0</v>
      </c>
      <c r="N16558" t="n">
        <v>0</v>
      </c>
      <c r="O16558" t="n">
        <v>0</v>
      </c>
      <c r="P16558" t="n">
        <v>0</v>
      </c>
      <c r="Q16558" t="n">
        <v>0</v>
      </c>
      <c r="R16558" s="2" t="inlineStr"/>
      <c r="U16558">
        <f>HYPERLINK("https://klasma.github.io/Logging_2262/knärot/A 60681-2024 karta knärot.png", "A 60681-2024")</f>
        <v/>
      </c>
      <c r="V16558">
        <f>HYPERLINK("https://klasma.github.io/Logging_2262/klagomål/A 60681-2024 FSC-klagomål.docx", "A 60681-2024")</f>
        <v/>
      </c>
      <c r="W16558">
        <f>HYPERLINK("https://klasma.github.io/Logging_2262/klagomålsmail/A 60681-2024 FSC-klagomål mail.docx", "A 60681-2024")</f>
        <v/>
      </c>
      <c r="X16558">
        <f>HYPERLINK("https://klasma.github.io/Logging_2262/tillsyn/A 60681-2024 tillsynsbegäran.docx", "A 60681-2024")</f>
        <v/>
      </c>
      <c r="Y16558">
        <f>HYPERLINK("https://klasma.github.io/Logging_2262/tillsynsmail/A 60681-2024 tillsynsbegäran mail.docx", "A 60681-2024")</f>
        <v/>
      </c>
    </row>
    <row r="16559" ht="15" customHeight="1">
      <c r="A16559" t="inlineStr">
        <is>
          <t>A 60177-2024</t>
        </is>
      </c>
      <c r="B16559" s="1" t="n">
        <v>45642</v>
      </c>
      <c r="C16559" s="1" t="n">
        <v>45657</v>
      </c>
      <c r="D16559" t="inlineStr">
        <is>
          <t>VÄSTERNORRLANDS LÄN</t>
        </is>
      </c>
      <c r="E16559" t="inlineStr">
        <is>
          <t>SOLLEFTEÅ</t>
        </is>
      </c>
      <c r="G16559" t="n">
        <v>3.2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45657</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60237-2024</t>
        </is>
      </c>
      <c r="B16561" s="1" t="n">
        <v>45642</v>
      </c>
      <c r="C16561" s="1" t="n">
        <v>45657</v>
      </c>
      <c r="D16561" t="inlineStr">
        <is>
          <t>VÄSTERNORRLANDS LÄN</t>
        </is>
      </c>
      <c r="E16561" t="inlineStr">
        <is>
          <t>ÖRNSKÖLDSVIK</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60263-2024</t>
        </is>
      </c>
      <c r="B16562" s="1" t="n">
        <v>45642</v>
      </c>
      <c r="C16562" s="1" t="n">
        <v>45657</v>
      </c>
      <c r="D16562" t="inlineStr">
        <is>
          <t>VÄSTERNORRLANDS LÄN</t>
        </is>
      </c>
      <c r="E16562" t="inlineStr">
        <is>
          <t>SUNDSVALL</t>
        </is>
      </c>
      <c r="G16562" t="n">
        <v>7.2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60741-2024</t>
        </is>
      </c>
      <c r="B16563" s="1" t="n">
        <v>45642</v>
      </c>
      <c r="C16563" s="1" t="n">
        <v>45657</v>
      </c>
      <c r="D16563" t="inlineStr">
        <is>
          <t>VÄSTERNORRLANDS LÄN</t>
        </is>
      </c>
      <c r="E16563" t="inlineStr">
        <is>
          <t>SOLLEFTEÅ</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60696-2024</t>
        </is>
      </c>
      <c r="B16564" s="1" t="n">
        <v>45642</v>
      </c>
      <c r="C16564" s="1" t="n">
        <v>45657</v>
      </c>
      <c r="D16564" t="inlineStr">
        <is>
          <t>VÄSTERNORRLANDS LÄN</t>
        </is>
      </c>
      <c r="E16564" t="inlineStr">
        <is>
          <t>TIMRÅ</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60748-2024</t>
        </is>
      </c>
      <c r="B16565" s="1" t="n">
        <v>45642</v>
      </c>
      <c r="C16565" s="1" t="n">
        <v>45657</v>
      </c>
      <c r="D16565" t="inlineStr">
        <is>
          <t>VÄSTERNORRLANDS LÄN</t>
        </is>
      </c>
      <c r="E16565" t="inlineStr">
        <is>
          <t>SOLLEFTEÅ</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60361-2024</t>
        </is>
      </c>
      <c r="B16566" s="1" t="n">
        <v>45643</v>
      </c>
      <c r="C16566" s="1" t="n">
        <v>45657</v>
      </c>
      <c r="D16566" t="inlineStr">
        <is>
          <t>VÄSTERNORRLANDS LÄN</t>
        </is>
      </c>
      <c r="E16566" t="inlineStr">
        <is>
          <t>SOLLEFTEÅ</t>
        </is>
      </c>
      <c r="F16566" t="inlineStr">
        <is>
          <t>SCA</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60365-2024</t>
        </is>
      </c>
      <c r="B16567" s="1" t="n">
        <v>45643</v>
      </c>
      <c r="C16567" s="1" t="n">
        <v>45657</v>
      </c>
      <c r="D16567" t="inlineStr">
        <is>
          <t>VÄSTERNORRLANDS LÄN</t>
        </is>
      </c>
      <c r="E16567" t="inlineStr">
        <is>
          <t>ÅNGE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60431-2024</t>
        </is>
      </c>
      <c r="B16568" s="1" t="n">
        <v>45643</v>
      </c>
      <c r="C16568" s="1" t="n">
        <v>45657</v>
      </c>
      <c r="D16568" t="inlineStr">
        <is>
          <t>VÄSTERNORRLANDS LÄN</t>
        </is>
      </c>
      <c r="E16568" t="inlineStr">
        <is>
          <t>ÖRNSKÖLDSVIK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60460-2024</t>
        </is>
      </c>
      <c r="B16569" s="1" t="n">
        <v>45643</v>
      </c>
      <c r="C16569" s="1" t="n">
        <v>45657</v>
      </c>
      <c r="D16569" t="inlineStr">
        <is>
          <t>VÄSTERNORRLANDS LÄN</t>
        </is>
      </c>
      <c r="E16569" t="inlineStr">
        <is>
          <t>SOLLEFTEÅ</t>
        </is>
      </c>
      <c r="F16569" t="inlineStr">
        <is>
          <t>SCA</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60510-2024</t>
        </is>
      </c>
      <c r="B16570" s="1" t="n">
        <v>45643</v>
      </c>
      <c r="C16570" s="1" t="n">
        <v>45657</v>
      </c>
      <c r="D16570" t="inlineStr">
        <is>
          <t>VÄSTERNORRLANDS LÄN</t>
        </is>
      </c>
      <c r="E16570" t="inlineStr">
        <is>
          <t>ÖRNSKÖLDSVIK</t>
        </is>
      </c>
      <c r="F16570" t="inlineStr">
        <is>
          <t>Holmen skog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60514-2024</t>
        </is>
      </c>
      <c r="B16571" s="1" t="n">
        <v>45643</v>
      </c>
      <c r="C16571" s="1" t="n">
        <v>45657</v>
      </c>
      <c r="D16571" t="inlineStr">
        <is>
          <t>VÄSTERNORRLANDS LÄN</t>
        </is>
      </c>
      <c r="E16571" t="inlineStr">
        <is>
          <t>ÅNGE</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60360-2024</t>
        </is>
      </c>
      <c r="B16572" s="1" t="n">
        <v>45643</v>
      </c>
      <c r="C16572" s="1" t="n">
        <v>45657</v>
      </c>
      <c r="D16572" t="inlineStr">
        <is>
          <t>VÄSTERNORRLANDS LÄN</t>
        </is>
      </c>
      <c r="E16572" t="inlineStr">
        <is>
          <t>SOLLEFTEÅ</t>
        </is>
      </c>
      <c r="F16572" t="inlineStr">
        <is>
          <t>SCA</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60368-2024</t>
        </is>
      </c>
      <c r="B16573" s="1" t="n">
        <v>45643</v>
      </c>
      <c r="C16573" s="1" t="n">
        <v>45657</v>
      </c>
      <c r="D16573" t="inlineStr">
        <is>
          <t>VÄSTERNORRLANDS LÄN</t>
        </is>
      </c>
      <c r="E16573" t="inlineStr">
        <is>
          <t>ÅNGE</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60363-2024</t>
        </is>
      </c>
      <c r="B16574" s="1" t="n">
        <v>45643</v>
      </c>
      <c r="C16574" s="1" t="n">
        <v>45657</v>
      </c>
      <c r="D16574" t="inlineStr">
        <is>
          <t>VÄSTERNORRLANDS LÄN</t>
        </is>
      </c>
      <c r="E16574" t="inlineStr">
        <is>
          <t>ÅNGE</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60389-2024</t>
        </is>
      </c>
      <c r="B16575" s="1" t="n">
        <v>45643</v>
      </c>
      <c r="C16575" s="1" t="n">
        <v>45657</v>
      </c>
      <c r="D16575" t="inlineStr">
        <is>
          <t>VÄSTERNORRLANDS LÄN</t>
        </is>
      </c>
      <c r="E16575" t="inlineStr">
        <is>
          <t>SOLLEFTEÅ</t>
        </is>
      </c>
      <c r="F16575" t="inlineStr">
        <is>
          <t>SCA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60427-2024</t>
        </is>
      </c>
      <c r="B16576" s="1" t="n">
        <v>45643</v>
      </c>
      <c r="C16576" s="1" t="n">
        <v>45657</v>
      </c>
      <c r="D16576" t="inlineStr">
        <is>
          <t>VÄSTERNORRLANDS LÄN</t>
        </is>
      </c>
      <c r="E16576" t="inlineStr">
        <is>
          <t>ÖRNSKÖLDSVIK</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60421-2024</t>
        </is>
      </c>
      <c r="B16577" s="1" t="n">
        <v>45643</v>
      </c>
      <c r="C16577" s="1" t="n">
        <v>45657</v>
      </c>
      <c r="D16577" t="inlineStr">
        <is>
          <t>VÄSTERNORRLANDS LÄN</t>
        </is>
      </c>
      <c r="E16577" t="inlineStr">
        <is>
          <t>KRAMFORS</t>
        </is>
      </c>
      <c r="G16577" t="n">
        <v>8.1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60412-2024</t>
        </is>
      </c>
      <c r="B16578" s="1" t="n">
        <v>45643</v>
      </c>
      <c r="C16578" s="1" t="n">
        <v>45657</v>
      </c>
      <c r="D16578" t="inlineStr">
        <is>
          <t>VÄSTERNORRLANDS LÄN</t>
        </is>
      </c>
      <c r="E16578" t="inlineStr">
        <is>
          <t>ÖRNSKÖLDSVIK</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60424-2024</t>
        </is>
      </c>
      <c r="B16579" s="1" t="n">
        <v>45643</v>
      </c>
      <c r="C16579" s="1" t="n">
        <v>45657</v>
      </c>
      <c r="D16579" t="inlineStr">
        <is>
          <t>VÄSTERNORRLANDS LÄN</t>
        </is>
      </c>
      <c r="E16579" t="inlineStr">
        <is>
          <t>KRAMFORS</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60495-2024</t>
        </is>
      </c>
      <c r="B16580" s="1" t="n">
        <v>45643</v>
      </c>
      <c r="C16580" s="1" t="n">
        <v>45657</v>
      </c>
      <c r="D16580" t="inlineStr">
        <is>
          <t>VÄSTERNORRLANDS LÄN</t>
        </is>
      </c>
      <c r="E16580" t="inlineStr">
        <is>
          <t>SOLLEFTEÅ</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60494-2024</t>
        </is>
      </c>
      <c r="B16581" s="1" t="n">
        <v>45643</v>
      </c>
      <c r="C16581" s="1" t="n">
        <v>45657</v>
      </c>
      <c r="D16581" t="inlineStr">
        <is>
          <t>VÄSTERNORRLANDS LÄN</t>
        </is>
      </c>
      <c r="E16581" t="inlineStr">
        <is>
          <t>ÖRNSKÖLDSVIK</t>
        </is>
      </c>
      <c r="F16581" t="inlineStr">
        <is>
          <t>SCA</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60578-2024</t>
        </is>
      </c>
      <c r="B16582" s="1" t="n">
        <v>45644</v>
      </c>
      <c r="C16582" s="1" t="n">
        <v>45657</v>
      </c>
      <c r="D16582" t="inlineStr">
        <is>
          <t>VÄSTERNORRLANDS LÄN</t>
        </is>
      </c>
      <c r="E16582" t="inlineStr">
        <is>
          <t>ÅNGE</t>
        </is>
      </c>
      <c r="F16582" t="inlineStr">
        <is>
          <t>SCA</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60583-2024</t>
        </is>
      </c>
      <c r="B16583" s="1" t="n">
        <v>45644</v>
      </c>
      <c r="C16583" s="1" t="n">
        <v>45657</v>
      </c>
      <c r="D16583" t="inlineStr">
        <is>
          <t>VÄSTERNORRLANDS LÄN</t>
        </is>
      </c>
      <c r="E16583" t="inlineStr">
        <is>
          <t>SOLLEFTEÅ</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60612-2024</t>
        </is>
      </c>
      <c r="B16584" s="1" t="n">
        <v>45644</v>
      </c>
      <c r="C16584" s="1" t="n">
        <v>45657</v>
      </c>
      <c r="D16584" t="inlineStr">
        <is>
          <t>VÄSTERNORRLANDS LÄN</t>
        </is>
      </c>
      <c r="E16584" t="inlineStr">
        <is>
          <t>SOLLEFTEÅ</t>
        </is>
      </c>
      <c r="F16584" t="inlineStr">
        <is>
          <t>SCA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60632-2024</t>
        </is>
      </c>
      <c r="B16585" s="1" t="n">
        <v>45644</v>
      </c>
      <c r="C16585" s="1" t="n">
        <v>45657</v>
      </c>
      <c r="D16585" t="inlineStr">
        <is>
          <t>VÄSTERNORRLANDS LÄN</t>
        </is>
      </c>
      <c r="E16585" t="inlineStr">
        <is>
          <t>SOLLEFTEÅ</t>
        </is>
      </c>
      <c r="F16585" t="inlineStr">
        <is>
          <t>SCA</t>
        </is>
      </c>
      <c r="G16585" t="n">
        <v>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60642-2024</t>
        </is>
      </c>
      <c r="B16586" s="1" t="n">
        <v>45644</v>
      </c>
      <c r="C16586" s="1" t="n">
        <v>45657</v>
      </c>
      <c r="D16586" t="inlineStr">
        <is>
          <t>VÄSTERNORRLANDS LÄN</t>
        </is>
      </c>
      <c r="E16586" t="inlineStr">
        <is>
          <t>ÖRNSKÖLDSVIK</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60579-2024</t>
        </is>
      </c>
      <c r="B16587" s="1" t="n">
        <v>45644</v>
      </c>
      <c r="C16587" s="1" t="n">
        <v>45657</v>
      </c>
      <c r="D16587" t="inlineStr">
        <is>
          <t>VÄSTERNORRLANDS LÄN</t>
        </is>
      </c>
      <c r="E16587" t="inlineStr">
        <is>
          <t>SUNDSVALL</t>
        </is>
      </c>
      <c r="F16587" t="inlineStr">
        <is>
          <t>SCA</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60630-2024</t>
        </is>
      </c>
      <c r="B16588" s="1" t="n">
        <v>45644</v>
      </c>
      <c r="C16588" s="1" t="n">
        <v>45657</v>
      </c>
      <c r="D16588" t="inlineStr">
        <is>
          <t>VÄSTERNORRLANDS LÄN</t>
        </is>
      </c>
      <c r="E16588" t="inlineStr">
        <is>
          <t>SOLLEFTEÅ</t>
        </is>
      </c>
      <c r="F16588" t="inlineStr">
        <is>
          <t>SCA</t>
        </is>
      </c>
      <c r="G16588" t="n">
        <v>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60611-2024</t>
        </is>
      </c>
      <c r="B16589" s="1" t="n">
        <v>45644</v>
      </c>
      <c r="C16589" s="1" t="n">
        <v>45657</v>
      </c>
      <c r="D16589" t="inlineStr">
        <is>
          <t>VÄSTERNORRLANDS LÄN</t>
        </is>
      </c>
      <c r="E16589" t="inlineStr">
        <is>
          <t>SUNDSVALL</t>
        </is>
      </c>
      <c r="F16589" t="inlineStr">
        <is>
          <t>SCA</t>
        </is>
      </c>
      <c r="G16589" t="n">
        <v>2.8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60631-2024</t>
        </is>
      </c>
      <c r="B16590" s="1" t="n">
        <v>45644</v>
      </c>
      <c r="C16590" s="1" t="n">
        <v>45657</v>
      </c>
      <c r="D16590" t="inlineStr">
        <is>
          <t>VÄSTERNORRLANDS LÄN</t>
        </is>
      </c>
      <c r="E16590" t="inlineStr">
        <is>
          <t>SOLLEFTEÅ</t>
        </is>
      </c>
      <c r="F16590" t="inlineStr">
        <is>
          <t>SCA</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60712-2024</t>
        </is>
      </c>
      <c r="B16591" s="1" t="n">
        <v>45644</v>
      </c>
      <c r="C16591" s="1" t="n">
        <v>45657</v>
      </c>
      <c r="D16591" t="inlineStr">
        <is>
          <t>VÄSTERNORRLANDS LÄN</t>
        </is>
      </c>
      <c r="E16591" t="inlineStr">
        <is>
          <t>ÖRNSKÖLDSVIK</t>
        </is>
      </c>
      <c r="G16591" t="n">
        <v>5.3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60751-2024</t>
        </is>
      </c>
      <c r="B16592" s="1" t="n">
        <v>45644</v>
      </c>
      <c r="C16592" s="1" t="n">
        <v>45657</v>
      </c>
      <c r="D16592" t="inlineStr">
        <is>
          <t>VÄSTERNORRLANDS LÄN</t>
        </is>
      </c>
      <c r="E16592" t="inlineStr">
        <is>
          <t>TIMRÅ</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60690-2024</t>
        </is>
      </c>
      <c r="B16593" s="1" t="n">
        <v>45644</v>
      </c>
      <c r="C16593" s="1" t="n">
        <v>45657</v>
      </c>
      <c r="D16593" t="inlineStr">
        <is>
          <t>VÄSTERNORRLANDS LÄN</t>
        </is>
      </c>
      <c r="E16593" t="inlineStr">
        <is>
          <t>ÖRNSKÖLDSVIK</t>
        </is>
      </c>
      <c r="G16593" t="n">
        <v>5.6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60761-2024</t>
        </is>
      </c>
      <c r="B16594" s="1" t="n">
        <v>45644</v>
      </c>
      <c r="C16594" s="1" t="n">
        <v>45657</v>
      </c>
      <c r="D16594" t="inlineStr">
        <is>
          <t>VÄSTERNORRLANDS LÄN</t>
        </is>
      </c>
      <c r="E16594" t="inlineStr">
        <is>
          <t>TIMRÅ</t>
        </is>
      </c>
      <c r="F16594" t="inlineStr">
        <is>
          <t>SCA</t>
        </is>
      </c>
      <c r="G16594" t="n">
        <v>8.5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60779-2024</t>
        </is>
      </c>
      <c r="B16595" s="1" t="n">
        <v>45644</v>
      </c>
      <c r="C16595" s="1" t="n">
        <v>45657</v>
      </c>
      <c r="D16595" t="inlineStr">
        <is>
          <t>VÄSTERNORRLANDS LÄN</t>
        </is>
      </c>
      <c r="E16595" t="inlineStr">
        <is>
          <t>ÅNGE</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60827-2024</t>
        </is>
      </c>
      <c r="B16596" s="1" t="n">
        <v>45644</v>
      </c>
      <c r="C16596" s="1" t="n">
        <v>45657</v>
      </c>
      <c r="D16596" t="inlineStr">
        <is>
          <t>VÄSTERNORRLANDS LÄN</t>
        </is>
      </c>
      <c r="E16596" t="inlineStr">
        <is>
          <t>SOLLEFTEÅ</t>
        </is>
      </c>
      <c r="F16596" t="inlineStr">
        <is>
          <t>SCA</t>
        </is>
      </c>
      <c r="G16596" t="n">
        <v>3.5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60831-2024</t>
        </is>
      </c>
      <c r="B16597" s="1" t="n">
        <v>45644</v>
      </c>
      <c r="C16597" s="1" t="n">
        <v>45657</v>
      </c>
      <c r="D16597" t="inlineStr">
        <is>
          <t>VÄSTERNORRLANDS LÄN</t>
        </is>
      </c>
      <c r="E16597" t="inlineStr">
        <is>
          <t>SOLLEFTEÅ</t>
        </is>
      </c>
      <c r="G16597" t="n">
        <v>8.199999999999999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60600-2024</t>
        </is>
      </c>
      <c r="B16598" s="1" t="n">
        <v>45644</v>
      </c>
      <c r="C16598" s="1" t="n">
        <v>45657</v>
      </c>
      <c r="D16598" t="inlineStr">
        <is>
          <t>VÄSTERNORRLANDS LÄN</t>
        </is>
      </c>
      <c r="E16598" t="inlineStr">
        <is>
          <t>ÖRNSKÖLDSVIK</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60647-2024</t>
        </is>
      </c>
      <c r="B16599" s="1" t="n">
        <v>45644</v>
      </c>
      <c r="C16599" s="1" t="n">
        <v>45657</v>
      </c>
      <c r="D16599" t="inlineStr">
        <is>
          <t>VÄSTERNORRLANDS LÄN</t>
        </is>
      </c>
      <c r="E16599" t="inlineStr">
        <is>
          <t>ÖRNSKÖLDSVIK</t>
        </is>
      </c>
      <c r="G16599" t="n">
        <v>6.9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60714-2024</t>
        </is>
      </c>
      <c r="B16600" s="1" t="n">
        <v>45644</v>
      </c>
      <c r="C16600" s="1" t="n">
        <v>45657</v>
      </c>
      <c r="D16600" t="inlineStr">
        <is>
          <t>VÄSTERNORRLANDS LÄN</t>
        </is>
      </c>
      <c r="E16600" t="inlineStr">
        <is>
          <t>SOLLEFTEÅ</t>
        </is>
      </c>
      <c r="F16600" t="inlineStr">
        <is>
          <t>SCA</t>
        </is>
      </c>
      <c r="G16600" t="n">
        <v>8.800000000000001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60713-2024</t>
        </is>
      </c>
      <c r="B16601" s="1" t="n">
        <v>45644</v>
      </c>
      <c r="C16601" s="1" t="n">
        <v>45657</v>
      </c>
      <c r="D16601" t="inlineStr">
        <is>
          <t>VÄSTERNORRLANDS LÄN</t>
        </is>
      </c>
      <c r="E16601" t="inlineStr">
        <is>
          <t>SOLLEFTEÅ</t>
        </is>
      </c>
      <c r="F16601" t="inlineStr">
        <is>
          <t>SCA</t>
        </is>
      </c>
      <c r="G16601" t="n">
        <v>5.2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60758-2024</t>
        </is>
      </c>
      <c r="B16602" s="1" t="n">
        <v>45644</v>
      </c>
      <c r="C16602" s="1" t="n">
        <v>45657</v>
      </c>
      <c r="D16602" t="inlineStr">
        <is>
          <t>VÄSTERNORRLANDS LÄN</t>
        </is>
      </c>
      <c r="E16602" t="inlineStr">
        <is>
          <t>SUNDSVALL</t>
        </is>
      </c>
      <c r="F16602" t="inlineStr">
        <is>
          <t>SCA</t>
        </is>
      </c>
      <c r="G16602" t="n">
        <v>14.2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60837-2024</t>
        </is>
      </c>
      <c r="B16603" s="1" t="n">
        <v>45644</v>
      </c>
      <c r="C16603" s="1" t="n">
        <v>45657</v>
      </c>
      <c r="D16603" t="inlineStr">
        <is>
          <t>VÄSTERNORRLANDS LÄN</t>
        </is>
      </c>
      <c r="E16603" t="inlineStr">
        <is>
          <t>SOLLEFTEÅ</t>
        </is>
      </c>
      <c r="F16603" t="inlineStr">
        <is>
          <t>SCA</t>
        </is>
      </c>
      <c r="G16603" t="n">
        <v>12.5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60812-2024</t>
        </is>
      </c>
      <c r="B16604" s="1" t="n">
        <v>45644</v>
      </c>
      <c r="C16604" s="1" t="n">
        <v>45657</v>
      </c>
      <c r="D16604" t="inlineStr">
        <is>
          <t>VÄSTERNORRLANDS LÄN</t>
        </is>
      </c>
      <c r="E16604" t="inlineStr">
        <is>
          <t>ÅNGE</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60829-2024</t>
        </is>
      </c>
      <c r="B16605" s="1" t="n">
        <v>45644</v>
      </c>
      <c r="C16605" s="1" t="n">
        <v>45657</v>
      </c>
      <c r="D16605" t="inlineStr">
        <is>
          <t>VÄSTERNORRLANDS LÄN</t>
        </is>
      </c>
      <c r="E16605" t="inlineStr">
        <is>
          <t>KRAMFORS</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60817-2024</t>
        </is>
      </c>
      <c r="B16606" s="1" t="n">
        <v>45644</v>
      </c>
      <c r="C16606" s="1" t="n">
        <v>45657</v>
      </c>
      <c r="D16606" t="inlineStr">
        <is>
          <t>VÄSTERNORRLANDS LÄN</t>
        </is>
      </c>
      <c r="E16606" t="inlineStr">
        <is>
          <t>ÅNGE</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61228-2024</t>
        </is>
      </c>
      <c r="B16607" s="1" t="n">
        <v>45644</v>
      </c>
      <c r="C16607" s="1" t="n">
        <v>45657</v>
      </c>
      <c r="D16607" t="inlineStr">
        <is>
          <t>VÄSTERNORRLANDS LÄN</t>
        </is>
      </c>
      <c r="E16607" t="inlineStr">
        <is>
          <t>ÖRNSKÖLDSVIK</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61267-2024</t>
        </is>
      </c>
      <c r="B16608" s="1" t="n">
        <v>45644</v>
      </c>
      <c r="C16608" s="1" t="n">
        <v>45657</v>
      </c>
      <c r="D16608" t="inlineStr">
        <is>
          <t>VÄSTERNORRLANDS LÄN</t>
        </is>
      </c>
      <c r="E16608" t="inlineStr">
        <is>
          <t>ÖRNSKÖLDSVIK</t>
        </is>
      </c>
      <c r="G16608" t="n">
        <v>9.9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60867-2024</t>
        </is>
      </c>
      <c r="B16609" s="1" t="n">
        <v>45644</v>
      </c>
      <c r="C16609" s="1" t="n">
        <v>45657</v>
      </c>
      <c r="D16609" t="inlineStr">
        <is>
          <t>VÄSTERNORRLANDS LÄN</t>
        </is>
      </c>
      <c r="E16609" t="inlineStr">
        <is>
          <t>SOLLEFTEÅ</t>
        </is>
      </c>
      <c r="F16609" t="inlineStr">
        <is>
          <t>SCA</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61255-2024</t>
        </is>
      </c>
      <c r="B16610" s="1" t="n">
        <v>45644</v>
      </c>
      <c r="C16610" s="1" t="n">
        <v>45657</v>
      </c>
      <c r="D16610" t="inlineStr">
        <is>
          <t>VÄSTERNORRLANDS LÄN</t>
        </is>
      </c>
      <c r="E16610" t="inlineStr">
        <is>
          <t>ÖRNSKÖLDSVIK</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61089-2024</t>
        </is>
      </c>
      <c r="B16611" s="1" t="n">
        <v>45644</v>
      </c>
      <c r="C16611" s="1" t="n">
        <v>45657</v>
      </c>
      <c r="D16611" t="inlineStr">
        <is>
          <t>VÄSTERNORRLANDS LÄN</t>
        </is>
      </c>
      <c r="E16611" t="inlineStr">
        <is>
          <t>SOLLEFTEÅ</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61234-2024</t>
        </is>
      </c>
      <c r="B16612" s="1" t="n">
        <v>45644</v>
      </c>
      <c r="C16612" s="1" t="n">
        <v>45657</v>
      </c>
      <c r="D16612" t="inlineStr">
        <is>
          <t>VÄSTERNORRLANDS LÄN</t>
        </is>
      </c>
      <c r="E16612" t="inlineStr">
        <is>
          <t>ÖRNSKÖLDSVIK</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61265-2024</t>
        </is>
      </c>
      <c r="B16613" s="1" t="n">
        <v>45644</v>
      </c>
      <c r="C16613" s="1" t="n">
        <v>45657</v>
      </c>
      <c r="D16613" t="inlineStr">
        <is>
          <t>VÄSTERNORRLANDS LÄN</t>
        </is>
      </c>
      <c r="E16613" t="inlineStr">
        <is>
          <t>ÖRNSKÖLDSVIK</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60958-2024</t>
        </is>
      </c>
      <c r="B16614" s="1" t="n">
        <v>45645</v>
      </c>
      <c r="C16614" s="1" t="n">
        <v>45657</v>
      </c>
      <c r="D16614" t="inlineStr">
        <is>
          <t>VÄSTERNORRLANDS LÄN</t>
        </is>
      </c>
      <c r="E16614" t="inlineStr">
        <is>
          <t>SOLLEFTEÅ</t>
        </is>
      </c>
      <c r="F16614" t="inlineStr">
        <is>
          <t>SCA</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60930-2024</t>
        </is>
      </c>
      <c r="B16615" s="1" t="n">
        <v>45645</v>
      </c>
      <c r="C16615" s="1" t="n">
        <v>45657</v>
      </c>
      <c r="D16615" t="inlineStr">
        <is>
          <t>VÄSTERNORRLANDS LÄN</t>
        </is>
      </c>
      <c r="E16615" t="inlineStr">
        <is>
          <t>KRAMFORS</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60956-2024</t>
        </is>
      </c>
      <c r="B16616" s="1" t="n">
        <v>45645</v>
      </c>
      <c r="C16616" s="1" t="n">
        <v>45657</v>
      </c>
      <c r="D16616" t="inlineStr">
        <is>
          <t>VÄSTERNORRLANDS LÄN</t>
        </is>
      </c>
      <c r="E16616" t="inlineStr">
        <is>
          <t>SOLLEFTEÅ</t>
        </is>
      </c>
      <c r="F16616" t="inlineStr">
        <is>
          <t>SCA</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61013-2024</t>
        </is>
      </c>
      <c r="B16617" s="1" t="n">
        <v>45645</v>
      </c>
      <c r="C16617" s="1" t="n">
        <v>45657</v>
      </c>
      <c r="D16617" t="inlineStr">
        <is>
          <t>VÄSTERNORRLANDS LÄN</t>
        </is>
      </c>
      <c r="E16617" t="inlineStr">
        <is>
          <t>ÖRNSKÖLDSVIK</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61010-2024</t>
        </is>
      </c>
      <c r="B16618" s="1" t="n">
        <v>45645</v>
      </c>
      <c r="C16618" s="1" t="n">
        <v>45657</v>
      </c>
      <c r="D16618" t="inlineStr">
        <is>
          <t>VÄSTERNORRLANDS LÄN</t>
        </is>
      </c>
      <c r="E16618" t="inlineStr">
        <is>
          <t>KRAMFORS</t>
        </is>
      </c>
      <c r="G16618" t="n">
        <v>5.6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61012-2024</t>
        </is>
      </c>
      <c r="B16619" s="1" t="n">
        <v>45645</v>
      </c>
      <c r="C16619" s="1" t="n">
        <v>45657</v>
      </c>
      <c r="D16619" t="inlineStr">
        <is>
          <t>VÄSTERNORRLANDS LÄN</t>
        </is>
      </c>
      <c r="E16619" t="inlineStr">
        <is>
          <t>ÖRNSKÖLDSVIK</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61098-2024</t>
        </is>
      </c>
      <c r="B16620" s="1" t="n">
        <v>45645</v>
      </c>
      <c r="C16620" s="1" t="n">
        <v>45657</v>
      </c>
      <c r="D16620" t="inlineStr">
        <is>
          <t>VÄSTERNORRLANDS LÄN</t>
        </is>
      </c>
      <c r="E16620" t="inlineStr">
        <is>
          <t>ÖRNSKÖLDSVIK</t>
        </is>
      </c>
      <c r="G16620" t="n">
        <v>8.699999999999999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61121-2024</t>
        </is>
      </c>
      <c r="B16621" s="1" t="n">
        <v>45645</v>
      </c>
      <c r="C16621" s="1" t="n">
        <v>45657</v>
      </c>
      <c r="D16621" t="inlineStr">
        <is>
          <t>VÄSTERNORRLANDS LÄN</t>
        </is>
      </c>
      <c r="E16621" t="inlineStr">
        <is>
          <t>ÖRNSKÖLDSVIK</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61126-2024</t>
        </is>
      </c>
      <c r="B16622" s="1" t="n">
        <v>45645</v>
      </c>
      <c r="C16622" s="1" t="n">
        <v>45657</v>
      </c>
      <c r="D16622" t="inlineStr">
        <is>
          <t>VÄSTERNORRLANDS LÄN</t>
        </is>
      </c>
      <c r="E16622" t="inlineStr">
        <is>
          <t>SOLLEFTEÅ</t>
        </is>
      </c>
      <c r="G16622" t="n">
        <v>13.8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61147-2024</t>
        </is>
      </c>
      <c r="B16623" s="1" t="n">
        <v>45645</v>
      </c>
      <c r="C16623" s="1" t="n">
        <v>45657</v>
      </c>
      <c r="D16623" t="inlineStr">
        <is>
          <t>VÄSTERNORRLANDS LÄN</t>
        </is>
      </c>
      <c r="E16623" t="inlineStr">
        <is>
          <t>ÖRNSKÖLDSVIK</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61174-2024</t>
        </is>
      </c>
      <c r="B16624" s="1" t="n">
        <v>45645</v>
      </c>
      <c r="C16624" s="1" t="n">
        <v>45657</v>
      </c>
      <c r="D16624" t="inlineStr">
        <is>
          <t>VÄSTERNORRLANDS LÄN</t>
        </is>
      </c>
      <c r="E16624" t="inlineStr">
        <is>
          <t>KRAMFORS</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61062-2024</t>
        </is>
      </c>
      <c r="B16625" s="1" t="n">
        <v>45645</v>
      </c>
      <c r="C16625" s="1" t="n">
        <v>45657</v>
      </c>
      <c r="D16625" t="inlineStr">
        <is>
          <t>VÄSTERNORRLANDS LÄN</t>
        </is>
      </c>
      <c r="E16625" t="inlineStr">
        <is>
          <t>ÖRNSKÖLDSVIK</t>
        </is>
      </c>
      <c r="F16625" t="inlineStr">
        <is>
          <t>Holmen skog AB</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61100-2024</t>
        </is>
      </c>
      <c r="B16626" s="1" t="n">
        <v>45645</v>
      </c>
      <c r="C16626" s="1" t="n">
        <v>45657</v>
      </c>
      <c r="D16626" t="inlineStr">
        <is>
          <t>VÄSTERNORRLANDS LÄN</t>
        </is>
      </c>
      <c r="E16626" t="inlineStr">
        <is>
          <t>ÅNGE</t>
        </is>
      </c>
      <c r="F16626" t="inlineStr">
        <is>
          <t>SCA</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61122-2024</t>
        </is>
      </c>
      <c r="B16627" s="1" t="n">
        <v>45645</v>
      </c>
      <c r="C16627" s="1" t="n">
        <v>45657</v>
      </c>
      <c r="D16627" t="inlineStr">
        <is>
          <t>VÄSTERNORRLANDS LÄN</t>
        </is>
      </c>
      <c r="E16627" t="inlineStr">
        <is>
          <t>ÖRNSKÖLDSVIK</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61148-2024</t>
        </is>
      </c>
      <c r="B16628" s="1" t="n">
        <v>45645</v>
      </c>
      <c r="C16628" s="1" t="n">
        <v>45657</v>
      </c>
      <c r="D16628" t="inlineStr">
        <is>
          <t>VÄSTERNORRLANDS LÄN</t>
        </is>
      </c>
      <c r="E16628" t="inlineStr">
        <is>
          <t>ÖRNSKÖLDSVIK</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61166-2024</t>
        </is>
      </c>
      <c r="B16629" s="1" t="n">
        <v>45645</v>
      </c>
      <c r="C16629" s="1" t="n">
        <v>45657</v>
      </c>
      <c r="D16629" t="inlineStr">
        <is>
          <t>VÄSTERNORRLANDS LÄN</t>
        </is>
      </c>
      <c r="E16629" t="inlineStr">
        <is>
          <t>TIMRÅ</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61175-2024</t>
        </is>
      </c>
      <c r="B16630" s="1" t="n">
        <v>45645</v>
      </c>
      <c r="C16630" s="1" t="n">
        <v>45657</v>
      </c>
      <c r="D16630" t="inlineStr">
        <is>
          <t>VÄSTERNORRLANDS LÄN</t>
        </is>
      </c>
      <c r="E16630" t="inlineStr">
        <is>
          <t>KRAMFORS</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61200-2024</t>
        </is>
      </c>
      <c r="B16631" s="1" t="n">
        <v>45645</v>
      </c>
      <c r="C16631" s="1" t="n">
        <v>45657</v>
      </c>
      <c r="D16631" t="inlineStr">
        <is>
          <t>VÄSTERNORRLANDS LÄN</t>
        </is>
      </c>
      <c r="E16631" t="inlineStr">
        <is>
          <t>SOLLEFTEÅ</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61208-2024</t>
        </is>
      </c>
      <c r="B16632" s="1" t="n">
        <v>45645</v>
      </c>
      <c r="C16632" s="1" t="n">
        <v>45657</v>
      </c>
      <c r="D16632" t="inlineStr">
        <is>
          <t>VÄSTERNORRLANDS LÄN</t>
        </is>
      </c>
      <c r="E16632" t="inlineStr">
        <is>
          <t>ÅNGE</t>
        </is>
      </c>
      <c r="G16632" t="n">
        <v>7.1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61212-2024</t>
        </is>
      </c>
      <c r="B16633" s="1" t="n">
        <v>45645</v>
      </c>
      <c r="C16633" s="1" t="n">
        <v>45657</v>
      </c>
      <c r="D16633" t="inlineStr">
        <is>
          <t>VÄSTERNORRLANDS LÄN</t>
        </is>
      </c>
      <c r="E16633" t="inlineStr">
        <is>
          <t>ÖRNSKÖLDSVIK</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61245-2024</t>
        </is>
      </c>
      <c r="B16634" s="1" t="n">
        <v>45645</v>
      </c>
      <c r="C16634" s="1" t="n">
        <v>45657</v>
      </c>
      <c r="D16634" t="inlineStr">
        <is>
          <t>VÄSTERNORRLANDS LÄN</t>
        </is>
      </c>
      <c r="E16634" t="inlineStr">
        <is>
          <t>HÄRNÖSAND</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61102-2024</t>
        </is>
      </c>
      <c r="B16635" s="1" t="n">
        <v>45645</v>
      </c>
      <c r="C16635" s="1" t="n">
        <v>45657</v>
      </c>
      <c r="D16635" t="inlineStr">
        <is>
          <t>VÄSTERNORRLANDS LÄN</t>
        </is>
      </c>
      <c r="E16635" t="inlineStr">
        <is>
          <t>ÖRNSKÖLDSVIK</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61110-2024</t>
        </is>
      </c>
      <c r="B16636" s="1" t="n">
        <v>45645</v>
      </c>
      <c r="C16636" s="1" t="n">
        <v>45657</v>
      </c>
      <c r="D16636" t="inlineStr">
        <is>
          <t>VÄSTERNORRLANDS LÄN</t>
        </is>
      </c>
      <c r="E16636" t="inlineStr">
        <is>
          <t>ÖRNSKÖLDSVIK</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61120-2024</t>
        </is>
      </c>
      <c r="B16637" s="1" t="n">
        <v>45645</v>
      </c>
      <c r="C16637" s="1" t="n">
        <v>45657</v>
      </c>
      <c r="D16637" t="inlineStr">
        <is>
          <t>VÄSTERNORRLANDS LÄN</t>
        </is>
      </c>
      <c r="E16637" t="inlineStr">
        <is>
          <t>ÖRNSKÖLDSVIK</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61146-2024</t>
        </is>
      </c>
      <c r="B16638" s="1" t="n">
        <v>45645</v>
      </c>
      <c r="C16638" s="1" t="n">
        <v>45657</v>
      </c>
      <c r="D16638" t="inlineStr">
        <is>
          <t>VÄSTERNORRLANDS LÄN</t>
        </is>
      </c>
      <c r="E16638" t="inlineStr">
        <is>
          <t>ÖRNSKÖLDSVIK</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61173-2024</t>
        </is>
      </c>
      <c r="B16639" s="1" t="n">
        <v>45645</v>
      </c>
      <c r="C16639" s="1" t="n">
        <v>45657</v>
      </c>
      <c r="D16639" t="inlineStr">
        <is>
          <t>VÄSTERNORRLANDS LÄN</t>
        </is>
      </c>
      <c r="E16639" t="inlineStr">
        <is>
          <t>KRAMFORS</t>
        </is>
      </c>
      <c r="G16639" t="n">
        <v>7.5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61239-2024</t>
        </is>
      </c>
      <c r="B16640" s="1" t="n">
        <v>45645</v>
      </c>
      <c r="C16640" s="1" t="n">
        <v>45657</v>
      </c>
      <c r="D16640" t="inlineStr">
        <is>
          <t>VÄSTERNORRLANDS LÄN</t>
        </is>
      </c>
      <c r="E16640" t="inlineStr">
        <is>
          <t>HÄRNÖSAND</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61195-2024</t>
        </is>
      </c>
      <c r="B16641" s="1" t="n">
        <v>45645</v>
      </c>
      <c r="C16641" s="1" t="n">
        <v>45657</v>
      </c>
      <c r="D16641" t="inlineStr">
        <is>
          <t>VÄSTERNORRLANDS LÄN</t>
        </is>
      </c>
      <c r="E16641" t="inlineStr">
        <is>
          <t>ÖRNSKÖLDSVIK</t>
        </is>
      </c>
      <c r="F16641" t="inlineStr">
        <is>
          <t>Holmen skog AB</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61222-2024</t>
        </is>
      </c>
      <c r="B16642" s="1" t="n">
        <v>45645</v>
      </c>
      <c r="C16642" s="1" t="n">
        <v>45657</v>
      </c>
      <c r="D16642" t="inlineStr">
        <is>
          <t>VÄSTERNORRLANDS LÄN</t>
        </is>
      </c>
      <c r="E16642" t="inlineStr">
        <is>
          <t>HÄRNÖSAND</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61611-2024</t>
        </is>
      </c>
      <c r="B16643" s="1" t="n">
        <v>45645</v>
      </c>
      <c r="C16643" s="1" t="n">
        <v>45657</v>
      </c>
      <c r="D16643" t="inlineStr">
        <is>
          <t>VÄSTERNORRLANDS LÄN</t>
        </is>
      </c>
      <c r="E16643" t="inlineStr">
        <is>
          <t>SOLLEFTEÅ</t>
        </is>
      </c>
      <c r="G16643" t="n">
        <v>13.9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61616-2024</t>
        </is>
      </c>
      <c r="B16644" s="1" t="n">
        <v>45645</v>
      </c>
      <c r="C16644" s="1" t="n">
        <v>45657</v>
      </c>
      <c r="D16644" t="inlineStr">
        <is>
          <t>VÄSTERNORRLANDS LÄN</t>
        </is>
      </c>
      <c r="E16644" t="inlineStr">
        <is>
          <t>SOLLEFTEÅ</t>
        </is>
      </c>
      <c r="G16644" t="n">
        <v>6.5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61057-2024</t>
        </is>
      </c>
      <c r="B16645" s="1" t="n">
        <v>45645</v>
      </c>
      <c r="C16645" s="1" t="n">
        <v>45657</v>
      </c>
      <c r="D16645" t="inlineStr">
        <is>
          <t>VÄSTERNORRLANDS LÄN</t>
        </is>
      </c>
      <c r="E16645" t="inlineStr">
        <is>
          <t>ÅNGE</t>
        </is>
      </c>
      <c r="F16645" t="inlineStr">
        <is>
          <t>SCA</t>
        </is>
      </c>
      <c r="G16645" t="n">
        <v>16.9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61168-2024</t>
        </is>
      </c>
      <c r="B16646" s="1" t="n">
        <v>45645</v>
      </c>
      <c r="C16646" s="1" t="n">
        <v>45657</v>
      </c>
      <c r="D16646" t="inlineStr">
        <is>
          <t>VÄSTERNORRLANDS LÄN</t>
        </is>
      </c>
      <c r="E16646" t="inlineStr">
        <is>
          <t>SOLLEFTEÅ</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61176-2024</t>
        </is>
      </c>
      <c r="B16647" s="1" t="n">
        <v>45645</v>
      </c>
      <c r="C16647" s="1" t="n">
        <v>45657</v>
      </c>
      <c r="D16647" t="inlineStr">
        <is>
          <t>VÄSTERNORRLANDS LÄN</t>
        </is>
      </c>
      <c r="E16647" t="inlineStr">
        <is>
          <t>KRAMFORS</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61201-2024</t>
        </is>
      </c>
      <c r="B16648" s="1" t="n">
        <v>45645</v>
      </c>
      <c r="C16648" s="1" t="n">
        <v>45657</v>
      </c>
      <c r="D16648" t="inlineStr">
        <is>
          <t>VÄSTERNORRLANDS LÄN</t>
        </is>
      </c>
      <c r="E16648" t="inlineStr">
        <is>
          <t>SOLLEFTEÅ</t>
        </is>
      </c>
      <c r="F16648" t="inlineStr">
        <is>
          <t>SCA</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61623-2024</t>
        </is>
      </c>
      <c r="B16649" s="1" t="n">
        <v>45645</v>
      </c>
      <c r="C16649" s="1" t="n">
        <v>45657</v>
      </c>
      <c r="D16649" t="inlineStr">
        <is>
          <t>VÄSTERNORRLANDS LÄN</t>
        </is>
      </c>
      <c r="E16649" t="inlineStr">
        <is>
          <t>SOLLEFTEÅ</t>
        </is>
      </c>
      <c r="G16649" t="n">
        <v>7.8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61424-2024</t>
        </is>
      </c>
      <c r="B16650" s="1" t="n">
        <v>45646</v>
      </c>
      <c r="C16650" s="1" t="n">
        <v>45657</v>
      </c>
      <c r="D16650" t="inlineStr">
        <is>
          <t>VÄSTERNORRLANDS LÄN</t>
        </is>
      </c>
      <c r="E16650" t="inlineStr">
        <is>
          <t>ÖRNSKÖLDSVIK</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61452-2024</t>
        </is>
      </c>
      <c r="B16651" s="1" t="n">
        <v>45646</v>
      </c>
      <c r="C16651" s="1" t="n">
        <v>45657</v>
      </c>
      <c r="D16651" t="inlineStr">
        <is>
          <t>VÄSTERNORRLANDS LÄN</t>
        </is>
      </c>
      <c r="E16651" t="inlineStr">
        <is>
          <t>SOLLEFTEÅ</t>
        </is>
      </c>
      <c r="F16651" t="inlineStr">
        <is>
          <t>SCA</t>
        </is>
      </c>
      <c r="G16651" t="n">
        <v>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61484-2024</t>
        </is>
      </c>
      <c r="B16652" s="1" t="n">
        <v>45646</v>
      </c>
      <c r="C16652" s="1" t="n">
        <v>45657</v>
      </c>
      <c r="D16652" t="inlineStr">
        <is>
          <t>VÄSTERNORRLANDS LÄN</t>
        </is>
      </c>
      <c r="E16652" t="inlineStr">
        <is>
          <t>TIMRÅ</t>
        </is>
      </c>
      <c r="F16652" t="inlineStr">
        <is>
          <t>SCA</t>
        </is>
      </c>
      <c r="G16652" t="n">
        <v>8.699999999999999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61344-2024</t>
        </is>
      </c>
      <c r="B16653" s="1" t="n">
        <v>45646</v>
      </c>
      <c r="C16653" s="1" t="n">
        <v>45657</v>
      </c>
      <c r="D16653" t="inlineStr">
        <is>
          <t>VÄSTERNORRLANDS LÄN</t>
        </is>
      </c>
      <c r="E16653" t="inlineStr">
        <is>
          <t>ÖRNSKÖLDSVIK</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61595-2024</t>
        </is>
      </c>
      <c r="B16654" s="1" t="n">
        <v>45646</v>
      </c>
      <c r="C16654" s="1" t="n">
        <v>45657</v>
      </c>
      <c r="D16654" t="inlineStr">
        <is>
          <t>VÄSTERNORRLANDS LÄN</t>
        </is>
      </c>
      <c r="E16654" t="inlineStr">
        <is>
          <t>SUNDSVALL</t>
        </is>
      </c>
      <c r="F16654" t="inlineStr">
        <is>
          <t>SCA</t>
        </is>
      </c>
      <c r="G16654" t="n">
        <v>12.1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61599-2024</t>
        </is>
      </c>
      <c r="B16655" s="1" t="n">
        <v>45646</v>
      </c>
      <c r="C16655" s="1" t="n">
        <v>45657</v>
      </c>
      <c r="D16655" t="inlineStr">
        <is>
          <t>VÄSTERNORRLANDS LÄN</t>
        </is>
      </c>
      <c r="E16655" t="inlineStr">
        <is>
          <t>SUNDSVALL</t>
        </is>
      </c>
      <c r="F16655" t="inlineStr">
        <is>
          <t>SCA</t>
        </is>
      </c>
      <c r="G16655" t="n">
        <v>4.1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61847-2024</t>
        </is>
      </c>
      <c r="B16656" s="1" t="n">
        <v>45646</v>
      </c>
      <c r="C16656" s="1" t="n">
        <v>45657</v>
      </c>
      <c r="D16656" t="inlineStr">
        <is>
          <t>VÄSTERNORRLANDS LÄN</t>
        </is>
      </c>
      <c r="E16656" t="inlineStr">
        <is>
          <t>SOLLEFTEÅ</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61337-2024</t>
        </is>
      </c>
      <c r="B16657" s="1" t="n">
        <v>45646</v>
      </c>
      <c r="C16657" s="1" t="n">
        <v>45657</v>
      </c>
      <c r="D16657" t="inlineStr">
        <is>
          <t>VÄSTERNORRLANDS LÄN</t>
        </is>
      </c>
      <c r="E16657" t="inlineStr">
        <is>
          <t>HÄRNÖSAND</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61620-2024</t>
        </is>
      </c>
      <c r="B16658" s="1" t="n">
        <v>45646</v>
      </c>
      <c r="C16658" s="1" t="n">
        <v>45657</v>
      </c>
      <c r="D16658" t="inlineStr">
        <is>
          <t>VÄSTERNORRLANDS LÄN</t>
        </is>
      </c>
      <c r="E16658" t="inlineStr">
        <is>
          <t>TIMRÅ</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61845-2024</t>
        </is>
      </c>
      <c r="B16659" s="1" t="n">
        <v>45646</v>
      </c>
      <c r="C16659" s="1" t="n">
        <v>45657</v>
      </c>
      <c r="D16659" t="inlineStr">
        <is>
          <t>VÄSTERNORRLANDS LÄN</t>
        </is>
      </c>
      <c r="E16659" t="inlineStr">
        <is>
          <t>SOLLEFTEÅ</t>
        </is>
      </c>
      <c r="G16659" t="n">
        <v>9.4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61321-2024</t>
        </is>
      </c>
      <c r="B16660" s="1" t="n">
        <v>45646</v>
      </c>
      <c r="C16660" s="1" t="n">
        <v>45657</v>
      </c>
      <c r="D16660" t="inlineStr">
        <is>
          <t>VÄSTERNORRLANDS LÄN</t>
        </is>
      </c>
      <c r="E16660" t="inlineStr">
        <is>
          <t>KRAMFORS</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61339-2024</t>
        </is>
      </c>
      <c r="B16661" s="1" t="n">
        <v>45646</v>
      </c>
      <c r="C16661" s="1" t="n">
        <v>45657</v>
      </c>
      <c r="D16661" t="inlineStr">
        <is>
          <t>VÄSTERNORRLANDS LÄN</t>
        </is>
      </c>
      <c r="E16661" t="inlineStr">
        <is>
          <t>ÖRNSKÖLDSVIK</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61343-2024</t>
        </is>
      </c>
      <c r="B16662" s="1" t="n">
        <v>45646</v>
      </c>
      <c r="C16662" s="1" t="n">
        <v>45657</v>
      </c>
      <c r="D16662" t="inlineStr">
        <is>
          <t>VÄSTERNORRLANDS LÄN</t>
        </is>
      </c>
      <c r="E16662" t="inlineStr">
        <is>
          <t>ÖRNSKÖLDSVIK</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61400-2024</t>
        </is>
      </c>
      <c r="B16663" s="1" t="n">
        <v>45646</v>
      </c>
      <c r="C16663" s="1" t="n">
        <v>45657</v>
      </c>
      <c r="D16663" t="inlineStr">
        <is>
          <t>VÄSTERNORRLANDS LÄN</t>
        </is>
      </c>
      <c r="E16663" t="inlineStr">
        <is>
          <t>ÖRNSKÖLDSVIK</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61485-2024</t>
        </is>
      </c>
      <c r="B16664" s="1" t="n">
        <v>45646</v>
      </c>
      <c r="C16664" s="1" t="n">
        <v>45657</v>
      </c>
      <c r="D16664" t="inlineStr">
        <is>
          <t>VÄSTERNORRLANDS LÄN</t>
        </is>
      </c>
      <c r="E16664" t="inlineStr">
        <is>
          <t>SOLLEFTEÅ</t>
        </is>
      </c>
      <c r="F16664" t="inlineStr">
        <is>
          <t>SCA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61596-2024</t>
        </is>
      </c>
      <c r="B16665" s="1" t="n">
        <v>45646</v>
      </c>
      <c r="C16665" s="1" t="n">
        <v>45657</v>
      </c>
      <c r="D16665" t="inlineStr">
        <is>
          <t>VÄSTERNORRLANDS LÄN</t>
        </is>
      </c>
      <c r="E16665" t="inlineStr">
        <is>
          <t>SUNDSVALL</t>
        </is>
      </c>
      <c r="F16665" t="inlineStr">
        <is>
          <t>SCA</t>
        </is>
      </c>
      <c r="G16665" t="n">
        <v>19.2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61633-2024</t>
        </is>
      </c>
      <c r="B16666" s="1" t="n">
        <v>45646</v>
      </c>
      <c r="C16666" s="1" t="n">
        <v>45657</v>
      </c>
      <c r="D16666" t="inlineStr">
        <is>
          <t>VÄSTERNORRLANDS LÄN</t>
        </is>
      </c>
      <c r="E16666" t="inlineStr">
        <is>
          <t>ÖRNSKÖLDSVIK</t>
        </is>
      </c>
      <c r="F16666" t="inlineStr">
        <is>
          <t>Holmen skog AB</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62094-2024</t>
        </is>
      </c>
      <c r="B16667" s="1" t="n">
        <v>45646</v>
      </c>
      <c r="C16667" s="1" t="n">
        <v>45657</v>
      </c>
      <c r="D16667" t="inlineStr">
        <is>
          <t>VÄSTERNORRLANDS LÄN</t>
        </is>
      </c>
      <c r="E16667" t="inlineStr">
        <is>
          <t>SOLLEFTEÅ</t>
        </is>
      </c>
      <c r="G16667" t="n">
        <v>4.8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61849-2024</t>
        </is>
      </c>
      <c r="B16668" s="1" t="n">
        <v>45646</v>
      </c>
      <c r="C16668" s="1" t="n">
        <v>45657</v>
      </c>
      <c r="D16668" t="inlineStr">
        <is>
          <t>VÄSTERNORRLANDS LÄN</t>
        </is>
      </c>
      <c r="E16668" t="inlineStr">
        <is>
          <t>SOLLEFTEÅ</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62144-2024</t>
        </is>
      </c>
      <c r="B16669" s="1" t="n">
        <v>45646</v>
      </c>
      <c r="C16669" s="1" t="n">
        <v>45657</v>
      </c>
      <c r="D16669" t="inlineStr">
        <is>
          <t>VÄSTERNORRLANDS LÄN</t>
        </is>
      </c>
      <c r="E16669" t="inlineStr">
        <is>
          <t>SOLLEFTEÅ</t>
        </is>
      </c>
      <c r="F16669" t="inlineStr">
        <is>
          <t>SCA</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61700-2024</t>
        </is>
      </c>
      <c r="B16670" s="1" t="n">
        <v>45647</v>
      </c>
      <c r="C16670" s="1" t="n">
        <v>45657</v>
      </c>
      <c r="D16670" t="inlineStr">
        <is>
          <t>VÄSTERNORRLANDS LÄN</t>
        </is>
      </c>
      <c r="E16670" t="inlineStr">
        <is>
          <t>ÖRNSKÖLDSVIK</t>
        </is>
      </c>
      <c r="G16670" t="n">
        <v>7.3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61699-2024</t>
        </is>
      </c>
      <c r="B16671" s="1" t="n">
        <v>45647</v>
      </c>
      <c r="C16671" s="1" t="n">
        <v>45657</v>
      </c>
      <c r="D16671" t="inlineStr">
        <is>
          <t>VÄSTERNORRLANDS LÄN</t>
        </is>
      </c>
      <c r="E16671" t="inlineStr">
        <is>
          <t>ÖRNSKÖLDSVIK</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61718-2024</t>
        </is>
      </c>
      <c r="B16672" s="1" t="n">
        <v>45649</v>
      </c>
      <c r="C16672" s="1" t="n">
        <v>45657</v>
      </c>
      <c r="D16672" t="inlineStr">
        <is>
          <t>VÄSTERNORRLANDS LÄN</t>
        </is>
      </c>
      <c r="E16672" t="inlineStr">
        <is>
          <t>ÖRNSKÖLDSVIK</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61716-2024</t>
        </is>
      </c>
      <c r="B16673" s="1" t="n">
        <v>45648</v>
      </c>
      <c r="C16673" s="1" t="n">
        <v>45657</v>
      </c>
      <c r="D16673" t="inlineStr">
        <is>
          <t>VÄSTERNORRLANDS LÄN</t>
        </is>
      </c>
      <c r="E16673" t="inlineStr">
        <is>
          <t>ÖRNSKÖLDSVIK</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61790-2024</t>
        </is>
      </c>
      <c r="B16674" s="1" t="n">
        <v>45649</v>
      </c>
      <c r="C16674" s="1" t="n">
        <v>45657</v>
      </c>
      <c r="D16674" t="inlineStr">
        <is>
          <t>VÄSTERNORRLANDS LÄN</t>
        </is>
      </c>
      <c r="E16674" t="inlineStr">
        <is>
          <t>SOLLEFTEÅ</t>
        </is>
      </c>
      <c r="F16674" t="inlineStr">
        <is>
          <t>Övriga statliga verk och myndigheter</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61831-2024</t>
        </is>
      </c>
      <c r="B16675" s="1" t="n">
        <v>45649</v>
      </c>
      <c r="C16675" s="1" t="n">
        <v>45657</v>
      </c>
      <c r="D16675" t="inlineStr">
        <is>
          <t>VÄSTERNORRLANDS LÄN</t>
        </is>
      </c>
      <c r="E16675" t="inlineStr">
        <is>
          <t>HÄRNÖSAND</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61778-2024</t>
        </is>
      </c>
      <c r="B16676" s="1" t="n">
        <v>45649</v>
      </c>
      <c r="C16676" s="1" t="n">
        <v>45657</v>
      </c>
      <c r="D16676" t="inlineStr">
        <is>
          <t>VÄSTERNORRLANDS LÄN</t>
        </is>
      </c>
      <c r="E16676" t="inlineStr">
        <is>
          <t>SOLLEFTEÅ</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61823-2024</t>
        </is>
      </c>
      <c r="B16677" s="1" t="n">
        <v>45649</v>
      </c>
      <c r="C16677" s="1" t="n">
        <v>45657</v>
      </c>
      <c r="D16677" t="inlineStr">
        <is>
          <t>VÄSTERNORRLANDS LÄN</t>
        </is>
      </c>
      <c r="E16677" t="inlineStr">
        <is>
          <t>HÄRNÖSAND</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61828-2024</t>
        </is>
      </c>
      <c r="B16678" s="1" t="n">
        <v>45649</v>
      </c>
      <c r="C16678" s="1" t="n">
        <v>45657</v>
      </c>
      <c r="D16678" t="inlineStr">
        <is>
          <t>VÄSTERNORRLANDS LÄN</t>
        </is>
      </c>
      <c r="E16678" t="inlineStr">
        <is>
          <t>HÄRNÖSAND</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61781-2024</t>
        </is>
      </c>
      <c r="B16679" s="1" t="n">
        <v>45649</v>
      </c>
      <c r="C16679" s="1" t="n">
        <v>45657</v>
      </c>
      <c r="D16679" t="inlineStr">
        <is>
          <t>VÄSTERNORRLANDS LÄN</t>
        </is>
      </c>
      <c r="E16679" t="inlineStr">
        <is>
          <t>SOLLEFTEÅ</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61821-2024</t>
        </is>
      </c>
      <c r="B16680" s="1" t="n">
        <v>45649</v>
      </c>
      <c r="C16680" s="1" t="n">
        <v>45657</v>
      </c>
      <c r="D16680" t="inlineStr">
        <is>
          <t>VÄSTERNORRLANDS LÄN</t>
        </is>
      </c>
      <c r="E16680" t="inlineStr">
        <is>
          <t>TIMRÅ</t>
        </is>
      </c>
      <c r="F16680" t="inlineStr">
        <is>
          <t>SCA</t>
        </is>
      </c>
      <c r="G16680" t="n">
        <v>5.7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61826-2024</t>
        </is>
      </c>
      <c r="B16681" s="1" t="n">
        <v>45649</v>
      </c>
      <c r="C16681" s="1" t="n">
        <v>45657</v>
      </c>
      <c r="D16681" t="inlineStr">
        <is>
          <t>VÄSTERNORRLANDS LÄN</t>
        </is>
      </c>
      <c r="E16681" t="inlineStr">
        <is>
          <t>HÄRNÖSAND</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61830-2024</t>
        </is>
      </c>
      <c r="B16682" s="1" t="n">
        <v>45649</v>
      </c>
      <c r="C16682" s="1" t="n">
        <v>45657</v>
      </c>
      <c r="D16682" t="inlineStr">
        <is>
          <t>VÄSTERNORRLANDS LÄN</t>
        </is>
      </c>
      <c r="E16682" t="inlineStr">
        <is>
          <t>HÄRNÖSAND</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61779-2024</t>
        </is>
      </c>
      <c r="B16683" s="1" t="n">
        <v>45649</v>
      </c>
      <c r="C16683" s="1" t="n">
        <v>45657</v>
      </c>
      <c r="D16683" t="inlineStr">
        <is>
          <t>VÄSTERNORRLANDS LÄN</t>
        </is>
      </c>
      <c r="E16683" t="inlineStr">
        <is>
          <t>SOLLEFTEÅ</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61784-2024</t>
        </is>
      </c>
      <c r="B16684" s="1" t="n">
        <v>45649</v>
      </c>
      <c r="C16684" s="1" t="n">
        <v>45657</v>
      </c>
      <c r="D16684" t="inlineStr">
        <is>
          <t>VÄSTERNORRLANDS LÄN</t>
        </is>
      </c>
      <c r="E16684" t="inlineStr">
        <is>
          <t>SOLLEFTEÅ</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61837-2024</t>
        </is>
      </c>
      <c r="B16685" s="1" t="n">
        <v>45649</v>
      </c>
      <c r="C16685" s="1" t="n">
        <v>45657</v>
      </c>
      <c r="D16685" t="inlineStr">
        <is>
          <t>VÄSTERNORRLANDS LÄN</t>
        </is>
      </c>
      <c r="E16685" t="inlineStr">
        <is>
          <t>SUNDSVALL</t>
        </is>
      </c>
      <c r="F16685" t="inlineStr">
        <is>
          <t>SCA</t>
        </is>
      </c>
      <c r="G16685" t="n">
        <v>9.300000000000001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61834-2024</t>
        </is>
      </c>
      <c r="B16686" s="1" t="n">
        <v>45649</v>
      </c>
      <c r="C16686" s="1" t="n">
        <v>45657</v>
      </c>
      <c r="D16686" t="inlineStr">
        <is>
          <t>VÄSTERNORRLANDS LÄN</t>
        </is>
      </c>
      <c r="E16686" t="inlineStr">
        <is>
          <t>HÄRNÖSAND</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61944-2024</t>
        </is>
      </c>
      <c r="B16687" s="1" t="n">
        <v>45653</v>
      </c>
      <c r="C16687" s="1" t="n">
        <v>45657</v>
      </c>
      <c r="D16687" t="inlineStr">
        <is>
          <t>VÄSTERNORRLANDS LÄN</t>
        </is>
      </c>
      <c r="E16687" t="inlineStr">
        <is>
          <t>ÖRNSKÖLDSVIK</t>
        </is>
      </c>
      <c r="G16687" t="n">
        <v>10.2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61995-2024</t>
        </is>
      </c>
      <c r="B16688" s="1" t="n">
        <v>45653</v>
      </c>
      <c r="C16688" s="1" t="n">
        <v>45657</v>
      </c>
      <c r="D16688" t="inlineStr">
        <is>
          <t>VÄSTERNORRLANDS LÄN</t>
        </is>
      </c>
      <c r="E16688" t="inlineStr">
        <is>
          <t>SUNDSVALL</t>
        </is>
      </c>
      <c r="G16688" t="n">
        <v>3.2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61937-2024</t>
        </is>
      </c>
      <c r="B16689" s="1" t="n">
        <v>45653</v>
      </c>
      <c r="C16689" s="1" t="n">
        <v>45657</v>
      </c>
      <c r="D16689" t="inlineStr">
        <is>
          <t>VÄSTERNORRLANDS LÄN</t>
        </is>
      </c>
      <c r="E16689" t="inlineStr">
        <is>
          <t>ÖRNSKÖLDSVIK</t>
        </is>
      </c>
      <c r="G16689" t="n">
        <v>22.5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61984-2024</t>
        </is>
      </c>
      <c r="B16690" s="1" t="n">
        <v>45653</v>
      </c>
      <c r="C16690" s="1" t="n">
        <v>45657</v>
      </c>
      <c r="D16690" t="inlineStr">
        <is>
          <t>VÄSTERNORRLANDS LÄN</t>
        </is>
      </c>
      <c r="E16690" t="inlineStr">
        <is>
          <t>KRAMFORS</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62003-2024</t>
        </is>
      </c>
      <c r="B16691" s="1" t="n">
        <v>45655</v>
      </c>
      <c r="C16691" s="1" t="n">
        <v>45657</v>
      </c>
      <c r="D16691" t="inlineStr">
        <is>
          <t>VÄSTERNORRLANDS LÄN</t>
        </is>
      </c>
      <c r="E16691" t="inlineStr">
        <is>
          <t>KRAMFORS</t>
        </is>
      </c>
      <c r="G16691" t="n">
        <v>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62110-2024</t>
        </is>
      </c>
      <c r="B16692" s="1" t="n">
        <v>45656</v>
      </c>
      <c r="C16692" s="1" t="n">
        <v>45657</v>
      </c>
      <c r="D16692" t="inlineStr">
        <is>
          <t>VÄSTERNORRLANDS LÄN</t>
        </is>
      </c>
      <c r="E16692" t="inlineStr">
        <is>
          <t>HÄRNÖSAND</t>
        </is>
      </c>
      <c r="F16692" t="inlineStr">
        <is>
          <t>SCA</t>
        </is>
      </c>
      <c r="G16692" t="n">
        <v>18.4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62083-2024</t>
        </is>
      </c>
      <c r="B16693" s="1" t="n">
        <v>45656</v>
      </c>
      <c r="C16693" s="1" t="n">
        <v>45657</v>
      </c>
      <c r="D16693" t="inlineStr">
        <is>
          <t>VÄSTERNORRLANDS LÄN</t>
        </is>
      </c>
      <c r="E16693" t="inlineStr">
        <is>
          <t>KRAMFORS</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62133-2024</t>
        </is>
      </c>
      <c r="B16694" s="1" t="n">
        <v>45656</v>
      </c>
      <c r="C16694" s="1" t="n">
        <v>45657</v>
      </c>
      <c r="D16694" t="inlineStr">
        <is>
          <t>VÄSTERNORRLANDS LÄN</t>
        </is>
      </c>
      <c r="E16694" t="inlineStr">
        <is>
          <t>TIMRÅ</t>
        </is>
      </c>
      <c r="F16694" t="inlineStr">
        <is>
          <t>SCA</t>
        </is>
      </c>
      <c r="G16694" t="n">
        <v>3.6</v>
      </c>
      <c r="H16694" t="n">
        <v>0</v>
      </c>
      <c r="I16694" t="n">
        <v>0</v>
      </c>
      <c r="J16694" t="n">
        <v>0</v>
      </c>
      <c r="K16694" t="n">
        <v>0</v>
      </c>
      <c r="L16694" t="n">
        <v>0</v>
      </c>
      <c r="M16694" t="n">
        <v>0</v>
      </c>
      <c r="N16694" t="n">
        <v>0</v>
      </c>
      <c r="O16694" t="n">
        <v>0</v>
      </c>
      <c r="P16694" t="n">
        <v>0</v>
      </c>
      <c r="Q16694" t="n">
        <v>0</v>
      </c>
      <c r="R16694" s="2" t="inlineStr"/>
    </row>
    <row r="16695">
      <c r="A16695" t="inlineStr">
        <is>
          <t>A 62038-2024</t>
        </is>
      </c>
      <c r="B16695" s="1" t="n">
        <v>45656</v>
      </c>
      <c r="C16695" s="1" t="n">
        <v>45657</v>
      </c>
      <c r="D16695" t="inlineStr">
        <is>
          <t>VÄSTERNORRLANDS LÄN</t>
        </is>
      </c>
      <c r="E16695" t="inlineStr">
        <is>
          <t>SOLLEFTEÅ</t>
        </is>
      </c>
      <c r="F16695" t="inlineStr">
        <is>
          <t>SCA</t>
        </is>
      </c>
      <c r="G16695" t="n">
        <v>1.5</v>
      </c>
      <c r="H16695" t="n">
        <v>0</v>
      </c>
      <c r="I16695" t="n">
        <v>0</v>
      </c>
      <c r="J16695" t="n">
        <v>0</v>
      </c>
      <c r="K16695" t="n">
        <v>0</v>
      </c>
      <c r="L16695" t="n">
        <v>0</v>
      </c>
      <c r="M16695" t="n">
        <v>0</v>
      </c>
      <c r="N16695" t="n">
        <v>0</v>
      </c>
      <c r="O16695" t="n">
        <v>0</v>
      </c>
      <c r="P16695" t="n">
        <v>0</v>
      </c>
      <c r="Q16695" t="n">
        <v>0</v>
      </c>
      <c r="R16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2024-12-31T15:45:57Z</dcterms:created>
  <dcterms:modified xmlns:dcterms="http://purl.org/dc/terms/" xmlns:xsi="http://www.w3.org/2001/XMLSchema-instance" xsi:type="dcterms:W3CDTF">2024-12-31T15:46:11Z</dcterms:modified>
</cp:coreProperties>
</file>