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22669-2025</t>
        </is>
      </c>
      <c r="B2" s="1" t="n">
        <v>45789</v>
      </c>
      <c r="C2" s="1" t="n">
        <v>45955</v>
      </c>
      <c r="D2" t="inlineStr">
        <is>
          <t>VÄSTERNORRLANDS LÄN</t>
        </is>
      </c>
      <c r="E2" t="inlineStr">
        <is>
          <t>TIMRÅ</t>
        </is>
      </c>
      <c r="F2" t="inlineStr">
        <is>
          <t>SCA</t>
        </is>
      </c>
      <c r="G2" t="n">
        <v>12.4</v>
      </c>
      <c r="H2" t="n">
        <v>1</v>
      </c>
      <c r="I2" t="n">
        <v>3</v>
      </c>
      <c r="J2" t="n">
        <v>9</v>
      </c>
      <c r="K2" t="n">
        <v>2</v>
      </c>
      <c r="L2" t="n">
        <v>0</v>
      </c>
      <c r="M2" t="n">
        <v>0</v>
      </c>
      <c r="N2" t="n">
        <v>0</v>
      </c>
      <c r="O2" t="n">
        <v>11</v>
      </c>
      <c r="P2" t="n">
        <v>2</v>
      </c>
      <c r="Q2" t="n">
        <v>14</v>
      </c>
      <c r="R2" s="2" t="inlineStr">
        <is>
          <t>Aspgelélav
Ulltickeporing
Brunpudrad nållav
Gammelgransskål
Garnlav
Harticka
Lunglav
Talltita
Ullticka
Veckticka
Vitgrynig nållav
Korallblylav
Rävticka
Stor aspticka</t>
        </is>
      </c>
      <c r="S2">
        <f>HYPERLINK("https://klasma.github.io/Logging_2262/artfynd/A 22669-2025 artfynd.xlsx", "A 22669-2025")</f>
        <v/>
      </c>
      <c r="T2">
        <f>HYPERLINK("https://klasma.github.io/Logging_2262/kartor/A 22669-2025 karta.png", "A 22669-2025")</f>
        <v/>
      </c>
      <c r="V2">
        <f>HYPERLINK("https://klasma.github.io/Logging_2262/klagomål/A 22669-2025 FSC-klagomål.docx", "A 22669-2025")</f>
        <v/>
      </c>
      <c r="W2">
        <f>HYPERLINK("https://klasma.github.io/Logging_2262/klagomålsmail/A 22669-2025 FSC-klagomål mail.docx", "A 22669-2025")</f>
        <v/>
      </c>
      <c r="X2">
        <f>HYPERLINK("https://klasma.github.io/Logging_2262/tillsyn/A 22669-2025 tillsynsbegäran.docx", "A 22669-2025")</f>
        <v/>
      </c>
      <c r="Y2">
        <f>HYPERLINK("https://klasma.github.io/Logging_2262/tillsynsmail/A 22669-2025 tillsynsbegäran mail.docx", "A 22669-2025")</f>
        <v/>
      </c>
      <c r="Z2">
        <f>HYPERLINK("https://klasma.github.io/Logging_2262/fåglar/A 22669-2025 prioriterade fågelarter.docx", "A 22669-2025")</f>
        <v/>
      </c>
    </row>
    <row r="3" ht="15" customHeight="1">
      <c r="A3" t="inlineStr">
        <is>
          <t>A 23762-2025</t>
        </is>
      </c>
      <c r="B3" s="1" t="n">
        <v>45793</v>
      </c>
      <c r="C3" s="1" t="n">
        <v>45955</v>
      </c>
      <c r="D3" t="inlineStr">
        <is>
          <t>VÄSTERNORRLANDS LÄN</t>
        </is>
      </c>
      <c r="E3" t="inlineStr">
        <is>
          <t>TIMRÅ</t>
        </is>
      </c>
      <c r="F3" t="inlineStr">
        <is>
          <t>SCA</t>
        </is>
      </c>
      <c r="G3" t="n">
        <v>15.8</v>
      </c>
      <c r="H3" t="n">
        <v>1</v>
      </c>
      <c r="I3" t="n">
        <v>3</v>
      </c>
      <c r="J3" t="n">
        <v>6</v>
      </c>
      <c r="K3" t="n">
        <v>4</v>
      </c>
      <c r="L3" t="n">
        <v>0</v>
      </c>
      <c r="M3" t="n">
        <v>0</v>
      </c>
      <c r="N3" t="n">
        <v>0</v>
      </c>
      <c r="O3" t="n">
        <v>10</v>
      </c>
      <c r="P3" t="n">
        <v>4</v>
      </c>
      <c r="Q3" t="n">
        <v>13</v>
      </c>
      <c r="R3" s="2" t="inlineStr">
        <is>
          <t>Aspgelélav
Knärot
Liten hornflikmossa
Rynkskinn
Garnlav
Granticka
Lunglav
Rosenticka
Ullticka
Violettgrå tagellav
Korallblylav
Skinnlav
Stuplav</t>
        </is>
      </c>
      <c r="S3">
        <f>HYPERLINK("https://klasma.github.io/Logging_2262/artfynd/A 23762-2025 artfynd.xlsx", "A 23762-2025")</f>
        <v/>
      </c>
      <c r="T3">
        <f>HYPERLINK("https://klasma.github.io/Logging_2262/kartor/A 23762-2025 karta.png", "A 23762-2025")</f>
        <v/>
      </c>
      <c r="U3">
        <f>HYPERLINK("https://klasma.github.io/Logging_2262/knärot/A 23762-2025 karta knärot.png", "A 23762-2025")</f>
        <v/>
      </c>
      <c r="V3">
        <f>HYPERLINK("https://klasma.github.io/Logging_2262/klagomål/A 23762-2025 FSC-klagomål.docx", "A 23762-2025")</f>
        <v/>
      </c>
      <c r="W3">
        <f>HYPERLINK("https://klasma.github.io/Logging_2262/klagomålsmail/A 23762-2025 FSC-klagomål mail.docx", "A 23762-2025")</f>
        <v/>
      </c>
      <c r="X3">
        <f>HYPERLINK("https://klasma.github.io/Logging_2262/tillsyn/A 23762-2025 tillsynsbegäran.docx", "A 23762-2025")</f>
        <v/>
      </c>
      <c r="Y3">
        <f>HYPERLINK("https://klasma.github.io/Logging_2262/tillsynsmail/A 23762-2025 tillsynsbegäran mail.docx", "A 23762-2025")</f>
        <v/>
      </c>
    </row>
    <row r="4" ht="15" customHeight="1">
      <c r="A4" t="inlineStr">
        <is>
          <t>A 46081-2025</t>
        </is>
      </c>
      <c r="B4" s="1" t="n">
        <v>45924.5112037037</v>
      </c>
      <c r="C4" s="1" t="n">
        <v>45955</v>
      </c>
      <c r="D4" t="inlineStr">
        <is>
          <t>VÄSTERNORRLANDS LÄN</t>
        </is>
      </c>
      <c r="E4" t="inlineStr">
        <is>
          <t>TIMRÅ</t>
        </is>
      </c>
      <c r="F4" t="inlineStr">
        <is>
          <t>SCA</t>
        </is>
      </c>
      <c r="G4" t="n">
        <v>14.2</v>
      </c>
      <c r="H4" t="n">
        <v>1</v>
      </c>
      <c r="I4" t="n">
        <v>2</v>
      </c>
      <c r="J4" t="n">
        <v>9</v>
      </c>
      <c r="K4" t="n">
        <v>1</v>
      </c>
      <c r="L4" t="n">
        <v>0</v>
      </c>
      <c r="M4" t="n">
        <v>0</v>
      </c>
      <c r="N4" t="n">
        <v>0</v>
      </c>
      <c r="O4" t="n">
        <v>10</v>
      </c>
      <c r="P4" t="n">
        <v>1</v>
      </c>
      <c r="Q4" t="n">
        <v>12</v>
      </c>
      <c r="R4" s="2" t="inlineStr">
        <is>
          <t>Knärot
Blå taggsvamp
Dvärgbägarlav
Garnlav
Kolflarnlav
Kortskaftad ärgspik
Motaggsvamp
Svartvit taggsvamp
Vaddporing
Vedskivlav
Dropptaggsvamp
Skinnlav</t>
        </is>
      </c>
      <c r="S4">
        <f>HYPERLINK("https://klasma.github.io/Logging_2262/artfynd/A 46081-2025 artfynd.xlsx", "A 46081-2025")</f>
        <v/>
      </c>
      <c r="T4">
        <f>HYPERLINK("https://klasma.github.io/Logging_2262/kartor/A 46081-2025 karta.png", "A 46081-2025")</f>
        <v/>
      </c>
      <c r="U4">
        <f>HYPERLINK("https://klasma.github.io/Logging_2262/knärot/A 46081-2025 karta knärot.png", "A 46081-2025")</f>
        <v/>
      </c>
      <c r="V4">
        <f>HYPERLINK("https://klasma.github.io/Logging_2262/klagomål/A 46081-2025 FSC-klagomål.docx", "A 46081-2025")</f>
        <v/>
      </c>
      <c r="W4">
        <f>HYPERLINK("https://klasma.github.io/Logging_2262/klagomålsmail/A 46081-2025 FSC-klagomål mail.docx", "A 46081-2025")</f>
        <v/>
      </c>
      <c r="X4">
        <f>HYPERLINK("https://klasma.github.io/Logging_2262/tillsyn/A 46081-2025 tillsynsbegäran.docx", "A 46081-2025")</f>
        <v/>
      </c>
      <c r="Y4">
        <f>HYPERLINK("https://klasma.github.io/Logging_2262/tillsynsmail/A 46081-2025 tillsynsbegäran mail.docx", "A 46081-2025")</f>
        <v/>
      </c>
    </row>
    <row r="5" ht="15" customHeight="1">
      <c r="A5" t="inlineStr">
        <is>
          <t>A 37600-2022</t>
        </is>
      </c>
      <c r="B5" s="1" t="n">
        <v>44809</v>
      </c>
      <c r="C5" s="1" t="n">
        <v>45955</v>
      </c>
      <c r="D5" t="inlineStr">
        <is>
          <t>VÄSTERNORRLANDS LÄN</t>
        </is>
      </c>
      <c r="E5" t="inlineStr">
        <is>
          <t>TIMRÅ</t>
        </is>
      </c>
      <c r="F5" t="inlineStr">
        <is>
          <t>Kommuner</t>
        </is>
      </c>
      <c r="G5" t="n">
        <v>70.2</v>
      </c>
      <c r="H5" t="n">
        <v>3</v>
      </c>
      <c r="I5" t="n">
        <v>5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12</v>
      </c>
      <c r="R5" s="2" t="inlineStr">
        <is>
          <t>Glesgröe
Garnlav
Mindre purpurmätare
Sotnätfjäril
Dvärghäxört
Mörk husmossa
Spindelbock
Spädstarr
Vedticka
Tjäder
Nattviol
Blåsippa</t>
        </is>
      </c>
      <c r="S5">
        <f>HYPERLINK("https://klasma.github.io/Logging_2262/artfynd/A 37600-2022 artfynd.xlsx", "A 37600-2022")</f>
        <v/>
      </c>
      <c r="T5">
        <f>HYPERLINK("https://klasma.github.io/Logging_2262/kartor/A 37600-2022 karta.png", "A 37600-2022")</f>
        <v/>
      </c>
      <c r="V5">
        <f>HYPERLINK("https://klasma.github.io/Logging_2262/klagomål/A 37600-2022 FSC-klagomål.docx", "A 37600-2022")</f>
        <v/>
      </c>
      <c r="W5">
        <f>HYPERLINK("https://klasma.github.io/Logging_2262/klagomålsmail/A 37600-2022 FSC-klagomål mail.docx", "A 37600-2022")</f>
        <v/>
      </c>
      <c r="X5">
        <f>HYPERLINK("https://klasma.github.io/Logging_2262/tillsyn/A 37600-2022 tillsynsbegäran.docx", "A 37600-2022")</f>
        <v/>
      </c>
      <c r="Y5">
        <f>HYPERLINK("https://klasma.github.io/Logging_2262/tillsynsmail/A 37600-2022 tillsynsbegäran mail.docx", "A 37600-2022")</f>
        <v/>
      </c>
      <c r="Z5">
        <f>HYPERLINK("https://klasma.github.io/Logging_2262/fåglar/A 37600-2022 prioriterade fågelarter.docx", "A 37600-2022")</f>
        <v/>
      </c>
    </row>
    <row r="6" ht="15" customHeight="1">
      <c r="A6" t="inlineStr">
        <is>
          <t>A 34225-2025</t>
        </is>
      </c>
      <c r="B6" s="1" t="n">
        <v>45845.65666666667</v>
      </c>
      <c r="C6" s="1" t="n">
        <v>45955</v>
      </c>
      <c r="D6" t="inlineStr">
        <is>
          <t>VÄSTERNORRLANDS LÄN</t>
        </is>
      </c>
      <c r="E6" t="inlineStr">
        <is>
          <t>TIMRÅ</t>
        </is>
      </c>
      <c r="F6" t="inlineStr">
        <is>
          <t>SCA</t>
        </is>
      </c>
      <c r="G6" t="n">
        <v>2.8</v>
      </c>
      <c r="H6" t="n">
        <v>0</v>
      </c>
      <c r="I6" t="n">
        <v>3</v>
      </c>
      <c r="J6" t="n">
        <v>8</v>
      </c>
      <c r="K6" t="n">
        <v>0</v>
      </c>
      <c r="L6" t="n">
        <v>0</v>
      </c>
      <c r="M6" t="n">
        <v>0</v>
      </c>
      <c r="N6" t="n">
        <v>0</v>
      </c>
      <c r="O6" t="n">
        <v>8</v>
      </c>
      <c r="P6" t="n">
        <v>0</v>
      </c>
      <c r="Q6" t="n">
        <v>11</v>
      </c>
      <c r="R6" s="2" t="inlineStr">
        <is>
          <t>Doftskinn
Garnlav
Kortskaftad ärgspik
Lunglav
Motaggsvamp
Ullticka
Vedskivlav
Vedtrappmossa
Bårdlav
Stuplav
Vedticka</t>
        </is>
      </c>
      <c r="S6">
        <f>HYPERLINK("https://klasma.github.io/Logging_2262/artfynd/A 34225-2025 artfynd.xlsx", "A 34225-2025")</f>
        <v/>
      </c>
      <c r="T6">
        <f>HYPERLINK("https://klasma.github.io/Logging_2262/kartor/A 34225-2025 karta.png", "A 34225-2025")</f>
        <v/>
      </c>
      <c r="V6">
        <f>HYPERLINK("https://klasma.github.io/Logging_2262/klagomål/A 34225-2025 FSC-klagomål.docx", "A 34225-2025")</f>
        <v/>
      </c>
      <c r="W6">
        <f>HYPERLINK("https://klasma.github.io/Logging_2262/klagomålsmail/A 34225-2025 FSC-klagomål mail.docx", "A 34225-2025")</f>
        <v/>
      </c>
      <c r="X6">
        <f>HYPERLINK("https://klasma.github.io/Logging_2262/tillsyn/A 34225-2025 tillsynsbegäran.docx", "A 34225-2025")</f>
        <v/>
      </c>
      <c r="Y6">
        <f>HYPERLINK("https://klasma.github.io/Logging_2262/tillsynsmail/A 34225-2025 tillsynsbegäran mail.docx", "A 34225-2025")</f>
        <v/>
      </c>
    </row>
    <row r="7" ht="15" customHeight="1">
      <c r="A7" t="inlineStr">
        <is>
          <t>A 11025-2025</t>
        </is>
      </c>
      <c r="B7" s="1" t="n">
        <v>45723.46942129629</v>
      </c>
      <c r="C7" s="1" t="n">
        <v>45955</v>
      </c>
      <c r="D7" t="inlineStr">
        <is>
          <t>VÄSTERNORRLANDS LÄN</t>
        </is>
      </c>
      <c r="E7" t="inlineStr">
        <is>
          <t>TIMRÅ</t>
        </is>
      </c>
      <c r="F7" t="inlineStr">
        <is>
          <t>SCA</t>
        </is>
      </c>
      <c r="G7" t="n">
        <v>6.9</v>
      </c>
      <c r="H7" t="n">
        <v>3</v>
      </c>
      <c r="I7" t="n">
        <v>1</v>
      </c>
      <c r="J7" t="n">
        <v>9</v>
      </c>
      <c r="K7" t="n">
        <v>0</v>
      </c>
      <c r="L7" t="n">
        <v>0</v>
      </c>
      <c r="M7" t="n">
        <v>0</v>
      </c>
      <c r="N7" t="n">
        <v>0</v>
      </c>
      <c r="O7" t="n">
        <v>9</v>
      </c>
      <c r="P7" t="n">
        <v>0</v>
      </c>
      <c r="Q7" t="n">
        <v>11</v>
      </c>
      <c r="R7" s="2" t="inlineStr">
        <is>
          <t>Doftskinn
Gammelgransskål
Garnlav
Lunglav
Rosenticka
Spillkråka
Stjärntagging
Tretåig hackspett
Ullticka
Vedticka
Revlummer</t>
        </is>
      </c>
      <c r="S7">
        <f>HYPERLINK("https://klasma.github.io/Logging_2262/artfynd/A 11025-2025 artfynd.xlsx", "A 11025-2025")</f>
        <v/>
      </c>
      <c r="T7">
        <f>HYPERLINK("https://klasma.github.io/Logging_2262/kartor/A 11025-2025 karta.png", "A 11025-2025")</f>
        <v/>
      </c>
      <c r="V7">
        <f>HYPERLINK("https://klasma.github.io/Logging_2262/klagomål/A 11025-2025 FSC-klagomål.docx", "A 11025-2025")</f>
        <v/>
      </c>
      <c r="W7">
        <f>HYPERLINK("https://klasma.github.io/Logging_2262/klagomålsmail/A 11025-2025 FSC-klagomål mail.docx", "A 11025-2025")</f>
        <v/>
      </c>
      <c r="X7">
        <f>HYPERLINK("https://klasma.github.io/Logging_2262/tillsyn/A 11025-2025 tillsynsbegäran.docx", "A 11025-2025")</f>
        <v/>
      </c>
      <c r="Y7">
        <f>HYPERLINK("https://klasma.github.io/Logging_2262/tillsynsmail/A 11025-2025 tillsynsbegäran mail.docx", "A 11025-2025")</f>
        <v/>
      </c>
      <c r="Z7">
        <f>HYPERLINK("https://klasma.github.io/Logging_2262/fåglar/A 11025-2025 prioriterade fågelarter.docx", "A 11025-2025")</f>
        <v/>
      </c>
    </row>
    <row r="8" ht="15" customHeight="1">
      <c r="A8" t="inlineStr">
        <is>
          <t>A 55927-2023</t>
        </is>
      </c>
      <c r="B8" s="1" t="n">
        <v>45239</v>
      </c>
      <c r="C8" s="1" t="n">
        <v>45955</v>
      </c>
      <c r="D8" t="inlineStr">
        <is>
          <t>VÄSTERNORRLANDS LÄN</t>
        </is>
      </c>
      <c r="E8" t="inlineStr">
        <is>
          <t>TIMRÅ</t>
        </is>
      </c>
      <c r="F8" t="inlineStr">
        <is>
          <t>SCA</t>
        </is>
      </c>
      <c r="G8" t="n">
        <v>18.6</v>
      </c>
      <c r="H8" t="n">
        <v>4</v>
      </c>
      <c r="I8" t="n">
        <v>2</v>
      </c>
      <c r="J8" t="n">
        <v>5</v>
      </c>
      <c r="K8" t="n">
        <v>2</v>
      </c>
      <c r="L8" t="n">
        <v>0</v>
      </c>
      <c r="M8" t="n">
        <v>0</v>
      </c>
      <c r="N8" t="n">
        <v>0</v>
      </c>
      <c r="O8" t="n">
        <v>7</v>
      </c>
      <c r="P8" t="n">
        <v>2</v>
      </c>
      <c r="Q8" t="n">
        <v>10</v>
      </c>
      <c r="R8" s="2" t="inlineStr">
        <is>
          <t>Knärot
Långskägg
Garnlav
Lunglav
Stiftgelélav
Tretåig hackspett
Veckticka
Korallblylav
Skinnlav
Blåsippa</t>
        </is>
      </c>
      <c r="S8">
        <f>HYPERLINK("https://klasma.github.io/Logging_2262/artfynd/A 55927-2023 artfynd.xlsx", "A 55927-2023")</f>
        <v/>
      </c>
      <c r="T8">
        <f>HYPERLINK("https://klasma.github.io/Logging_2262/kartor/A 55927-2023 karta.png", "A 55927-2023")</f>
        <v/>
      </c>
      <c r="U8">
        <f>HYPERLINK("https://klasma.github.io/Logging_2262/knärot/A 55927-2023 karta knärot.png", "A 55927-2023")</f>
        <v/>
      </c>
      <c r="V8">
        <f>HYPERLINK("https://klasma.github.io/Logging_2262/klagomål/A 55927-2023 FSC-klagomål.docx", "A 55927-2023")</f>
        <v/>
      </c>
      <c r="W8">
        <f>HYPERLINK("https://klasma.github.io/Logging_2262/klagomålsmail/A 55927-2023 FSC-klagomål mail.docx", "A 55927-2023")</f>
        <v/>
      </c>
      <c r="X8">
        <f>HYPERLINK("https://klasma.github.io/Logging_2262/tillsyn/A 55927-2023 tillsynsbegäran.docx", "A 55927-2023")</f>
        <v/>
      </c>
      <c r="Y8">
        <f>HYPERLINK("https://klasma.github.io/Logging_2262/tillsynsmail/A 55927-2023 tillsynsbegäran mail.docx", "A 55927-2023")</f>
        <v/>
      </c>
      <c r="Z8">
        <f>HYPERLINK("https://klasma.github.io/Logging_2262/fåglar/A 55927-2023 prioriterade fågelarter.docx", "A 55927-2023")</f>
        <v/>
      </c>
    </row>
    <row r="9" ht="15" customHeight="1">
      <c r="A9" t="inlineStr">
        <is>
          <t>A 30267-2025</t>
        </is>
      </c>
      <c r="B9" s="1" t="n">
        <v>45827</v>
      </c>
      <c r="C9" s="1" t="n">
        <v>45955</v>
      </c>
      <c r="D9" t="inlineStr">
        <is>
          <t>VÄSTERNORRLANDS LÄN</t>
        </is>
      </c>
      <c r="E9" t="inlineStr">
        <is>
          <t>TIMRÅ</t>
        </is>
      </c>
      <c r="F9" t="inlineStr">
        <is>
          <t>SCA</t>
        </is>
      </c>
      <c r="G9" t="n">
        <v>6.1</v>
      </c>
      <c r="H9" t="n">
        <v>4</v>
      </c>
      <c r="I9" t="n">
        <v>1</v>
      </c>
      <c r="J9" t="n">
        <v>6</v>
      </c>
      <c r="K9" t="n">
        <v>1</v>
      </c>
      <c r="L9" t="n">
        <v>0</v>
      </c>
      <c r="M9" t="n">
        <v>0</v>
      </c>
      <c r="N9" t="n">
        <v>0</v>
      </c>
      <c r="O9" t="n">
        <v>7</v>
      </c>
      <c r="P9" t="n">
        <v>1</v>
      </c>
      <c r="Q9" t="n">
        <v>10</v>
      </c>
      <c r="R9" s="2" t="inlineStr">
        <is>
          <t>Knärot
Doftskinn
Garnlav
Lunglav
Rosenticka
Tretåig hackspett
Ullticka
Vedticka
Fläcknycklar
Revlummer</t>
        </is>
      </c>
      <c r="S9">
        <f>HYPERLINK("https://klasma.github.io/Logging_2262/artfynd/A 30267-2025 artfynd.xlsx", "A 30267-2025")</f>
        <v/>
      </c>
      <c r="T9">
        <f>HYPERLINK("https://klasma.github.io/Logging_2262/kartor/A 30267-2025 karta.png", "A 30267-2025")</f>
        <v/>
      </c>
      <c r="U9">
        <f>HYPERLINK("https://klasma.github.io/Logging_2262/knärot/A 30267-2025 karta knärot.png", "A 30267-2025")</f>
        <v/>
      </c>
      <c r="V9">
        <f>HYPERLINK("https://klasma.github.io/Logging_2262/klagomål/A 30267-2025 FSC-klagomål.docx", "A 30267-2025")</f>
        <v/>
      </c>
      <c r="W9">
        <f>HYPERLINK("https://klasma.github.io/Logging_2262/klagomålsmail/A 30267-2025 FSC-klagomål mail.docx", "A 30267-2025")</f>
        <v/>
      </c>
      <c r="X9">
        <f>HYPERLINK("https://klasma.github.io/Logging_2262/tillsyn/A 30267-2025 tillsynsbegäran.docx", "A 30267-2025")</f>
        <v/>
      </c>
      <c r="Y9">
        <f>HYPERLINK("https://klasma.github.io/Logging_2262/tillsynsmail/A 30267-2025 tillsynsbegäran mail.docx", "A 30267-2025")</f>
        <v/>
      </c>
      <c r="Z9">
        <f>HYPERLINK("https://klasma.github.io/Logging_2262/fåglar/A 30267-2025 prioriterade fågelarter.docx", "A 30267-2025")</f>
        <v/>
      </c>
    </row>
    <row r="10" ht="15" customHeight="1">
      <c r="A10" t="inlineStr">
        <is>
          <t>A 22204-2025</t>
        </is>
      </c>
      <c r="B10" s="1" t="n">
        <v>45785.65672453704</v>
      </c>
      <c r="C10" s="1" t="n">
        <v>45955</v>
      </c>
      <c r="D10" t="inlineStr">
        <is>
          <t>VÄSTERNORRLANDS LÄN</t>
        </is>
      </c>
      <c r="E10" t="inlineStr">
        <is>
          <t>TIMRÅ</t>
        </is>
      </c>
      <c r="F10" t="inlineStr">
        <is>
          <t>SCA</t>
        </is>
      </c>
      <c r="G10" t="n">
        <v>7.1</v>
      </c>
      <c r="H10" t="n">
        <v>2</v>
      </c>
      <c r="I10" t="n">
        <v>4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9</v>
      </c>
      <c r="R10" s="2" t="inlineStr">
        <is>
          <t>Garnlav
Rosenticka
Tretåig hackspett
Ullticka
Bårdlav
Stuplav
Trådticka
Vedticka
Fläcknycklar</t>
        </is>
      </c>
      <c r="S10">
        <f>HYPERLINK("https://klasma.github.io/Logging_2262/artfynd/A 22204-2025 artfynd.xlsx", "A 22204-2025")</f>
        <v/>
      </c>
      <c r="T10">
        <f>HYPERLINK("https://klasma.github.io/Logging_2262/kartor/A 22204-2025 karta.png", "A 22204-2025")</f>
        <v/>
      </c>
      <c r="V10">
        <f>HYPERLINK("https://klasma.github.io/Logging_2262/klagomål/A 22204-2025 FSC-klagomål.docx", "A 22204-2025")</f>
        <v/>
      </c>
      <c r="W10">
        <f>HYPERLINK("https://klasma.github.io/Logging_2262/klagomålsmail/A 22204-2025 FSC-klagomål mail.docx", "A 22204-2025")</f>
        <v/>
      </c>
      <c r="X10">
        <f>HYPERLINK("https://klasma.github.io/Logging_2262/tillsyn/A 22204-2025 tillsynsbegäran.docx", "A 22204-2025")</f>
        <v/>
      </c>
      <c r="Y10">
        <f>HYPERLINK("https://klasma.github.io/Logging_2262/tillsynsmail/A 22204-2025 tillsynsbegäran mail.docx", "A 22204-2025")</f>
        <v/>
      </c>
      <c r="Z10">
        <f>HYPERLINK("https://klasma.github.io/Logging_2262/fåglar/A 22204-2025 prioriterade fågelarter.docx", "A 22204-2025")</f>
        <v/>
      </c>
    </row>
    <row r="11" ht="15" customHeight="1">
      <c r="A11" t="inlineStr">
        <is>
          <t>A 17976-2025</t>
        </is>
      </c>
      <c r="B11" s="1" t="n">
        <v>45761</v>
      </c>
      <c r="C11" s="1" t="n">
        <v>45955</v>
      </c>
      <c r="D11" t="inlineStr">
        <is>
          <t>VÄSTERNORRLANDS LÄN</t>
        </is>
      </c>
      <c r="E11" t="inlineStr">
        <is>
          <t>TIMRÅ</t>
        </is>
      </c>
      <c r="F11" t="inlineStr">
        <is>
          <t>SCA</t>
        </is>
      </c>
      <c r="G11" t="n">
        <v>6.5</v>
      </c>
      <c r="H11" t="n">
        <v>1</v>
      </c>
      <c r="I11" t="n">
        <v>0</v>
      </c>
      <c r="J11" t="n">
        <v>6</v>
      </c>
      <c r="K11" t="n">
        <v>3</v>
      </c>
      <c r="L11" t="n">
        <v>0</v>
      </c>
      <c r="M11" t="n">
        <v>0</v>
      </c>
      <c r="N11" t="n">
        <v>0</v>
      </c>
      <c r="O11" t="n">
        <v>9</v>
      </c>
      <c r="P11" t="n">
        <v>3</v>
      </c>
      <c r="Q11" t="n">
        <v>9</v>
      </c>
      <c r="R11" s="2" t="inlineStr">
        <is>
          <t>Gräddporing
Knärot
Rynkskinn
Garnlav
Kolflarnlav
Lunglav
Rosenticka
Ullticka
Violettgrå tagellav</t>
        </is>
      </c>
      <c r="S11">
        <f>HYPERLINK("https://klasma.github.io/Logging_2262/artfynd/A 17976-2025 artfynd.xlsx", "A 17976-2025")</f>
        <v/>
      </c>
      <c r="T11">
        <f>HYPERLINK("https://klasma.github.io/Logging_2262/kartor/A 17976-2025 karta.png", "A 17976-2025")</f>
        <v/>
      </c>
      <c r="U11">
        <f>HYPERLINK("https://klasma.github.io/Logging_2262/knärot/A 17976-2025 karta knärot.png", "A 17976-2025")</f>
        <v/>
      </c>
      <c r="V11">
        <f>HYPERLINK("https://klasma.github.io/Logging_2262/klagomål/A 17976-2025 FSC-klagomål.docx", "A 17976-2025")</f>
        <v/>
      </c>
      <c r="W11">
        <f>HYPERLINK("https://klasma.github.io/Logging_2262/klagomålsmail/A 17976-2025 FSC-klagomål mail.docx", "A 17976-2025")</f>
        <v/>
      </c>
      <c r="X11">
        <f>HYPERLINK("https://klasma.github.io/Logging_2262/tillsyn/A 17976-2025 tillsynsbegäran.docx", "A 17976-2025")</f>
        <v/>
      </c>
      <c r="Y11">
        <f>HYPERLINK("https://klasma.github.io/Logging_2262/tillsynsmail/A 17976-2025 tillsynsbegäran mail.docx", "A 17976-2025")</f>
        <v/>
      </c>
    </row>
    <row r="12" ht="15" customHeight="1">
      <c r="A12" t="inlineStr">
        <is>
          <t>A 46080-2025</t>
        </is>
      </c>
      <c r="B12" s="1" t="n">
        <v>45924.51101851852</v>
      </c>
      <c r="C12" s="1" t="n">
        <v>45955</v>
      </c>
      <c r="D12" t="inlineStr">
        <is>
          <t>VÄSTERNORRLANDS LÄN</t>
        </is>
      </c>
      <c r="E12" t="inlineStr">
        <is>
          <t>TIMRÅ</t>
        </is>
      </c>
      <c r="F12" t="inlineStr">
        <is>
          <t>SCA</t>
        </is>
      </c>
      <c r="G12" t="n">
        <v>1.3</v>
      </c>
      <c r="H12" t="n">
        <v>0</v>
      </c>
      <c r="I12" t="n">
        <v>1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Smalfotad taggsvamp
Dvärgbägarlav
Garnlav
Kolflarnlav
Kortskaftad ärgspik
Mörk kolflarnlav
Vaddporing
Vedskivlav
Dropptaggsvamp</t>
        </is>
      </c>
      <c r="S12">
        <f>HYPERLINK("https://klasma.github.io/Logging_2262/artfynd/A 46080-2025 artfynd.xlsx", "A 46080-2025")</f>
        <v/>
      </c>
      <c r="T12">
        <f>HYPERLINK("https://klasma.github.io/Logging_2262/kartor/A 46080-2025 karta.png", "A 46080-2025")</f>
        <v/>
      </c>
      <c r="V12">
        <f>HYPERLINK("https://klasma.github.io/Logging_2262/klagomål/A 46080-2025 FSC-klagomål.docx", "A 46080-2025")</f>
        <v/>
      </c>
      <c r="W12">
        <f>HYPERLINK("https://klasma.github.io/Logging_2262/klagomålsmail/A 46080-2025 FSC-klagomål mail.docx", "A 46080-2025")</f>
        <v/>
      </c>
      <c r="X12">
        <f>HYPERLINK("https://klasma.github.io/Logging_2262/tillsyn/A 46080-2025 tillsynsbegäran.docx", "A 46080-2025")</f>
        <v/>
      </c>
      <c r="Y12">
        <f>HYPERLINK("https://klasma.github.io/Logging_2262/tillsynsmail/A 46080-2025 tillsynsbegäran mail.docx", "A 46080-2025")</f>
        <v/>
      </c>
    </row>
    <row r="13" ht="15" customHeight="1">
      <c r="A13" t="inlineStr">
        <is>
          <t>A 22377-2025</t>
        </is>
      </c>
      <c r="B13" s="1" t="n">
        <v>45786</v>
      </c>
      <c r="C13" s="1" t="n">
        <v>45955</v>
      </c>
      <c r="D13" t="inlineStr">
        <is>
          <t>VÄSTERNORRLANDS LÄN</t>
        </is>
      </c>
      <c r="E13" t="inlineStr">
        <is>
          <t>TIMRÅ</t>
        </is>
      </c>
      <c r="F13" t="inlineStr">
        <is>
          <t>SCA</t>
        </is>
      </c>
      <c r="G13" t="n">
        <v>10.1</v>
      </c>
      <c r="H13" t="n">
        <v>0</v>
      </c>
      <c r="I13" t="n">
        <v>2</v>
      </c>
      <c r="J13" t="n">
        <v>5</v>
      </c>
      <c r="K13" t="n">
        <v>0</v>
      </c>
      <c r="L13" t="n">
        <v>0</v>
      </c>
      <c r="M13" t="n">
        <v>0</v>
      </c>
      <c r="N13" t="n">
        <v>0</v>
      </c>
      <c r="O13" t="n">
        <v>5</v>
      </c>
      <c r="P13" t="n">
        <v>0</v>
      </c>
      <c r="Q13" t="n">
        <v>7</v>
      </c>
      <c r="R13" s="2" t="inlineStr">
        <is>
          <t>Gammelgransskål
Garnlav
Granticka
Lunglav
Rosenticka
Stor aspticka
Vedticka</t>
        </is>
      </c>
      <c r="S13">
        <f>HYPERLINK("https://klasma.github.io/Logging_2262/artfynd/A 22377-2025 artfynd.xlsx", "A 22377-2025")</f>
        <v/>
      </c>
      <c r="T13">
        <f>HYPERLINK("https://klasma.github.io/Logging_2262/kartor/A 22377-2025 karta.png", "A 22377-2025")</f>
        <v/>
      </c>
      <c r="V13">
        <f>HYPERLINK("https://klasma.github.io/Logging_2262/klagomål/A 22377-2025 FSC-klagomål.docx", "A 22377-2025")</f>
        <v/>
      </c>
      <c r="W13">
        <f>HYPERLINK("https://klasma.github.io/Logging_2262/klagomålsmail/A 22377-2025 FSC-klagomål mail.docx", "A 22377-2025")</f>
        <v/>
      </c>
      <c r="X13">
        <f>HYPERLINK("https://klasma.github.io/Logging_2262/tillsyn/A 22377-2025 tillsynsbegäran.docx", "A 22377-2025")</f>
        <v/>
      </c>
      <c r="Y13">
        <f>HYPERLINK("https://klasma.github.io/Logging_2262/tillsynsmail/A 22377-2025 tillsynsbegäran mail.docx", "A 22377-2025")</f>
        <v/>
      </c>
    </row>
    <row r="14" ht="15" customHeight="1">
      <c r="A14" t="inlineStr">
        <is>
          <t>A 48084-2023</t>
        </is>
      </c>
      <c r="B14" s="1" t="n">
        <v>45204</v>
      </c>
      <c r="C14" s="1" t="n">
        <v>45955</v>
      </c>
      <c r="D14" t="inlineStr">
        <is>
          <t>VÄSTERNORRLANDS LÄN</t>
        </is>
      </c>
      <c r="E14" t="inlineStr">
        <is>
          <t>TIMRÅ</t>
        </is>
      </c>
      <c r="F14" t="inlineStr">
        <is>
          <t>SCA</t>
        </is>
      </c>
      <c r="G14" t="n">
        <v>2.3</v>
      </c>
      <c r="H14" t="n">
        <v>2</v>
      </c>
      <c r="I14" t="n">
        <v>2</v>
      </c>
      <c r="J14" t="n">
        <v>2</v>
      </c>
      <c r="K14" t="n">
        <v>2</v>
      </c>
      <c r="L14" t="n">
        <v>0</v>
      </c>
      <c r="M14" t="n">
        <v>0</v>
      </c>
      <c r="N14" t="n">
        <v>0</v>
      </c>
      <c r="O14" t="n">
        <v>4</v>
      </c>
      <c r="P14" t="n">
        <v>2</v>
      </c>
      <c r="Q14" t="n">
        <v>7</v>
      </c>
      <c r="R14" s="2" t="inlineStr">
        <is>
          <t>Knärot
Rynkskinn
Orange taggsvamp
Ullticka
Strutbräken
Stuplav
Revlummer</t>
        </is>
      </c>
      <c r="S14">
        <f>HYPERLINK("https://klasma.github.io/Logging_2262/artfynd/A 48084-2023 artfynd.xlsx", "A 48084-2023")</f>
        <v/>
      </c>
      <c r="T14">
        <f>HYPERLINK("https://klasma.github.io/Logging_2262/kartor/A 48084-2023 karta.png", "A 48084-2023")</f>
        <v/>
      </c>
      <c r="U14">
        <f>HYPERLINK("https://klasma.github.io/Logging_2262/knärot/A 48084-2023 karta knärot.png", "A 48084-2023")</f>
        <v/>
      </c>
      <c r="V14">
        <f>HYPERLINK("https://klasma.github.io/Logging_2262/klagomål/A 48084-2023 FSC-klagomål.docx", "A 48084-2023")</f>
        <v/>
      </c>
      <c r="W14">
        <f>HYPERLINK("https://klasma.github.io/Logging_2262/klagomålsmail/A 48084-2023 FSC-klagomål mail.docx", "A 48084-2023")</f>
        <v/>
      </c>
      <c r="X14">
        <f>HYPERLINK("https://klasma.github.io/Logging_2262/tillsyn/A 48084-2023 tillsynsbegäran.docx", "A 48084-2023")</f>
        <v/>
      </c>
      <c r="Y14">
        <f>HYPERLINK("https://klasma.github.io/Logging_2262/tillsynsmail/A 48084-2023 tillsynsbegäran mail.docx", "A 48084-2023")</f>
        <v/>
      </c>
    </row>
    <row r="15" ht="15" customHeight="1">
      <c r="A15" t="inlineStr">
        <is>
          <t>A 24538-2023</t>
        </is>
      </c>
      <c r="B15" s="1" t="n">
        <v>45082.926875</v>
      </c>
      <c r="C15" s="1" t="n">
        <v>45955</v>
      </c>
      <c r="D15" t="inlineStr">
        <is>
          <t>VÄSTERNORRLANDS LÄN</t>
        </is>
      </c>
      <c r="E15" t="inlineStr">
        <is>
          <t>TIMRÅ</t>
        </is>
      </c>
      <c r="G15" t="n">
        <v>1.5</v>
      </c>
      <c r="H15" t="n">
        <v>1</v>
      </c>
      <c r="I15" t="n">
        <v>3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6</v>
      </c>
      <c r="R15" s="2" t="inlineStr">
        <is>
          <t>Knärot
Grantaggsvamp
Orange taggsvamp
Dropptaggsvamp
Grönpyrola
Guldlockmossa</t>
        </is>
      </c>
      <c r="S15">
        <f>HYPERLINK("https://klasma.github.io/Logging_2262/artfynd/A 24538-2023 artfynd.xlsx", "A 24538-2023")</f>
        <v/>
      </c>
      <c r="T15">
        <f>HYPERLINK("https://klasma.github.io/Logging_2262/kartor/A 24538-2023 karta.png", "A 24538-2023")</f>
        <v/>
      </c>
      <c r="U15">
        <f>HYPERLINK("https://klasma.github.io/Logging_2262/knärot/A 24538-2023 karta knärot.png", "A 24538-2023")</f>
        <v/>
      </c>
      <c r="V15">
        <f>HYPERLINK("https://klasma.github.io/Logging_2262/klagomål/A 24538-2023 FSC-klagomål.docx", "A 24538-2023")</f>
        <v/>
      </c>
      <c r="W15">
        <f>HYPERLINK("https://klasma.github.io/Logging_2262/klagomålsmail/A 24538-2023 FSC-klagomål mail.docx", "A 24538-2023")</f>
        <v/>
      </c>
      <c r="X15">
        <f>HYPERLINK("https://klasma.github.io/Logging_2262/tillsyn/A 24538-2023 tillsynsbegäran.docx", "A 24538-2023")</f>
        <v/>
      </c>
      <c r="Y15">
        <f>HYPERLINK("https://klasma.github.io/Logging_2262/tillsynsmail/A 24538-2023 tillsynsbegäran mail.docx", "A 24538-2023")</f>
        <v/>
      </c>
    </row>
    <row r="16" ht="15" customHeight="1">
      <c r="A16" t="inlineStr">
        <is>
          <t>A 24421-2025</t>
        </is>
      </c>
      <c r="B16" s="1" t="n">
        <v>45797.67784722222</v>
      </c>
      <c r="C16" s="1" t="n">
        <v>45955</v>
      </c>
      <c r="D16" t="inlineStr">
        <is>
          <t>VÄSTERNORRLANDS LÄN</t>
        </is>
      </c>
      <c r="E16" t="inlineStr">
        <is>
          <t>TIMRÅ</t>
        </is>
      </c>
      <c r="F16" t="inlineStr">
        <is>
          <t>SCA</t>
        </is>
      </c>
      <c r="G16" t="n">
        <v>1.3</v>
      </c>
      <c r="H16" t="n">
        <v>2</v>
      </c>
      <c r="I16" t="n">
        <v>1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6</v>
      </c>
      <c r="R16" s="2" t="inlineStr">
        <is>
          <t>Rynkskinn
Gammelgransskål
Knottrig blåslav
Skuggblåslav
Fläcknycklar
Revlummer</t>
        </is>
      </c>
      <c r="S16">
        <f>HYPERLINK("https://klasma.github.io/Logging_2262/artfynd/A 24421-2025 artfynd.xlsx", "A 24421-2025")</f>
        <v/>
      </c>
      <c r="T16">
        <f>HYPERLINK("https://klasma.github.io/Logging_2262/kartor/A 24421-2025 karta.png", "A 24421-2025")</f>
        <v/>
      </c>
      <c r="V16">
        <f>HYPERLINK("https://klasma.github.io/Logging_2262/klagomål/A 24421-2025 FSC-klagomål.docx", "A 24421-2025")</f>
        <v/>
      </c>
      <c r="W16">
        <f>HYPERLINK("https://klasma.github.io/Logging_2262/klagomålsmail/A 24421-2025 FSC-klagomål mail.docx", "A 24421-2025")</f>
        <v/>
      </c>
      <c r="X16">
        <f>HYPERLINK("https://klasma.github.io/Logging_2262/tillsyn/A 24421-2025 tillsynsbegäran.docx", "A 24421-2025")</f>
        <v/>
      </c>
      <c r="Y16">
        <f>HYPERLINK("https://klasma.github.io/Logging_2262/tillsynsmail/A 24421-2025 tillsynsbegäran mail.docx", "A 24421-2025")</f>
        <v/>
      </c>
    </row>
    <row r="17" ht="15" customHeight="1">
      <c r="A17" t="inlineStr">
        <is>
          <t>A 46116-2025</t>
        </is>
      </c>
      <c r="B17" s="1" t="n">
        <v>45924.57364583333</v>
      </c>
      <c r="C17" s="1" t="n">
        <v>45955</v>
      </c>
      <c r="D17" t="inlineStr">
        <is>
          <t>VÄSTERNORRLANDS LÄN</t>
        </is>
      </c>
      <c r="E17" t="inlineStr">
        <is>
          <t>TIMRÅ</t>
        </is>
      </c>
      <c r="F17" t="inlineStr">
        <is>
          <t>SCA</t>
        </is>
      </c>
      <c r="G17" t="n">
        <v>4.5</v>
      </c>
      <c r="H17" t="n">
        <v>1</v>
      </c>
      <c r="I17" t="n">
        <v>1</v>
      </c>
      <c r="J17" t="n">
        <v>4</v>
      </c>
      <c r="K17" t="n">
        <v>1</v>
      </c>
      <c r="L17" t="n">
        <v>0</v>
      </c>
      <c r="M17" t="n">
        <v>0</v>
      </c>
      <c r="N17" t="n">
        <v>0</v>
      </c>
      <c r="O17" t="n">
        <v>5</v>
      </c>
      <c r="P17" t="n">
        <v>1</v>
      </c>
      <c r="Q17" t="n">
        <v>6</v>
      </c>
      <c r="R17" s="2" t="inlineStr">
        <is>
          <t>Knärot
Garnlav
Gränsticka
Lunglav
Ullticka
Vedticka</t>
        </is>
      </c>
      <c r="S17">
        <f>HYPERLINK("https://klasma.github.io/Logging_2262/artfynd/A 46116-2025 artfynd.xlsx", "A 46116-2025")</f>
        <v/>
      </c>
      <c r="T17">
        <f>HYPERLINK("https://klasma.github.io/Logging_2262/kartor/A 46116-2025 karta.png", "A 46116-2025")</f>
        <v/>
      </c>
      <c r="U17">
        <f>HYPERLINK("https://klasma.github.io/Logging_2262/knärot/A 46116-2025 karta knärot.png", "A 46116-2025")</f>
        <v/>
      </c>
      <c r="V17">
        <f>HYPERLINK("https://klasma.github.io/Logging_2262/klagomål/A 46116-2025 FSC-klagomål.docx", "A 46116-2025")</f>
        <v/>
      </c>
      <c r="W17">
        <f>HYPERLINK("https://klasma.github.io/Logging_2262/klagomålsmail/A 46116-2025 FSC-klagomål mail.docx", "A 46116-2025")</f>
        <v/>
      </c>
      <c r="X17">
        <f>HYPERLINK("https://klasma.github.io/Logging_2262/tillsyn/A 46116-2025 tillsynsbegäran.docx", "A 46116-2025")</f>
        <v/>
      </c>
      <c r="Y17">
        <f>HYPERLINK("https://klasma.github.io/Logging_2262/tillsynsmail/A 46116-2025 tillsynsbegäran mail.docx", "A 46116-2025")</f>
        <v/>
      </c>
    </row>
    <row r="18" ht="15" customHeight="1">
      <c r="A18" t="inlineStr">
        <is>
          <t>A 8439-2025</t>
        </is>
      </c>
      <c r="B18" s="1" t="n">
        <v>45709.44822916666</v>
      </c>
      <c r="C18" s="1" t="n">
        <v>45955</v>
      </c>
      <c r="D18" t="inlineStr">
        <is>
          <t>VÄSTERNORRLANDS LÄN</t>
        </is>
      </c>
      <c r="E18" t="inlineStr">
        <is>
          <t>TIMRÅ</t>
        </is>
      </c>
      <c r="F18" t="inlineStr">
        <is>
          <t>SCA</t>
        </is>
      </c>
      <c r="G18" t="n">
        <v>7</v>
      </c>
      <c r="H18" t="n">
        <v>0</v>
      </c>
      <c r="I18" t="n">
        <v>2</v>
      </c>
      <c r="J18" t="n">
        <v>4</v>
      </c>
      <c r="K18" t="n">
        <v>0</v>
      </c>
      <c r="L18" t="n">
        <v>0</v>
      </c>
      <c r="M18" t="n">
        <v>0</v>
      </c>
      <c r="N18" t="n">
        <v>0</v>
      </c>
      <c r="O18" t="n">
        <v>4</v>
      </c>
      <c r="P18" t="n">
        <v>0</v>
      </c>
      <c r="Q18" t="n">
        <v>6</v>
      </c>
      <c r="R18" s="2" t="inlineStr">
        <is>
          <t>Gammelgransskål
Garnlav
Ullticka
Violettgrå tagellav
Dropptaggsvamp
Vedticka</t>
        </is>
      </c>
      <c r="S18">
        <f>HYPERLINK("https://klasma.github.io/Logging_2262/artfynd/A 8439-2025 artfynd.xlsx", "A 8439-2025")</f>
        <v/>
      </c>
      <c r="T18">
        <f>HYPERLINK("https://klasma.github.io/Logging_2262/kartor/A 8439-2025 karta.png", "A 8439-2025")</f>
        <v/>
      </c>
      <c r="V18">
        <f>HYPERLINK("https://klasma.github.io/Logging_2262/klagomål/A 8439-2025 FSC-klagomål.docx", "A 8439-2025")</f>
        <v/>
      </c>
      <c r="W18">
        <f>HYPERLINK("https://klasma.github.io/Logging_2262/klagomålsmail/A 8439-2025 FSC-klagomål mail.docx", "A 8439-2025")</f>
        <v/>
      </c>
      <c r="X18">
        <f>HYPERLINK("https://klasma.github.io/Logging_2262/tillsyn/A 8439-2025 tillsynsbegäran.docx", "A 8439-2025")</f>
        <v/>
      </c>
      <c r="Y18">
        <f>HYPERLINK("https://klasma.github.io/Logging_2262/tillsynsmail/A 8439-2025 tillsynsbegäran mail.docx", "A 8439-2025")</f>
        <v/>
      </c>
    </row>
    <row r="19" ht="15" customHeight="1">
      <c r="A19" t="inlineStr">
        <is>
          <t>A 19449-2024</t>
        </is>
      </c>
      <c r="B19" s="1" t="n">
        <v>45429</v>
      </c>
      <c r="C19" s="1" t="n">
        <v>45955</v>
      </c>
      <c r="D19" t="inlineStr">
        <is>
          <t>VÄSTERNORRLANDS LÄN</t>
        </is>
      </c>
      <c r="E19" t="inlineStr">
        <is>
          <t>TIMRÅ</t>
        </is>
      </c>
      <c r="G19" t="n">
        <v>2.5</v>
      </c>
      <c r="H19" t="n">
        <v>5</v>
      </c>
      <c r="I19" t="n">
        <v>0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5</v>
      </c>
      <c r="R19" s="2" t="inlineStr">
        <is>
          <t>Buskskvätta
Hornuggla
Rosenfink
Gråkråka
Gråspett</t>
        </is>
      </c>
      <c r="S19">
        <f>HYPERLINK("https://klasma.github.io/Logging_2262/artfynd/A 19449-2024 artfynd.xlsx", "A 19449-2024")</f>
        <v/>
      </c>
      <c r="T19">
        <f>HYPERLINK("https://klasma.github.io/Logging_2262/kartor/A 19449-2024 karta.png", "A 19449-2024")</f>
        <v/>
      </c>
      <c r="V19">
        <f>HYPERLINK("https://klasma.github.io/Logging_2262/klagomål/A 19449-2024 FSC-klagomål.docx", "A 19449-2024")</f>
        <v/>
      </c>
      <c r="W19">
        <f>HYPERLINK("https://klasma.github.io/Logging_2262/klagomålsmail/A 19449-2024 FSC-klagomål mail.docx", "A 19449-2024")</f>
        <v/>
      </c>
      <c r="X19">
        <f>HYPERLINK("https://klasma.github.io/Logging_2262/tillsyn/A 19449-2024 tillsynsbegäran.docx", "A 19449-2024")</f>
        <v/>
      </c>
      <c r="Y19">
        <f>HYPERLINK("https://klasma.github.io/Logging_2262/tillsynsmail/A 19449-2024 tillsynsbegäran mail.docx", "A 19449-2024")</f>
        <v/>
      </c>
      <c r="Z19">
        <f>HYPERLINK("https://klasma.github.io/Logging_2262/fåglar/A 19449-2024 prioriterade fågelarter.docx", "A 19449-2024")</f>
        <v/>
      </c>
    </row>
    <row r="20" ht="15" customHeight="1">
      <c r="A20" t="inlineStr">
        <is>
          <t>A 25237-2025</t>
        </is>
      </c>
      <c r="B20" s="1" t="n">
        <v>45800</v>
      </c>
      <c r="C20" s="1" t="n">
        <v>45955</v>
      </c>
      <c r="D20" t="inlineStr">
        <is>
          <t>VÄSTERNORRLANDS LÄN</t>
        </is>
      </c>
      <c r="E20" t="inlineStr">
        <is>
          <t>TIMRÅ</t>
        </is>
      </c>
      <c r="F20" t="inlineStr">
        <is>
          <t>SCA</t>
        </is>
      </c>
      <c r="G20" t="n">
        <v>17</v>
      </c>
      <c r="H20" t="n">
        <v>1</v>
      </c>
      <c r="I20" t="n">
        <v>0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Garnlav
Lunglav
Ullticka
Violettgrå tagellav
Tjäder</t>
        </is>
      </c>
      <c r="S20">
        <f>HYPERLINK("https://klasma.github.io/Logging_2262/artfynd/A 25237-2025 artfynd.xlsx", "A 25237-2025")</f>
        <v/>
      </c>
      <c r="T20">
        <f>HYPERLINK("https://klasma.github.io/Logging_2262/kartor/A 25237-2025 karta.png", "A 25237-2025")</f>
        <v/>
      </c>
      <c r="U20">
        <f>HYPERLINK("https://klasma.github.io/Logging_2262/knärot/A 25237-2025 karta knärot.png", "A 25237-2025")</f>
        <v/>
      </c>
      <c r="V20">
        <f>HYPERLINK("https://klasma.github.io/Logging_2262/klagomål/A 25237-2025 FSC-klagomål.docx", "A 25237-2025")</f>
        <v/>
      </c>
      <c r="W20">
        <f>HYPERLINK("https://klasma.github.io/Logging_2262/klagomålsmail/A 25237-2025 FSC-klagomål mail.docx", "A 25237-2025")</f>
        <v/>
      </c>
      <c r="X20">
        <f>HYPERLINK("https://klasma.github.io/Logging_2262/tillsyn/A 25237-2025 tillsynsbegäran.docx", "A 25237-2025")</f>
        <v/>
      </c>
      <c r="Y20">
        <f>HYPERLINK("https://klasma.github.io/Logging_2262/tillsynsmail/A 25237-2025 tillsynsbegäran mail.docx", "A 25237-2025")</f>
        <v/>
      </c>
      <c r="Z20">
        <f>HYPERLINK("https://klasma.github.io/Logging_2262/fåglar/A 25237-2025 prioriterade fågelarter.docx", "A 25237-2025")</f>
        <v/>
      </c>
    </row>
    <row r="21" ht="15" customHeight="1">
      <c r="A21" t="inlineStr">
        <is>
          <t>A 49778-2025</t>
        </is>
      </c>
      <c r="B21" s="1" t="n">
        <v>45940.38585648148</v>
      </c>
      <c r="C21" s="1" t="n">
        <v>45955</v>
      </c>
      <c r="D21" t="inlineStr">
        <is>
          <t>VÄSTERNORRLANDS LÄN</t>
        </is>
      </c>
      <c r="E21" t="inlineStr">
        <is>
          <t>TIMRÅ</t>
        </is>
      </c>
      <c r="F21" t="inlineStr">
        <is>
          <t>SCA</t>
        </is>
      </c>
      <c r="G21" t="n">
        <v>2.7</v>
      </c>
      <c r="H21" t="n">
        <v>1</v>
      </c>
      <c r="I21" t="n">
        <v>0</v>
      </c>
      <c r="J21" t="n">
        <v>4</v>
      </c>
      <c r="K21" t="n">
        <v>1</v>
      </c>
      <c r="L21" t="n">
        <v>0</v>
      </c>
      <c r="M21" t="n">
        <v>0</v>
      </c>
      <c r="N21" t="n">
        <v>0</v>
      </c>
      <c r="O21" t="n">
        <v>5</v>
      </c>
      <c r="P21" t="n">
        <v>1</v>
      </c>
      <c r="Q21" t="n">
        <v>5</v>
      </c>
      <c r="R21" s="2" t="inlineStr">
        <is>
          <t>Knärot
Dvärgbägarlav
Garnlav
Lunglav
Vedskivlav</t>
        </is>
      </c>
      <c r="S21">
        <f>HYPERLINK("https://klasma.github.io/Logging_2262/artfynd/A 49778-2025 artfynd.xlsx", "A 49778-2025")</f>
        <v/>
      </c>
      <c r="T21">
        <f>HYPERLINK("https://klasma.github.io/Logging_2262/kartor/A 49778-2025 karta.png", "A 49778-2025")</f>
        <v/>
      </c>
      <c r="U21">
        <f>HYPERLINK("https://klasma.github.io/Logging_2262/knärot/A 49778-2025 karta knärot.png", "A 49778-2025")</f>
        <v/>
      </c>
      <c r="V21">
        <f>HYPERLINK("https://klasma.github.io/Logging_2262/klagomål/A 49778-2025 FSC-klagomål.docx", "A 49778-2025")</f>
        <v/>
      </c>
      <c r="W21">
        <f>HYPERLINK("https://klasma.github.io/Logging_2262/klagomålsmail/A 49778-2025 FSC-klagomål mail.docx", "A 49778-2025")</f>
        <v/>
      </c>
      <c r="X21">
        <f>HYPERLINK("https://klasma.github.io/Logging_2262/tillsyn/A 49778-2025 tillsynsbegäran.docx", "A 49778-2025")</f>
        <v/>
      </c>
      <c r="Y21">
        <f>HYPERLINK("https://klasma.github.io/Logging_2262/tillsynsmail/A 49778-2025 tillsynsbegäran mail.docx", "A 49778-2025")</f>
        <v/>
      </c>
    </row>
    <row r="22" ht="15" customHeight="1">
      <c r="A22" t="inlineStr">
        <is>
          <t>A 39815-2023</t>
        </is>
      </c>
      <c r="B22" s="1" t="n">
        <v>45167</v>
      </c>
      <c r="C22" s="1" t="n">
        <v>45955</v>
      </c>
      <c r="D22" t="inlineStr">
        <is>
          <t>VÄSTERNORRLANDS LÄN</t>
        </is>
      </c>
      <c r="E22" t="inlineStr">
        <is>
          <t>TIMRÅ</t>
        </is>
      </c>
      <c r="F22" t="inlineStr">
        <is>
          <t>SCA</t>
        </is>
      </c>
      <c r="G22" t="n">
        <v>2.3</v>
      </c>
      <c r="H22" t="n">
        <v>0</v>
      </c>
      <c r="I22" t="n">
        <v>1</v>
      </c>
      <c r="J22" t="n">
        <v>4</v>
      </c>
      <c r="K22" t="n">
        <v>0</v>
      </c>
      <c r="L22" t="n">
        <v>0</v>
      </c>
      <c r="M22" t="n">
        <v>0</v>
      </c>
      <c r="N22" t="n">
        <v>0</v>
      </c>
      <c r="O22" t="n">
        <v>4</v>
      </c>
      <c r="P22" t="n">
        <v>0</v>
      </c>
      <c r="Q22" t="n">
        <v>5</v>
      </c>
      <c r="R22" s="2" t="inlineStr">
        <is>
          <t>Garnlav
Kortskaftad ärgspik
Vedflamlav
Vedskivlav
Dropptaggsvamp</t>
        </is>
      </c>
      <c r="S22">
        <f>HYPERLINK("https://klasma.github.io/Logging_2262/artfynd/A 39815-2023 artfynd.xlsx", "A 39815-2023")</f>
        <v/>
      </c>
      <c r="T22">
        <f>HYPERLINK("https://klasma.github.io/Logging_2262/kartor/A 39815-2023 karta.png", "A 39815-2023")</f>
        <v/>
      </c>
      <c r="V22">
        <f>HYPERLINK("https://klasma.github.io/Logging_2262/klagomål/A 39815-2023 FSC-klagomål.docx", "A 39815-2023")</f>
        <v/>
      </c>
      <c r="W22">
        <f>HYPERLINK("https://klasma.github.io/Logging_2262/klagomålsmail/A 39815-2023 FSC-klagomål mail.docx", "A 39815-2023")</f>
        <v/>
      </c>
      <c r="X22">
        <f>HYPERLINK("https://klasma.github.io/Logging_2262/tillsyn/A 39815-2023 tillsynsbegäran.docx", "A 39815-2023")</f>
        <v/>
      </c>
      <c r="Y22">
        <f>HYPERLINK("https://klasma.github.io/Logging_2262/tillsynsmail/A 39815-2023 tillsynsbegäran mail.docx", "A 39815-2023")</f>
        <v/>
      </c>
    </row>
    <row r="23" ht="15" customHeight="1">
      <c r="A23" t="inlineStr">
        <is>
          <t>A 40482-2025</t>
        </is>
      </c>
      <c r="B23" s="1" t="n">
        <v>45895</v>
      </c>
      <c r="C23" s="1" t="n">
        <v>45955</v>
      </c>
      <c r="D23" t="inlineStr">
        <is>
          <t>VÄSTERNORRLANDS LÄN</t>
        </is>
      </c>
      <c r="E23" t="inlineStr">
        <is>
          <t>TIMRÅ</t>
        </is>
      </c>
      <c r="G23" t="n">
        <v>20.9</v>
      </c>
      <c r="H23" t="n">
        <v>2</v>
      </c>
      <c r="I23" t="n">
        <v>0</v>
      </c>
      <c r="J23" t="n">
        <v>3</v>
      </c>
      <c r="K23" t="n">
        <v>0</v>
      </c>
      <c r="L23" t="n">
        <v>0</v>
      </c>
      <c r="M23" t="n">
        <v>0</v>
      </c>
      <c r="N23" t="n">
        <v>0</v>
      </c>
      <c r="O23" t="n">
        <v>3</v>
      </c>
      <c r="P23" t="n">
        <v>0</v>
      </c>
      <c r="Q23" t="n">
        <v>5</v>
      </c>
      <c r="R23" s="2" t="inlineStr">
        <is>
          <t>Garnlav
Knottrig blåslav
Violettgrå tagellav
Fläcknycklar
Mattlummer</t>
        </is>
      </c>
      <c r="S23">
        <f>HYPERLINK("https://klasma.github.io/Logging_2262/artfynd/A 40482-2025 artfynd.xlsx", "A 40482-2025")</f>
        <v/>
      </c>
      <c r="T23">
        <f>HYPERLINK("https://klasma.github.io/Logging_2262/kartor/A 40482-2025 karta.png", "A 40482-2025")</f>
        <v/>
      </c>
      <c r="V23">
        <f>HYPERLINK("https://klasma.github.io/Logging_2262/klagomål/A 40482-2025 FSC-klagomål.docx", "A 40482-2025")</f>
        <v/>
      </c>
      <c r="W23">
        <f>HYPERLINK("https://klasma.github.io/Logging_2262/klagomålsmail/A 40482-2025 FSC-klagomål mail.docx", "A 40482-2025")</f>
        <v/>
      </c>
      <c r="X23">
        <f>HYPERLINK("https://klasma.github.io/Logging_2262/tillsyn/A 40482-2025 tillsynsbegäran.docx", "A 40482-2025")</f>
        <v/>
      </c>
      <c r="Y23">
        <f>HYPERLINK("https://klasma.github.io/Logging_2262/tillsynsmail/A 40482-2025 tillsynsbegäran mail.docx", "A 40482-2025")</f>
        <v/>
      </c>
    </row>
    <row r="24" ht="15" customHeight="1">
      <c r="A24" t="inlineStr">
        <is>
          <t>A 11397-2025</t>
        </is>
      </c>
      <c r="B24" s="1" t="n">
        <v>45726</v>
      </c>
      <c r="C24" s="1" t="n">
        <v>45955</v>
      </c>
      <c r="D24" t="inlineStr">
        <is>
          <t>VÄSTERNORRLANDS LÄN</t>
        </is>
      </c>
      <c r="E24" t="inlineStr">
        <is>
          <t>TIMRÅ</t>
        </is>
      </c>
      <c r="F24" t="inlineStr">
        <is>
          <t>SCA</t>
        </is>
      </c>
      <c r="G24" t="n">
        <v>5.3</v>
      </c>
      <c r="H24" t="n">
        <v>2</v>
      </c>
      <c r="I24" t="n">
        <v>2</v>
      </c>
      <c r="J24" t="n">
        <v>2</v>
      </c>
      <c r="K24" t="n">
        <v>1</v>
      </c>
      <c r="L24" t="n">
        <v>0</v>
      </c>
      <c r="M24" t="n">
        <v>0</v>
      </c>
      <c r="N24" t="n">
        <v>0</v>
      </c>
      <c r="O24" t="n">
        <v>3</v>
      </c>
      <c r="P24" t="n">
        <v>1</v>
      </c>
      <c r="Q24" t="n">
        <v>5</v>
      </c>
      <c r="R24" s="2" t="inlineStr">
        <is>
          <t>Knärot
Rosenticka
Spillkråka
Bollvitmossa
Vedticka</t>
        </is>
      </c>
      <c r="S24">
        <f>HYPERLINK("https://klasma.github.io/Logging_2262/artfynd/A 11397-2025 artfynd.xlsx", "A 11397-2025")</f>
        <v/>
      </c>
      <c r="T24">
        <f>HYPERLINK("https://klasma.github.io/Logging_2262/kartor/A 11397-2025 karta.png", "A 11397-2025")</f>
        <v/>
      </c>
      <c r="U24">
        <f>HYPERLINK("https://klasma.github.io/Logging_2262/knärot/A 11397-2025 karta knärot.png", "A 11397-2025")</f>
        <v/>
      </c>
      <c r="V24">
        <f>HYPERLINK("https://klasma.github.io/Logging_2262/klagomål/A 11397-2025 FSC-klagomål.docx", "A 11397-2025")</f>
        <v/>
      </c>
      <c r="W24">
        <f>HYPERLINK("https://klasma.github.io/Logging_2262/klagomålsmail/A 11397-2025 FSC-klagomål mail.docx", "A 11397-2025")</f>
        <v/>
      </c>
      <c r="X24">
        <f>HYPERLINK("https://klasma.github.io/Logging_2262/tillsyn/A 11397-2025 tillsynsbegäran.docx", "A 11397-2025")</f>
        <v/>
      </c>
      <c r="Y24">
        <f>HYPERLINK("https://klasma.github.io/Logging_2262/tillsynsmail/A 11397-2025 tillsynsbegäran mail.docx", "A 11397-2025")</f>
        <v/>
      </c>
      <c r="Z24">
        <f>HYPERLINK("https://klasma.github.io/Logging_2262/fåglar/A 11397-2025 prioriterade fågelarter.docx", "A 11397-2025")</f>
        <v/>
      </c>
    </row>
    <row r="25" ht="15" customHeight="1">
      <c r="A25" t="inlineStr">
        <is>
          <t>A 50231-2023</t>
        </is>
      </c>
      <c r="B25" s="1" t="n">
        <v>45215</v>
      </c>
      <c r="C25" s="1" t="n">
        <v>45955</v>
      </c>
      <c r="D25" t="inlineStr">
        <is>
          <t>VÄSTERNORRLANDS LÄN</t>
        </is>
      </c>
      <c r="E25" t="inlineStr">
        <is>
          <t>TIMRÅ</t>
        </is>
      </c>
      <c r="F25" t="inlineStr">
        <is>
          <t>SCA</t>
        </is>
      </c>
      <c r="G25" t="n">
        <v>1.6</v>
      </c>
      <c r="H25" t="n">
        <v>1</v>
      </c>
      <c r="I25" t="n">
        <v>2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5</v>
      </c>
      <c r="R25" s="2" t="inlineStr">
        <is>
          <t>Orange taggsvamp
Ullticka
Strutbräken
Stuplav
Revlummer</t>
        </is>
      </c>
      <c r="S25">
        <f>HYPERLINK("https://klasma.github.io/Logging_2262/artfynd/A 50231-2023 artfynd.xlsx", "A 50231-2023")</f>
        <v/>
      </c>
      <c r="T25">
        <f>HYPERLINK("https://klasma.github.io/Logging_2262/kartor/A 50231-2023 karta.png", "A 50231-2023")</f>
        <v/>
      </c>
      <c r="U25">
        <f>HYPERLINK("https://klasma.github.io/Logging_2262/knärot/A 50231-2023 karta knärot.png", "A 50231-2023")</f>
        <v/>
      </c>
      <c r="V25">
        <f>HYPERLINK("https://klasma.github.io/Logging_2262/klagomål/A 50231-2023 FSC-klagomål.docx", "A 50231-2023")</f>
        <v/>
      </c>
      <c r="W25">
        <f>HYPERLINK("https://klasma.github.io/Logging_2262/klagomålsmail/A 50231-2023 FSC-klagomål mail.docx", "A 50231-2023")</f>
        <v/>
      </c>
      <c r="X25">
        <f>HYPERLINK("https://klasma.github.io/Logging_2262/tillsyn/A 50231-2023 tillsynsbegäran.docx", "A 50231-2023")</f>
        <v/>
      </c>
      <c r="Y25">
        <f>HYPERLINK("https://klasma.github.io/Logging_2262/tillsynsmail/A 50231-2023 tillsynsbegäran mail.docx", "A 50231-2023")</f>
        <v/>
      </c>
    </row>
    <row r="26" ht="15" customHeight="1">
      <c r="A26" t="inlineStr">
        <is>
          <t>A 22426-2025</t>
        </is>
      </c>
      <c r="B26" s="1" t="n">
        <v>45786</v>
      </c>
      <c r="C26" s="1" t="n">
        <v>45955</v>
      </c>
      <c r="D26" t="inlineStr">
        <is>
          <t>VÄSTERNORRLANDS LÄN</t>
        </is>
      </c>
      <c r="E26" t="inlineStr">
        <is>
          <t>TIMRÅ</t>
        </is>
      </c>
      <c r="F26" t="inlineStr">
        <is>
          <t>SCA</t>
        </is>
      </c>
      <c r="G26" t="n">
        <v>6.2</v>
      </c>
      <c r="H26" t="n">
        <v>1</v>
      </c>
      <c r="I26" t="n">
        <v>0</v>
      </c>
      <c r="J26" t="n">
        <v>3</v>
      </c>
      <c r="K26" t="n">
        <v>1</v>
      </c>
      <c r="L26" t="n">
        <v>0</v>
      </c>
      <c r="M26" t="n">
        <v>0</v>
      </c>
      <c r="N26" t="n">
        <v>0</v>
      </c>
      <c r="O26" t="n">
        <v>4</v>
      </c>
      <c r="P26" t="n">
        <v>1</v>
      </c>
      <c r="Q26" t="n">
        <v>4</v>
      </c>
      <c r="R26" s="2" t="inlineStr">
        <is>
          <t>Aspgelélav
Garnlav
Lunglav
Tretåig hackspett</t>
        </is>
      </c>
      <c r="S26">
        <f>HYPERLINK("https://klasma.github.io/Logging_2262/artfynd/A 22426-2025 artfynd.xlsx", "A 22426-2025")</f>
        <v/>
      </c>
      <c r="T26">
        <f>HYPERLINK("https://klasma.github.io/Logging_2262/kartor/A 22426-2025 karta.png", "A 22426-2025")</f>
        <v/>
      </c>
      <c r="V26">
        <f>HYPERLINK("https://klasma.github.io/Logging_2262/klagomål/A 22426-2025 FSC-klagomål.docx", "A 22426-2025")</f>
        <v/>
      </c>
      <c r="W26">
        <f>HYPERLINK("https://klasma.github.io/Logging_2262/klagomålsmail/A 22426-2025 FSC-klagomål mail.docx", "A 22426-2025")</f>
        <v/>
      </c>
      <c r="X26">
        <f>HYPERLINK("https://klasma.github.io/Logging_2262/tillsyn/A 22426-2025 tillsynsbegäran.docx", "A 22426-2025")</f>
        <v/>
      </c>
      <c r="Y26">
        <f>HYPERLINK("https://klasma.github.io/Logging_2262/tillsynsmail/A 22426-2025 tillsynsbegäran mail.docx", "A 22426-2025")</f>
        <v/>
      </c>
      <c r="Z26">
        <f>HYPERLINK("https://klasma.github.io/Logging_2262/fåglar/A 22426-2025 prioriterade fågelarter.docx", "A 22426-2025")</f>
        <v/>
      </c>
    </row>
    <row r="27" ht="15" customHeight="1">
      <c r="A27" t="inlineStr">
        <is>
          <t>A 23296-2025</t>
        </is>
      </c>
      <c r="B27" s="1" t="n">
        <v>45791.59416666667</v>
      </c>
      <c r="C27" s="1" t="n">
        <v>45955</v>
      </c>
      <c r="D27" t="inlineStr">
        <is>
          <t>VÄSTERNORRLANDS LÄN</t>
        </is>
      </c>
      <c r="E27" t="inlineStr">
        <is>
          <t>TIMRÅ</t>
        </is>
      </c>
      <c r="F27" t="inlineStr">
        <is>
          <t>SCA</t>
        </is>
      </c>
      <c r="G27" t="n">
        <v>2.7</v>
      </c>
      <c r="H27" t="n">
        <v>1</v>
      </c>
      <c r="I27" t="n">
        <v>1</v>
      </c>
      <c r="J27" t="n">
        <v>3</v>
      </c>
      <c r="K27" t="n">
        <v>0</v>
      </c>
      <c r="L27" t="n">
        <v>0</v>
      </c>
      <c r="M27" t="n">
        <v>0</v>
      </c>
      <c r="N27" t="n">
        <v>0</v>
      </c>
      <c r="O27" t="n">
        <v>3</v>
      </c>
      <c r="P27" t="n">
        <v>0</v>
      </c>
      <c r="Q27" t="n">
        <v>4</v>
      </c>
      <c r="R27" s="2" t="inlineStr">
        <is>
          <t>Garnlav
Gränsticka
Järpe
Norrlandslav</t>
        </is>
      </c>
      <c r="S27">
        <f>HYPERLINK("https://klasma.github.io/Logging_2262/artfynd/A 23296-2025 artfynd.xlsx", "A 23296-2025")</f>
        <v/>
      </c>
      <c r="T27">
        <f>HYPERLINK("https://klasma.github.io/Logging_2262/kartor/A 23296-2025 karta.png", "A 23296-2025")</f>
        <v/>
      </c>
      <c r="V27">
        <f>HYPERLINK("https://klasma.github.io/Logging_2262/klagomål/A 23296-2025 FSC-klagomål.docx", "A 23296-2025")</f>
        <v/>
      </c>
      <c r="W27">
        <f>HYPERLINK("https://klasma.github.io/Logging_2262/klagomålsmail/A 23296-2025 FSC-klagomål mail.docx", "A 23296-2025")</f>
        <v/>
      </c>
      <c r="X27">
        <f>HYPERLINK("https://klasma.github.io/Logging_2262/tillsyn/A 23296-2025 tillsynsbegäran.docx", "A 23296-2025")</f>
        <v/>
      </c>
      <c r="Y27">
        <f>HYPERLINK("https://klasma.github.io/Logging_2262/tillsynsmail/A 23296-2025 tillsynsbegäran mail.docx", "A 23296-2025")</f>
        <v/>
      </c>
      <c r="Z27">
        <f>HYPERLINK("https://klasma.github.io/Logging_2262/fåglar/A 23296-2025 prioriterade fågelarter.docx", "A 23296-2025")</f>
        <v/>
      </c>
    </row>
    <row r="28" ht="15" customHeight="1">
      <c r="A28" t="inlineStr">
        <is>
          <t>A 28007-2023</t>
        </is>
      </c>
      <c r="B28" s="1" t="n">
        <v>45098</v>
      </c>
      <c r="C28" s="1" t="n">
        <v>45955</v>
      </c>
      <c r="D28" t="inlineStr">
        <is>
          <t>VÄSTERNORRLANDS LÄN</t>
        </is>
      </c>
      <c r="E28" t="inlineStr">
        <is>
          <t>TIMRÅ</t>
        </is>
      </c>
      <c r="F28" t="inlineStr">
        <is>
          <t>SCA</t>
        </is>
      </c>
      <c r="G28" t="n">
        <v>1.1</v>
      </c>
      <c r="H28" t="n">
        <v>3</v>
      </c>
      <c r="I28" t="n">
        <v>1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4</v>
      </c>
      <c r="R28" s="2" t="inlineStr">
        <is>
          <t>Spillkråka
Svart trolldruva
Kungsfågel
Nattviol</t>
        </is>
      </c>
      <c r="S28">
        <f>HYPERLINK("https://klasma.github.io/Logging_2262/artfynd/A 28007-2023 artfynd.xlsx", "A 28007-2023")</f>
        <v/>
      </c>
      <c r="T28">
        <f>HYPERLINK("https://klasma.github.io/Logging_2262/kartor/A 28007-2023 karta.png", "A 28007-2023")</f>
        <v/>
      </c>
      <c r="V28">
        <f>HYPERLINK("https://klasma.github.io/Logging_2262/klagomål/A 28007-2023 FSC-klagomål.docx", "A 28007-2023")</f>
        <v/>
      </c>
      <c r="W28">
        <f>HYPERLINK("https://klasma.github.io/Logging_2262/klagomålsmail/A 28007-2023 FSC-klagomål mail.docx", "A 28007-2023")</f>
        <v/>
      </c>
      <c r="X28">
        <f>HYPERLINK("https://klasma.github.io/Logging_2262/tillsyn/A 28007-2023 tillsynsbegäran.docx", "A 28007-2023")</f>
        <v/>
      </c>
      <c r="Y28">
        <f>HYPERLINK("https://klasma.github.io/Logging_2262/tillsynsmail/A 28007-2023 tillsynsbegäran mail.docx", "A 28007-2023")</f>
        <v/>
      </c>
      <c r="Z28">
        <f>HYPERLINK("https://klasma.github.io/Logging_2262/fåglar/A 28007-2023 prioriterade fågelarter.docx", "A 28007-2023")</f>
        <v/>
      </c>
    </row>
    <row r="29" ht="15" customHeight="1">
      <c r="A29" t="inlineStr">
        <is>
          <t>A 38488-2025</t>
        </is>
      </c>
      <c r="B29" s="1" t="n">
        <v>45884.34447916667</v>
      </c>
      <c r="C29" s="1" t="n">
        <v>45955</v>
      </c>
      <c r="D29" t="inlineStr">
        <is>
          <t>VÄSTERNORRLANDS LÄN</t>
        </is>
      </c>
      <c r="E29" t="inlineStr">
        <is>
          <t>TIMRÅ</t>
        </is>
      </c>
      <c r="F29" t="inlineStr">
        <is>
          <t>SCA</t>
        </is>
      </c>
      <c r="G29" t="n">
        <v>5.7</v>
      </c>
      <c r="H29" t="n">
        <v>0</v>
      </c>
      <c r="I29" t="n">
        <v>0</v>
      </c>
      <c r="J29" t="n">
        <v>4</v>
      </c>
      <c r="K29" t="n">
        <v>0</v>
      </c>
      <c r="L29" t="n">
        <v>0</v>
      </c>
      <c r="M29" t="n">
        <v>0</v>
      </c>
      <c r="N29" t="n">
        <v>0</v>
      </c>
      <c r="O29" t="n">
        <v>4</v>
      </c>
      <c r="P29" t="n">
        <v>0</v>
      </c>
      <c r="Q29" t="n">
        <v>4</v>
      </c>
      <c r="R29" s="2" t="inlineStr">
        <is>
          <t>Kandelabersvamp
Leptoporus mollis
Lunglav
Ullticka</t>
        </is>
      </c>
      <c r="S29">
        <f>HYPERLINK("https://klasma.github.io/Logging_2262/artfynd/A 38488-2025 artfynd.xlsx", "A 38488-2025")</f>
        <v/>
      </c>
      <c r="T29">
        <f>HYPERLINK("https://klasma.github.io/Logging_2262/kartor/A 38488-2025 karta.png", "A 38488-2025")</f>
        <v/>
      </c>
      <c r="U29">
        <f>HYPERLINK("https://klasma.github.io/Logging_2262/knärot/A 38488-2025 karta knärot.png", "A 38488-2025")</f>
        <v/>
      </c>
      <c r="V29">
        <f>HYPERLINK("https://klasma.github.io/Logging_2262/klagomål/A 38488-2025 FSC-klagomål.docx", "A 38488-2025")</f>
        <v/>
      </c>
      <c r="W29">
        <f>HYPERLINK("https://klasma.github.io/Logging_2262/klagomålsmail/A 38488-2025 FSC-klagomål mail.docx", "A 38488-2025")</f>
        <v/>
      </c>
      <c r="X29">
        <f>HYPERLINK("https://klasma.github.io/Logging_2262/tillsyn/A 38488-2025 tillsynsbegäran.docx", "A 38488-2025")</f>
        <v/>
      </c>
      <c r="Y29">
        <f>HYPERLINK("https://klasma.github.io/Logging_2262/tillsynsmail/A 38488-2025 tillsynsbegäran mail.docx", "A 38488-2025")</f>
        <v/>
      </c>
    </row>
    <row r="30" ht="15" customHeight="1">
      <c r="A30" t="inlineStr">
        <is>
          <t>A 25940-2025</t>
        </is>
      </c>
      <c r="B30" s="1" t="n">
        <v>45804.59443287037</v>
      </c>
      <c r="C30" s="1" t="n">
        <v>45955</v>
      </c>
      <c r="D30" t="inlineStr">
        <is>
          <t>VÄSTERNORRLANDS LÄN</t>
        </is>
      </c>
      <c r="E30" t="inlineStr">
        <is>
          <t>TIMRÅ</t>
        </is>
      </c>
      <c r="F30" t="inlineStr">
        <is>
          <t>SCA</t>
        </is>
      </c>
      <c r="G30" t="n">
        <v>6.3</v>
      </c>
      <c r="H30" t="n">
        <v>0</v>
      </c>
      <c r="I30" t="n">
        <v>0</v>
      </c>
      <c r="J30" t="n">
        <v>3</v>
      </c>
      <c r="K30" t="n">
        <v>1</v>
      </c>
      <c r="L30" t="n">
        <v>0</v>
      </c>
      <c r="M30" t="n">
        <v>0</v>
      </c>
      <c r="N30" t="n">
        <v>0</v>
      </c>
      <c r="O30" t="n">
        <v>4</v>
      </c>
      <c r="P30" t="n">
        <v>1</v>
      </c>
      <c r="Q30" t="n">
        <v>4</v>
      </c>
      <c r="R30" s="2" t="inlineStr">
        <is>
          <t>Rynkskinn
Garnlav
Rosenticka
Ullticka</t>
        </is>
      </c>
      <c r="S30">
        <f>HYPERLINK("https://klasma.github.io/Logging_2262/artfynd/A 25940-2025 artfynd.xlsx", "A 25940-2025")</f>
        <v/>
      </c>
      <c r="T30">
        <f>HYPERLINK("https://klasma.github.io/Logging_2262/kartor/A 25940-2025 karta.png", "A 25940-2025")</f>
        <v/>
      </c>
      <c r="V30">
        <f>HYPERLINK("https://klasma.github.io/Logging_2262/klagomål/A 25940-2025 FSC-klagomål.docx", "A 25940-2025")</f>
        <v/>
      </c>
      <c r="W30">
        <f>HYPERLINK("https://klasma.github.io/Logging_2262/klagomålsmail/A 25940-2025 FSC-klagomål mail.docx", "A 25940-2025")</f>
        <v/>
      </c>
      <c r="X30">
        <f>HYPERLINK("https://klasma.github.io/Logging_2262/tillsyn/A 25940-2025 tillsynsbegäran.docx", "A 25940-2025")</f>
        <v/>
      </c>
      <c r="Y30">
        <f>HYPERLINK("https://klasma.github.io/Logging_2262/tillsynsmail/A 25940-2025 tillsynsbegäran mail.docx", "A 25940-2025")</f>
        <v/>
      </c>
    </row>
    <row r="31" ht="15" customHeight="1">
      <c r="A31" t="inlineStr">
        <is>
          <t>A 43613-2024</t>
        </is>
      </c>
      <c r="B31" s="1" t="n">
        <v>45569.46905092592</v>
      </c>
      <c r="C31" s="1" t="n">
        <v>45955</v>
      </c>
      <c r="D31" t="inlineStr">
        <is>
          <t>VÄSTERNORRLANDS LÄN</t>
        </is>
      </c>
      <c r="E31" t="inlineStr">
        <is>
          <t>TIMRÅ</t>
        </is>
      </c>
      <c r="F31" t="inlineStr">
        <is>
          <t>SCA</t>
        </is>
      </c>
      <c r="G31" t="n">
        <v>2.2</v>
      </c>
      <c r="H31" t="n">
        <v>0</v>
      </c>
      <c r="I31" t="n">
        <v>1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4</v>
      </c>
      <c r="R31" s="2" t="inlineStr">
        <is>
          <t>Kolflarnlav
Lunglav
Mörk kolflarnlav
Skarp dropptaggsvamp</t>
        </is>
      </c>
      <c r="S31">
        <f>HYPERLINK("https://klasma.github.io/Logging_2262/artfynd/A 43613-2024 artfynd.xlsx", "A 43613-2024")</f>
        <v/>
      </c>
      <c r="T31">
        <f>HYPERLINK("https://klasma.github.io/Logging_2262/kartor/A 43613-2024 karta.png", "A 43613-2024")</f>
        <v/>
      </c>
      <c r="V31">
        <f>HYPERLINK("https://klasma.github.io/Logging_2262/klagomål/A 43613-2024 FSC-klagomål.docx", "A 43613-2024")</f>
        <v/>
      </c>
      <c r="W31">
        <f>HYPERLINK("https://klasma.github.io/Logging_2262/klagomålsmail/A 43613-2024 FSC-klagomål mail.docx", "A 43613-2024")</f>
        <v/>
      </c>
      <c r="X31">
        <f>HYPERLINK("https://klasma.github.io/Logging_2262/tillsyn/A 43613-2024 tillsynsbegäran.docx", "A 43613-2024")</f>
        <v/>
      </c>
      <c r="Y31">
        <f>HYPERLINK("https://klasma.github.io/Logging_2262/tillsynsmail/A 43613-2024 tillsynsbegäran mail.docx", "A 43613-2024")</f>
        <v/>
      </c>
    </row>
    <row r="32" ht="15" customHeight="1">
      <c r="A32" t="inlineStr">
        <is>
          <t>A 49232-2025</t>
        </is>
      </c>
      <c r="B32" s="1" t="n">
        <v>45937</v>
      </c>
      <c r="C32" s="1" t="n">
        <v>45955</v>
      </c>
      <c r="D32" t="inlineStr">
        <is>
          <t>VÄSTERNORRLANDS LÄN</t>
        </is>
      </c>
      <c r="E32" t="inlineStr">
        <is>
          <t>TIMRÅ</t>
        </is>
      </c>
      <c r="G32" t="n">
        <v>4.2</v>
      </c>
      <c r="H32" t="n">
        <v>3</v>
      </c>
      <c r="I32" t="n">
        <v>0</v>
      </c>
      <c r="J32" t="n">
        <v>3</v>
      </c>
      <c r="K32" t="n">
        <v>0</v>
      </c>
      <c r="L32" t="n">
        <v>0</v>
      </c>
      <c r="M32" t="n">
        <v>0</v>
      </c>
      <c r="N32" t="n">
        <v>0</v>
      </c>
      <c r="O32" t="n">
        <v>3</v>
      </c>
      <c r="P32" t="n">
        <v>0</v>
      </c>
      <c r="Q32" t="n">
        <v>4</v>
      </c>
      <c r="R32" s="2" t="inlineStr">
        <is>
          <t>Grönsångare
Rödprick
Spillkråka
Gråspett</t>
        </is>
      </c>
      <c r="S32">
        <f>HYPERLINK("https://klasma.github.io/Logging_2262/artfynd/A 49232-2025 artfynd.xlsx", "A 49232-2025")</f>
        <v/>
      </c>
      <c r="T32">
        <f>HYPERLINK("https://klasma.github.io/Logging_2262/kartor/A 49232-2025 karta.png", "A 49232-2025")</f>
        <v/>
      </c>
      <c r="V32">
        <f>HYPERLINK("https://klasma.github.io/Logging_2262/klagomål/A 49232-2025 FSC-klagomål.docx", "A 49232-2025")</f>
        <v/>
      </c>
      <c r="W32">
        <f>HYPERLINK("https://klasma.github.io/Logging_2262/klagomålsmail/A 49232-2025 FSC-klagomål mail.docx", "A 49232-2025")</f>
        <v/>
      </c>
      <c r="X32">
        <f>HYPERLINK("https://klasma.github.io/Logging_2262/tillsyn/A 49232-2025 tillsynsbegäran.docx", "A 49232-2025")</f>
        <v/>
      </c>
      <c r="Y32">
        <f>HYPERLINK("https://klasma.github.io/Logging_2262/tillsynsmail/A 49232-2025 tillsynsbegäran mail.docx", "A 49232-2025")</f>
        <v/>
      </c>
      <c r="Z32">
        <f>HYPERLINK("https://klasma.github.io/Logging_2262/fåglar/A 49232-2025 prioriterade fågelarter.docx", "A 49232-2025")</f>
        <v/>
      </c>
    </row>
    <row r="33" ht="15" customHeight="1">
      <c r="A33" t="inlineStr">
        <is>
          <t>A 53296-2024</t>
        </is>
      </c>
      <c r="B33" s="1" t="n">
        <v>45614.38782407407</v>
      </c>
      <c r="C33" s="1" t="n">
        <v>45955</v>
      </c>
      <c r="D33" t="inlineStr">
        <is>
          <t>VÄSTERNORRLANDS LÄN</t>
        </is>
      </c>
      <c r="E33" t="inlineStr">
        <is>
          <t>TIMRÅ</t>
        </is>
      </c>
      <c r="F33" t="inlineStr">
        <is>
          <t>SCA</t>
        </is>
      </c>
      <c r="G33" t="n">
        <v>3.7</v>
      </c>
      <c r="H33" t="n">
        <v>0</v>
      </c>
      <c r="I33" t="n">
        <v>0</v>
      </c>
      <c r="J33" t="n">
        <v>2</v>
      </c>
      <c r="K33" t="n">
        <v>2</v>
      </c>
      <c r="L33" t="n">
        <v>0</v>
      </c>
      <c r="M33" t="n">
        <v>0</v>
      </c>
      <c r="N33" t="n">
        <v>0</v>
      </c>
      <c r="O33" t="n">
        <v>4</v>
      </c>
      <c r="P33" t="n">
        <v>2</v>
      </c>
      <c r="Q33" t="n">
        <v>4</v>
      </c>
      <c r="R33" s="2" t="inlineStr">
        <is>
          <t>Läderdoftande fingersvamp
Rynkskinn
Rosenticka
Ullticka</t>
        </is>
      </c>
      <c r="S33">
        <f>HYPERLINK("https://klasma.github.io/Logging_2262/artfynd/A 53296-2024 artfynd.xlsx", "A 53296-2024")</f>
        <v/>
      </c>
      <c r="T33">
        <f>HYPERLINK("https://klasma.github.io/Logging_2262/kartor/A 53296-2024 karta.png", "A 53296-2024")</f>
        <v/>
      </c>
      <c r="V33">
        <f>HYPERLINK("https://klasma.github.io/Logging_2262/klagomål/A 53296-2024 FSC-klagomål.docx", "A 53296-2024")</f>
        <v/>
      </c>
      <c r="W33">
        <f>HYPERLINK("https://klasma.github.io/Logging_2262/klagomålsmail/A 53296-2024 FSC-klagomål mail.docx", "A 53296-2024")</f>
        <v/>
      </c>
      <c r="X33">
        <f>HYPERLINK("https://klasma.github.io/Logging_2262/tillsyn/A 53296-2024 tillsynsbegäran.docx", "A 53296-2024")</f>
        <v/>
      </c>
      <c r="Y33">
        <f>HYPERLINK("https://klasma.github.io/Logging_2262/tillsynsmail/A 53296-2024 tillsynsbegäran mail.docx", "A 53296-2024")</f>
        <v/>
      </c>
    </row>
    <row r="34" ht="15" customHeight="1">
      <c r="A34" t="inlineStr">
        <is>
          <t>A 57553-2021</t>
        </is>
      </c>
      <c r="B34" s="1" t="n">
        <v>44483.94234953704</v>
      </c>
      <c r="C34" s="1" t="n">
        <v>45955</v>
      </c>
      <c r="D34" t="inlineStr">
        <is>
          <t>VÄSTERNORRLANDS LÄN</t>
        </is>
      </c>
      <c r="E34" t="inlineStr">
        <is>
          <t>TIMRÅ</t>
        </is>
      </c>
      <c r="F34" t="inlineStr">
        <is>
          <t>SCA</t>
        </is>
      </c>
      <c r="G34" t="n">
        <v>17.9</v>
      </c>
      <c r="H34" t="n">
        <v>1</v>
      </c>
      <c r="I34" t="n">
        <v>1</v>
      </c>
      <c r="J34" t="n">
        <v>2</v>
      </c>
      <c r="K34" t="n">
        <v>1</v>
      </c>
      <c r="L34" t="n">
        <v>0</v>
      </c>
      <c r="M34" t="n">
        <v>0</v>
      </c>
      <c r="N34" t="n">
        <v>0</v>
      </c>
      <c r="O34" t="n">
        <v>3</v>
      </c>
      <c r="P34" t="n">
        <v>1</v>
      </c>
      <c r="Q34" t="n">
        <v>4</v>
      </c>
      <c r="R34" s="2" t="inlineStr">
        <is>
          <t>Knärot
Garnlav
Tallticka
Vedticka</t>
        </is>
      </c>
      <c r="S34">
        <f>HYPERLINK("https://klasma.github.io/Logging_2262/artfynd/A 57553-2021 artfynd.xlsx", "A 57553-2021")</f>
        <v/>
      </c>
      <c r="T34">
        <f>HYPERLINK("https://klasma.github.io/Logging_2262/kartor/A 57553-2021 karta.png", "A 57553-2021")</f>
        <v/>
      </c>
      <c r="U34">
        <f>HYPERLINK("https://klasma.github.io/Logging_2262/knärot/A 57553-2021 karta knärot.png", "A 57553-2021")</f>
        <v/>
      </c>
      <c r="V34">
        <f>HYPERLINK("https://klasma.github.io/Logging_2262/klagomål/A 57553-2021 FSC-klagomål.docx", "A 57553-2021")</f>
        <v/>
      </c>
      <c r="W34">
        <f>HYPERLINK("https://klasma.github.io/Logging_2262/klagomålsmail/A 57553-2021 FSC-klagomål mail.docx", "A 57553-2021")</f>
        <v/>
      </c>
      <c r="X34">
        <f>HYPERLINK("https://klasma.github.io/Logging_2262/tillsyn/A 57553-2021 tillsynsbegäran.docx", "A 57553-2021")</f>
        <v/>
      </c>
      <c r="Y34">
        <f>HYPERLINK("https://klasma.github.io/Logging_2262/tillsynsmail/A 57553-2021 tillsynsbegäran mail.docx", "A 57553-2021")</f>
        <v/>
      </c>
    </row>
    <row r="35" ht="15" customHeight="1">
      <c r="A35" t="inlineStr">
        <is>
          <t>A 53436-2023</t>
        </is>
      </c>
      <c r="B35" s="1" t="n">
        <v>45229</v>
      </c>
      <c r="C35" s="1" t="n">
        <v>45955</v>
      </c>
      <c r="D35" t="inlineStr">
        <is>
          <t>VÄSTERNORRLANDS LÄN</t>
        </is>
      </c>
      <c r="E35" t="inlineStr">
        <is>
          <t>TIMRÅ</t>
        </is>
      </c>
      <c r="F35" t="inlineStr">
        <is>
          <t>SCA</t>
        </is>
      </c>
      <c r="G35" t="n">
        <v>4.2</v>
      </c>
      <c r="H35" t="n">
        <v>1</v>
      </c>
      <c r="I35" t="n">
        <v>2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4</v>
      </c>
      <c r="R35" s="2" t="inlineStr">
        <is>
          <t>Ullticka
Strutbräken
Vårärt
Revlummer</t>
        </is>
      </c>
      <c r="S35">
        <f>HYPERLINK("https://klasma.github.io/Logging_2262/artfynd/A 53436-2023 artfynd.xlsx", "A 53436-2023")</f>
        <v/>
      </c>
      <c r="T35">
        <f>HYPERLINK("https://klasma.github.io/Logging_2262/kartor/A 53436-2023 karta.png", "A 53436-2023")</f>
        <v/>
      </c>
      <c r="V35">
        <f>HYPERLINK("https://klasma.github.io/Logging_2262/klagomål/A 53436-2023 FSC-klagomål.docx", "A 53436-2023")</f>
        <v/>
      </c>
      <c r="W35">
        <f>HYPERLINK("https://klasma.github.io/Logging_2262/klagomålsmail/A 53436-2023 FSC-klagomål mail.docx", "A 53436-2023")</f>
        <v/>
      </c>
      <c r="X35">
        <f>HYPERLINK("https://klasma.github.io/Logging_2262/tillsyn/A 53436-2023 tillsynsbegäran.docx", "A 53436-2023")</f>
        <v/>
      </c>
      <c r="Y35">
        <f>HYPERLINK("https://klasma.github.io/Logging_2262/tillsynsmail/A 53436-2023 tillsynsbegäran mail.docx", "A 53436-2023")</f>
        <v/>
      </c>
    </row>
    <row r="36" ht="15" customHeight="1">
      <c r="A36" t="inlineStr">
        <is>
          <t>A 44034-2025</t>
        </is>
      </c>
      <c r="B36" s="1" t="n">
        <v>45915.49065972222</v>
      </c>
      <c r="C36" s="1" t="n">
        <v>45955</v>
      </c>
      <c r="D36" t="inlineStr">
        <is>
          <t>VÄSTERNORRLANDS LÄN</t>
        </is>
      </c>
      <c r="E36" t="inlineStr">
        <is>
          <t>TIMRÅ</t>
        </is>
      </c>
      <c r="F36" t="inlineStr">
        <is>
          <t>SCA</t>
        </is>
      </c>
      <c r="G36" t="n">
        <v>5.2</v>
      </c>
      <c r="H36" t="n">
        <v>0</v>
      </c>
      <c r="I36" t="n">
        <v>2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4</v>
      </c>
      <c r="R36" s="2" t="inlineStr">
        <is>
          <t>Garnlav
Äggvaxskivling
Dvärgtufs
Skinnlav</t>
        </is>
      </c>
      <c r="S36">
        <f>HYPERLINK("https://klasma.github.io/Logging_2262/artfynd/A 44034-2025 artfynd.xlsx", "A 44034-2025")</f>
        <v/>
      </c>
      <c r="T36">
        <f>HYPERLINK("https://klasma.github.io/Logging_2262/kartor/A 44034-2025 karta.png", "A 44034-2025")</f>
        <v/>
      </c>
      <c r="V36">
        <f>HYPERLINK("https://klasma.github.io/Logging_2262/klagomål/A 44034-2025 FSC-klagomål.docx", "A 44034-2025")</f>
        <v/>
      </c>
      <c r="W36">
        <f>HYPERLINK("https://klasma.github.io/Logging_2262/klagomålsmail/A 44034-2025 FSC-klagomål mail.docx", "A 44034-2025")</f>
        <v/>
      </c>
      <c r="X36">
        <f>HYPERLINK("https://klasma.github.io/Logging_2262/tillsyn/A 44034-2025 tillsynsbegäran.docx", "A 44034-2025")</f>
        <v/>
      </c>
      <c r="Y36">
        <f>HYPERLINK("https://klasma.github.io/Logging_2262/tillsynsmail/A 44034-2025 tillsynsbegäran mail.docx", "A 44034-2025")</f>
        <v/>
      </c>
    </row>
    <row r="37" ht="15" customHeight="1">
      <c r="A37" t="inlineStr">
        <is>
          <t>A 52150-2025</t>
        </is>
      </c>
      <c r="B37" s="1" t="n">
        <v>45953.34493055556</v>
      </c>
      <c r="C37" s="1" t="n">
        <v>45955</v>
      </c>
      <c r="D37" t="inlineStr">
        <is>
          <t>VÄSTERNORRLANDS LÄN</t>
        </is>
      </c>
      <c r="E37" t="inlineStr">
        <is>
          <t>TIMRÅ</t>
        </is>
      </c>
      <c r="F37" t="inlineStr">
        <is>
          <t>SCA</t>
        </is>
      </c>
      <c r="G37" t="n">
        <v>7</v>
      </c>
      <c r="H37" t="n">
        <v>0</v>
      </c>
      <c r="I37" t="n">
        <v>0</v>
      </c>
      <c r="J37" t="n">
        <v>4</v>
      </c>
      <c r="K37" t="n">
        <v>0</v>
      </c>
      <c r="L37" t="n">
        <v>0</v>
      </c>
      <c r="M37" t="n">
        <v>0</v>
      </c>
      <c r="N37" t="n">
        <v>0</v>
      </c>
      <c r="O37" t="n">
        <v>4</v>
      </c>
      <c r="P37" t="n">
        <v>0</v>
      </c>
      <c r="Q37" t="n">
        <v>4</v>
      </c>
      <c r="R37" s="2" t="inlineStr">
        <is>
          <t>Granticka
Lunglav
Stjärntagging
Ullticka</t>
        </is>
      </c>
      <c r="S37">
        <f>HYPERLINK("https://klasma.github.io/Logging_2262/artfynd/A 52150-2025 artfynd.xlsx", "A 52150-2025")</f>
        <v/>
      </c>
      <c r="T37">
        <f>HYPERLINK("https://klasma.github.io/Logging_2262/kartor/A 52150-2025 karta.png", "A 52150-2025")</f>
        <v/>
      </c>
      <c r="V37">
        <f>HYPERLINK("https://klasma.github.io/Logging_2262/klagomål/A 52150-2025 FSC-klagomål.docx", "A 52150-2025")</f>
        <v/>
      </c>
      <c r="W37">
        <f>HYPERLINK("https://klasma.github.io/Logging_2262/klagomålsmail/A 52150-2025 FSC-klagomål mail.docx", "A 52150-2025")</f>
        <v/>
      </c>
      <c r="X37">
        <f>HYPERLINK("https://klasma.github.io/Logging_2262/tillsyn/A 52150-2025 tillsynsbegäran.docx", "A 52150-2025")</f>
        <v/>
      </c>
      <c r="Y37">
        <f>HYPERLINK("https://klasma.github.io/Logging_2262/tillsynsmail/A 52150-2025 tillsynsbegäran mail.docx", "A 52150-2025")</f>
        <v/>
      </c>
    </row>
    <row r="38" ht="15" customHeight="1">
      <c r="A38" t="inlineStr">
        <is>
          <t>A 11288-2024</t>
        </is>
      </c>
      <c r="B38" s="1" t="n">
        <v>45371</v>
      </c>
      <c r="C38" s="1" t="n">
        <v>45955</v>
      </c>
      <c r="D38" t="inlineStr">
        <is>
          <t>VÄSTERNORRLANDS LÄN</t>
        </is>
      </c>
      <c r="E38" t="inlineStr">
        <is>
          <t>TIMRÅ</t>
        </is>
      </c>
      <c r="G38" t="n">
        <v>2.4</v>
      </c>
      <c r="H38" t="n">
        <v>3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4</v>
      </c>
      <c r="R38" s="2" t="inlineStr">
        <is>
          <t>Spillkråka
Stor aspticka
Gråspett
Skogsduva</t>
        </is>
      </c>
      <c r="S38">
        <f>HYPERLINK("https://klasma.github.io/Logging_2262/artfynd/A 11288-2024 artfynd.xlsx", "A 11288-2024")</f>
        <v/>
      </c>
      <c r="T38">
        <f>HYPERLINK("https://klasma.github.io/Logging_2262/kartor/A 11288-2024 karta.png", "A 11288-2024")</f>
        <v/>
      </c>
      <c r="V38">
        <f>HYPERLINK("https://klasma.github.io/Logging_2262/klagomål/A 11288-2024 FSC-klagomål.docx", "A 11288-2024")</f>
        <v/>
      </c>
      <c r="W38">
        <f>HYPERLINK("https://klasma.github.io/Logging_2262/klagomålsmail/A 11288-2024 FSC-klagomål mail.docx", "A 11288-2024")</f>
        <v/>
      </c>
      <c r="X38">
        <f>HYPERLINK("https://klasma.github.io/Logging_2262/tillsyn/A 11288-2024 tillsynsbegäran.docx", "A 11288-2024")</f>
        <v/>
      </c>
      <c r="Y38">
        <f>HYPERLINK("https://klasma.github.io/Logging_2262/tillsynsmail/A 11288-2024 tillsynsbegäran mail.docx", "A 11288-2024")</f>
        <v/>
      </c>
      <c r="Z38">
        <f>HYPERLINK("https://klasma.github.io/Logging_2262/fåglar/A 11288-2024 prioriterade fågelarter.docx", "A 11288-2024")</f>
        <v/>
      </c>
    </row>
    <row r="39" ht="15" customHeight="1">
      <c r="A39" t="inlineStr">
        <is>
          <t>A 51546-2024</t>
        </is>
      </c>
      <c r="B39" s="1" t="n">
        <v>45604.59423611111</v>
      </c>
      <c r="C39" s="1" t="n">
        <v>45955</v>
      </c>
      <c r="D39" t="inlineStr">
        <is>
          <t>VÄSTERNORRLANDS LÄN</t>
        </is>
      </c>
      <c r="E39" t="inlineStr">
        <is>
          <t>TIMRÅ</t>
        </is>
      </c>
      <c r="F39" t="inlineStr">
        <is>
          <t>SCA</t>
        </is>
      </c>
      <c r="G39" t="n">
        <v>7.3</v>
      </c>
      <c r="H39" t="n">
        <v>0</v>
      </c>
      <c r="I39" t="n">
        <v>1</v>
      </c>
      <c r="J39" t="n">
        <v>3</v>
      </c>
      <c r="K39" t="n">
        <v>0</v>
      </c>
      <c r="L39" t="n">
        <v>0</v>
      </c>
      <c r="M39" t="n">
        <v>0</v>
      </c>
      <c r="N39" t="n">
        <v>0</v>
      </c>
      <c r="O39" t="n">
        <v>3</v>
      </c>
      <c r="P39" t="n">
        <v>0</v>
      </c>
      <c r="Q39" t="n">
        <v>4</v>
      </c>
      <c r="R39" s="2" t="inlineStr">
        <is>
          <t>Granticka
Lunglav
Ullticka
Stuplav</t>
        </is>
      </c>
      <c r="S39">
        <f>HYPERLINK("https://klasma.github.io/Logging_2262/artfynd/A 51546-2024 artfynd.xlsx", "A 51546-2024")</f>
        <v/>
      </c>
      <c r="T39">
        <f>HYPERLINK("https://klasma.github.io/Logging_2262/kartor/A 51546-2024 karta.png", "A 51546-2024")</f>
        <v/>
      </c>
      <c r="V39">
        <f>HYPERLINK("https://klasma.github.io/Logging_2262/klagomål/A 51546-2024 FSC-klagomål.docx", "A 51546-2024")</f>
        <v/>
      </c>
      <c r="W39">
        <f>HYPERLINK("https://klasma.github.io/Logging_2262/klagomålsmail/A 51546-2024 FSC-klagomål mail.docx", "A 51546-2024")</f>
        <v/>
      </c>
      <c r="X39">
        <f>HYPERLINK("https://klasma.github.io/Logging_2262/tillsyn/A 51546-2024 tillsynsbegäran.docx", "A 51546-2024")</f>
        <v/>
      </c>
      <c r="Y39">
        <f>HYPERLINK("https://klasma.github.io/Logging_2262/tillsynsmail/A 51546-2024 tillsynsbegäran mail.docx", "A 51546-2024")</f>
        <v/>
      </c>
    </row>
    <row r="40" ht="15" customHeight="1">
      <c r="A40" t="inlineStr">
        <is>
          <t>A 47816-2022</t>
        </is>
      </c>
      <c r="B40" s="1" t="n">
        <v>44854</v>
      </c>
      <c r="C40" s="1" t="n">
        <v>45955</v>
      </c>
      <c r="D40" t="inlineStr">
        <is>
          <t>VÄSTERNORRLANDS LÄN</t>
        </is>
      </c>
      <c r="E40" t="inlineStr">
        <is>
          <t>TIMRÅ</t>
        </is>
      </c>
      <c r="F40" t="inlineStr">
        <is>
          <t>SCA</t>
        </is>
      </c>
      <c r="G40" t="n">
        <v>2.9</v>
      </c>
      <c r="H40" t="n">
        <v>0</v>
      </c>
      <c r="I40" t="n">
        <v>0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3</v>
      </c>
      <c r="R40" s="2" t="inlineStr">
        <is>
          <t>Garnlav
Tallticka
Violettgrå tagellav</t>
        </is>
      </c>
      <c r="S40">
        <f>HYPERLINK("https://klasma.github.io/Logging_2262/artfynd/A 47816-2022 artfynd.xlsx", "A 47816-2022")</f>
        <v/>
      </c>
      <c r="T40">
        <f>HYPERLINK("https://klasma.github.io/Logging_2262/kartor/A 47816-2022 karta.png", "A 47816-2022")</f>
        <v/>
      </c>
      <c r="V40">
        <f>HYPERLINK("https://klasma.github.io/Logging_2262/klagomål/A 47816-2022 FSC-klagomål.docx", "A 47816-2022")</f>
        <v/>
      </c>
      <c r="W40">
        <f>HYPERLINK("https://klasma.github.io/Logging_2262/klagomålsmail/A 47816-2022 FSC-klagomål mail.docx", "A 47816-2022")</f>
        <v/>
      </c>
      <c r="X40">
        <f>HYPERLINK("https://klasma.github.io/Logging_2262/tillsyn/A 47816-2022 tillsynsbegäran.docx", "A 47816-2022")</f>
        <v/>
      </c>
      <c r="Y40">
        <f>HYPERLINK("https://klasma.github.io/Logging_2262/tillsynsmail/A 47816-2022 tillsynsbegäran mail.docx", "A 47816-2022")</f>
        <v/>
      </c>
    </row>
    <row r="41" ht="15" customHeight="1">
      <c r="A41" t="inlineStr">
        <is>
          <t>A 22427-2025</t>
        </is>
      </c>
      <c r="B41" s="1" t="n">
        <v>45786</v>
      </c>
      <c r="C41" s="1" t="n">
        <v>45955</v>
      </c>
      <c r="D41" t="inlineStr">
        <is>
          <t>VÄSTERNORRLANDS LÄN</t>
        </is>
      </c>
      <c r="E41" t="inlineStr">
        <is>
          <t>TIMRÅ</t>
        </is>
      </c>
      <c r="F41" t="inlineStr">
        <is>
          <t>SCA</t>
        </is>
      </c>
      <c r="G41" t="n">
        <v>7.1</v>
      </c>
      <c r="H41" t="n">
        <v>2</v>
      </c>
      <c r="I41" t="n">
        <v>0</v>
      </c>
      <c r="J41" t="n">
        <v>2</v>
      </c>
      <c r="K41" t="n">
        <v>0</v>
      </c>
      <c r="L41" t="n">
        <v>0</v>
      </c>
      <c r="M41" t="n">
        <v>0</v>
      </c>
      <c r="N41" t="n">
        <v>0</v>
      </c>
      <c r="O41" t="n">
        <v>2</v>
      </c>
      <c r="P41" t="n">
        <v>0</v>
      </c>
      <c r="Q41" t="n">
        <v>3</v>
      </c>
      <c r="R41" s="2" t="inlineStr">
        <is>
          <t>Lunglav
Tretåig hackspett
Nattviol</t>
        </is>
      </c>
      <c r="S41">
        <f>HYPERLINK("https://klasma.github.io/Logging_2262/artfynd/A 22427-2025 artfynd.xlsx", "A 22427-2025")</f>
        <v/>
      </c>
      <c r="T41">
        <f>HYPERLINK("https://klasma.github.io/Logging_2262/kartor/A 22427-2025 karta.png", "A 22427-2025")</f>
        <v/>
      </c>
      <c r="V41">
        <f>HYPERLINK("https://klasma.github.io/Logging_2262/klagomål/A 22427-2025 FSC-klagomål.docx", "A 22427-2025")</f>
        <v/>
      </c>
      <c r="W41">
        <f>HYPERLINK("https://klasma.github.io/Logging_2262/klagomålsmail/A 22427-2025 FSC-klagomål mail.docx", "A 22427-2025")</f>
        <v/>
      </c>
      <c r="X41">
        <f>HYPERLINK("https://klasma.github.io/Logging_2262/tillsyn/A 22427-2025 tillsynsbegäran.docx", "A 22427-2025")</f>
        <v/>
      </c>
      <c r="Y41">
        <f>HYPERLINK("https://klasma.github.io/Logging_2262/tillsynsmail/A 22427-2025 tillsynsbegäran mail.docx", "A 22427-2025")</f>
        <v/>
      </c>
      <c r="Z41">
        <f>HYPERLINK("https://klasma.github.io/Logging_2262/fåglar/A 22427-2025 prioriterade fågelarter.docx", "A 22427-2025")</f>
        <v/>
      </c>
    </row>
    <row r="42" ht="15" customHeight="1">
      <c r="A42" t="inlineStr">
        <is>
          <t>A 22210-2025</t>
        </is>
      </c>
      <c r="B42" s="1" t="n">
        <v>45785.65743055556</v>
      </c>
      <c r="C42" s="1" t="n">
        <v>45955</v>
      </c>
      <c r="D42" t="inlineStr">
        <is>
          <t>VÄSTERNORRLANDS LÄN</t>
        </is>
      </c>
      <c r="E42" t="inlineStr">
        <is>
          <t>TIMRÅ</t>
        </is>
      </c>
      <c r="F42" t="inlineStr">
        <is>
          <t>SCA</t>
        </is>
      </c>
      <c r="G42" t="n">
        <v>4.1</v>
      </c>
      <c r="H42" t="n">
        <v>0</v>
      </c>
      <c r="I42" t="n">
        <v>1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3</v>
      </c>
      <c r="R42" s="2" t="inlineStr">
        <is>
          <t>Doftskinn
Gammelgransskål
Rävticka</t>
        </is>
      </c>
      <c r="S42">
        <f>HYPERLINK("https://klasma.github.io/Logging_2262/artfynd/A 22210-2025 artfynd.xlsx", "A 22210-2025")</f>
        <v/>
      </c>
      <c r="T42">
        <f>HYPERLINK("https://klasma.github.io/Logging_2262/kartor/A 22210-2025 karta.png", "A 22210-2025")</f>
        <v/>
      </c>
      <c r="V42">
        <f>HYPERLINK("https://klasma.github.io/Logging_2262/klagomål/A 22210-2025 FSC-klagomål.docx", "A 22210-2025")</f>
        <v/>
      </c>
      <c r="W42">
        <f>HYPERLINK("https://klasma.github.io/Logging_2262/klagomålsmail/A 22210-2025 FSC-klagomål mail.docx", "A 22210-2025")</f>
        <v/>
      </c>
      <c r="X42">
        <f>HYPERLINK("https://klasma.github.io/Logging_2262/tillsyn/A 22210-2025 tillsynsbegäran.docx", "A 22210-2025")</f>
        <v/>
      </c>
      <c r="Y42">
        <f>HYPERLINK("https://klasma.github.io/Logging_2262/tillsynsmail/A 22210-2025 tillsynsbegäran mail.docx", "A 22210-2025")</f>
        <v/>
      </c>
    </row>
    <row r="43" ht="15" customHeight="1">
      <c r="A43" t="inlineStr">
        <is>
          <t>A 5069-2024</t>
        </is>
      </c>
      <c r="B43" s="1" t="n">
        <v>45329</v>
      </c>
      <c r="C43" s="1" t="n">
        <v>45955</v>
      </c>
      <c r="D43" t="inlineStr">
        <is>
          <t>VÄSTERNORRLANDS LÄN</t>
        </is>
      </c>
      <c r="E43" t="inlineStr">
        <is>
          <t>TIMRÅ</t>
        </is>
      </c>
      <c r="F43" t="inlineStr">
        <is>
          <t>SCA</t>
        </is>
      </c>
      <c r="G43" t="n">
        <v>3.4</v>
      </c>
      <c r="H43" t="n">
        <v>1</v>
      </c>
      <c r="I43" t="n">
        <v>2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3</v>
      </c>
      <c r="R43" s="2" t="inlineStr">
        <is>
          <t>Garnlav
Korallrot
Vedticka</t>
        </is>
      </c>
      <c r="S43">
        <f>HYPERLINK("https://klasma.github.io/Logging_2262/artfynd/A 5069-2024 artfynd.xlsx", "A 5069-2024")</f>
        <v/>
      </c>
      <c r="T43">
        <f>HYPERLINK("https://klasma.github.io/Logging_2262/kartor/A 5069-2024 karta.png", "A 5069-2024")</f>
        <v/>
      </c>
      <c r="V43">
        <f>HYPERLINK("https://klasma.github.io/Logging_2262/klagomål/A 5069-2024 FSC-klagomål.docx", "A 5069-2024")</f>
        <v/>
      </c>
      <c r="W43">
        <f>HYPERLINK("https://klasma.github.io/Logging_2262/klagomålsmail/A 5069-2024 FSC-klagomål mail.docx", "A 5069-2024")</f>
        <v/>
      </c>
      <c r="X43">
        <f>HYPERLINK("https://klasma.github.io/Logging_2262/tillsyn/A 5069-2024 tillsynsbegäran.docx", "A 5069-2024")</f>
        <v/>
      </c>
      <c r="Y43">
        <f>HYPERLINK("https://klasma.github.io/Logging_2262/tillsynsmail/A 5069-2024 tillsynsbegäran mail.docx", "A 5069-2024")</f>
        <v/>
      </c>
    </row>
    <row r="44" ht="15" customHeight="1">
      <c r="A44" t="inlineStr">
        <is>
          <t>A 23282-2025</t>
        </is>
      </c>
      <c r="B44" s="1" t="n">
        <v>45791.57351851852</v>
      </c>
      <c r="C44" s="1" t="n">
        <v>45955</v>
      </c>
      <c r="D44" t="inlineStr">
        <is>
          <t>VÄSTERNORRLANDS LÄN</t>
        </is>
      </c>
      <c r="E44" t="inlineStr">
        <is>
          <t>TIMRÅ</t>
        </is>
      </c>
      <c r="F44" t="inlineStr">
        <is>
          <t>SCA</t>
        </is>
      </c>
      <c r="G44" t="n">
        <v>3.3</v>
      </c>
      <c r="H44" t="n">
        <v>2</v>
      </c>
      <c r="I44" t="n">
        <v>1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3</v>
      </c>
      <c r="R44" s="2" t="inlineStr">
        <is>
          <t>Spillkråka
Vedticka
Fläcknycklar</t>
        </is>
      </c>
      <c r="S44">
        <f>HYPERLINK("https://klasma.github.io/Logging_2262/artfynd/A 23282-2025 artfynd.xlsx", "A 23282-2025")</f>
        <v/>
      </c>
      <c r="T44">
        <f>HYPERLINK("https://klasma.github.io/Logging_2262/kartor/A 23282-2025 karta.png", "A 23282-2025")</f>
        <v/>
      </c>
      <c r="V44">
        <f>HYPERLINK("https://klasma.github.io/Logging_2262/klagomål/A 23282-2025 FSC-klagomål.docx", "A 23282-2025")</f>
        <v/>
      </c>
      <c r="W44">
        <f>HYPERLINK("https://klasma.github.io/Logging_2262/klagomålsmail/A 23282-2025 FSC-klagomål mail.docx", "A 23282-2025")</f>
        <v/>
      </c>
      <c r="X44">
        <f>HYPERLINK("https://klasma.github.io/Logging_2262/tillsyn/A 23282-2025 tillsynsbegäran.docx", "A 23282-2025")</f>
        <v/>
      </c>
      <c r="Y44">
        <f>HYPERLINK("https://klasma.github.io/Logging_2262/tillsynsmail/A 23282-2025 tillsynsbegäran mail.docx", "A 23282-2025")</f>
        <v/>
      </c>
      <c r="Z44">
        <f>HYPERLINK("https://klasma.github.io/Logging_2262/fåglar/A 23282-2025 prioriterade fågelarter.docx", "A 23282-2025")</f>
        <v/>
      </c>
    </row>
    <row r="45" ht="15" customHeight="1">
      <c r="A45" t="inlineStr">
        <is>
          <t>A 23158-2025</t>
        </is>
      </c>
      <c r="B45" s="1" t="n">
        <v>45791.4071875</v>
      </c>
      <c r="C45" s="1" t="n">
        <v>45955</v>
      </c>
      <c r="D45" t="inlineStr">
        <is>
          <t>VÄSTERNORRLANDS LÄN</t>
        </is>
      </c>
      <c r="E45" t="inlineStr">
        <is>
          <t>TIMRÅ</t>
        </is>
      </c>
      <c r="F45" t="inlineStr">
        <is>
          <t>SCA</t>
        </is>
      </c>
      <c r="G45" t="n">
        <v>4.9</v>
      </c>
      <c r="H45" t="n">
        <v>1</v>
      </c>
      <c r="I45" t="n">
        <v>0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3</v>
      </c>
      <c r="R45" s="2" t="inlineStr">
        <is>
          <t>Garnlav
Violettgrå tagellav
Tjäder</t>
        </is>
      </c>
      <c r="S45">
        <f>HYPERLINK("https://klasma.github.io/Logging_2262/artfynd/A 23158-2025 artfynd.xlsx", "A 23158-2025")</f>
        <v/>
      </c>
      <c r="T45">
        <f>HYPERLINK("https://klasma.github.io/Logging_2262/kartor/A 23158-2025 karta.png", "A 23158-2025")</f>
        <v/>
      </c>
      <c r="V45">
        <f>HYPERLINK("https://klasma.github.io/Logging_2262/klagomål/A 23158-2025 FSC-klagomål.docx", "A 23158-2025")</f>
        <v/>
      </c>
      <c r="W45">
        <f>HYPERLINK("https://klasma.github.io/Logging_2262/klagomålsmail/A 23158-2025 FSC-klagomål mail.docx", "A 23158-2025")</f>
        <v/>
      </c>
      <c r="X45">
        <f>HYPERLINK("https://klasma.github.io/Logging_2262/tillsyn/A 23158-2025 tillsynsbegäran.docx", "A 23158-2025")</f>
        <v/>
      </c>
      <c r="Y45">
        <f>HYPERLINK("https://klasma.github.io/Logging_2262/tillsynsmail/A 23158-2025 tillsynsbegäran mail.docx", "A 23158-2025")</f>
        <v/>
      </c>
      <c r="Z45">
        <f>HYPERLINK("https://klasma.github.io/Logging_2262/fåglar/A 23158-2025 prioriterade fågelarter.docx", "A 23158-2025")</f>
        <v/>
      </c>
    </row>
    <row r="46" ht="15" customHeight="1">
      <c r="A46" t="inlineStr">
        <is>
          <t>A 24430-2025</t>
        </is>
      </c>
      <c r="B46" s="1" t="n">
        <v>45797</v>
      </c>
      <c r="C46" s="1" t="n">
        <v>45955</v>
      </c>
      <c r="D46" t="inlineStr">
        <is>
          <t>VÄSTERNORRLANDS LÄN</t>
        </is>
      </c>
      <c r="E46" t="inlineStr">
        <is>
          <t>TIMRÅ</t>
        </is>
      </c>
      <c r="F46" t="inlineStr">
        <is>
          <t>SCA</t>
        </is>
      </c>
      <c r="G46" t="n">
        <v>14</v>
      </c>
      <c r="H46" t="n">
        <v>0</v>
      </c>
      <c r="I46" t="n">
        <v>1</v>
      </c>
      <c r="J46" t="n">
        <v>2</v>
      </c>
      <c r="K46" t="n">
        <v>0</v>
      </c>
      <c r="L46" t="n">
        <v>0</v>
      </c>
      <c r="M46" t="n">
        <v>0</v>
      </c>
      <c r="N46" t="n">
        <v>0</v>
      </c>
      <c r="O46" t="n">
        <v>2</v>
      </c>
      <c r="P46" t="n">
        <v>0</v>
      </c>
      <c r="Q46" t="n">
        <v>3</v>
      </c>
      <c r="R46" s="2" t="inlineStr">
        <is>
          <t>Granticka
Lunglav
Stuplav</t>
        </is>
      </c>
      <c r="S46">
        <f>HYPERLINK("https://klasma.github.io/Logging_2262/artfynd/A 24430-2025 artfynd.xlsx", "A 24430-2025")</f>
        <v/>
      </c>
      <c r="T46">
        <f>HYPERLINK("https://klasma.github.io/Logging_2262/kartor/A 24430-2025 karta.png", "A 24430-2025")</f>
        <v/>
      </c>
      <c r="V46">
        <f>HYPERLINK("https://klasma.github.io/Logging_2262/klagomål/A 24430-2025 FSC-klagomål.docx", "A 24430-2025")</f>
        <v/>
      </c>
      <c r="W46">
        <f>HYPERLINK("https://klasma.github.io/Logging_2262/klagomålsmail/A 24430-2025 FSC-klagomål mail.docx", "A 24430-2025")</f>
        <v/>
      </c>
      <c r="X46">
        <f>HYPERLINK("https://klasma.github.io/Logging_2262/tillsyn/A 24430-2025 tillsynsbegäran.docx", "A 24430-2025")</f>
        <v/>
      </c>
      <c r="Y46">
        <f>HYPERLINK("https://klasma.github.io/Logging_2262/tillsynsmail/A 24430-2025 tillsynsbegäran mail.docx", "A 24430-2025")</f>
        <v/>
      </c>
    </row>
    <row r="47" ht="15" customHeight="1">
      <c r="A47" t="inlineStr">
        <is>
          <t>A 27307-2025</t>
        </is>
      </c>
      <c r="B47" s="1" t="n">
        <v>45812.57344907407</v>
      </c>
      <c r="C47" s="1" t="n">
        <v>45955</v>
      </c>
      <c r="D47" t="inlineStr">
        <is>
          <t>VÄSTERNORRLANDS LÄN</t>
        </is>
      </c>
      <c r="E47" t="inlineStr">
        <is>
          <t>TIMRÅ</t>
        </is>
      </c>
      <c r="F47" t="inlineStr">
        <is>
          <t>SCA</t>
        </is>
      </c>
      <c r="G47" t="n">
        <v>1.9</v>
      </c>
      <c r="H47" t="n">
        <v>0</v>
      </c>
      <c r="I47" t="n">
        <v>1</v>
      </c>
      <c r="J47" t="n">
        <v>2</v>
      </c>
      <c r="K47" t="n">
        <v>0</v>
      </c>
      <c r="L47" t="n">
        <v>0</v>
      </c>
      <c r="M47" t="n">
        <v>0</v>
      </c>
      <c r="N47" t="n">
        <v>0</v>
      </c>
      <c r="O47" t="n">
        <v>2</v>
      </c>
      <c r="P47" t="n">
        <v>0</v>
      </c>
      <c r="Q47" t="n">
        <v>3</v>
      </c>
      <c r="R47" s="2" t="inlineStr">
        <is>
          <t>Lunglav
Skrovellav
Stuplav</t>
        </is>
      </c>
      <c r="S47">
        <f>HYPERLINK("https://klasma.github.io/Logging_2262/artfynd/A 27307-2025 artfynd.xlsx", "A 27307-2025")</f>
        <v/>
      </c>
      <c r="T47">
        <f>HYPERLINK("https://klasma.github.io/Logging_2262/kartor/A 27307-2025 karta.png", "A 27307-2025")</f>
        <v/>
      </c>
      <c r="V47">
        <f>HYPERLINK("https://klasma.github.io/Logging_2262/klagomål/A 27307-2025 FSC-klagomål.docx", "A 27307-2025")</f>
        <v/>
      </c>
      <c r="W47">
        <f>HYPERLINK("https://klasma.github.io/Logging_2262/klagomålsmail/A 27307-2025 FSC-klagomål mail.docx", "A 27307-2025")</f>
        <v/>
      </c>
      <c r="X47">
        <f>HYPERLINK("https://klasma.github.io/Logging_2262/tillsyn/A 27307-2025 tillsynsbegäran.docx", "A 27307-2025")</f>
        <v/>
      </c>
      <c r="Y47">
        <f>HYPERLINK("https://klasma.github.io/Logging_2262/tillsynsmail/A 27307-2025 tillsynsbegäran mail.docx", "A 27307-2025")</f>
        <v/>
      </c>
    </row>
    <row r="48" ht="15" customHeight="1">
      <c r="A48" t="inlineStr">
        <is>
          <t>A 27337-2025</t>
        </is>
      </c>
      <c r="B48" s="1" t="n">
        <v>45812.6150462963</v>
      </c>
      <c r="C48" s="1" t="n">
        <v>45955</v>
      </c>
      <c r="D48" t="inlineStr">
        <is>
          <t>VÄSTERNORRLANDS LÄN</t>
        </is>
      </c>
      <c r="E48" t="inlineStr">
        <is>
          <t>TIMRÅ</t>
        </is>
      </c>
      <c r="F48" t="inlineStr">
        <is>
          <t>SCA</t>
        </is>
      </c>
      <c r="G48" t="n">
        <v>1.3</v>
      </c>
      <c r="H48" t="n">
        <v>0</v>
      </c>
      <c r="I48" t="n">
        <v>1</v>
      </c>
      <c r="J48" t="n">
        <v>2</v>
      </c>
      <c r="K48" t="n">
        <v>0</v>
      </c>
      <c r="L48" t="n">
        <v>0</v>
      </c>
      <c r="M48" t="n">
        <v>0</v>
      </c>
      <c r="N48" t="n">
        <v>0</v>
      </c>
      <c r="O48" t="n">
        <v>2</v>
      </c>
      <c r="P48" t="n">
        <v>0</v>
      </c>
      <c r="Q48" t="n">
        <v>3</v>
      </c>
      <c r="R48" s="2" t="inlineStr">
        <is>
          <t>Granticka
Ullticka
Vedticka</t>
        </is>
      </c>
      <c r="S48">
        <f>HYPERLINK("https://klasma.github.io/Logging_2262/artfynd/A 27337-2025 artfynd.xlsx", "A 27337-2025")</f>
        <v/>
      </c>
      <c r="T48">
        <f>HYPERLINK("https://klasma.github.io/Logging_2262/kartor/A 27337-2025 karta.png", "A 27337-2025")</f>
        <v/>
      </c>
      <c r="V48">
        <f>HYPERLINK("https://klasma.github.io/Logging_2262/klagomål/A 27337-2025 FSC-klagomål.docx", "A 27337-2025")</f>
        <v/>
      </c>
      <c r="W48">
        <f>HYPERLINK("https://klasma.github.io/Logging_2262/klagomålsmail/A 27337-2025 FSC-klagomål mail.docx", "A 27337-2025")</f>
        <v/>
      </c>
      <c r="X48">
        <f>HYPERLINK("https://klasma.github.io/Logging_2262/tillsyn/A 27337-2025 tillsynsbegäran.docx", "A 27337-2025")</f>
        <v/>
      </c>
      <c r="Y48">
        <f>HYPERLINK("https://klasma.github.io/Logging_2262/tillsynsmail/A 27337-2025 tillsynsbegäran mail.docx", "A 27337-2025")</f>
        <v/>
      </c>
    </row>
    <row r="49" ht="15" customHeight="1">
      <c r="A49" t="inlineStr">
        <is>
          <t>A 36160-2025</t>
        </is>
      </c>
      <c r="B49" s="1" t="n">
        <v>45867</v>
      </c>
      <c r="C49" s="1" t="n">
        <v>45955</v>
      </c>
      <c r="D49" t="inlineStr">
        <is>
          <t>VÄSTERNORRLANDS LÄN</t>
        </is>
      </c>
      <c r="E49" t="inlineStr">
        <is>
          <t>TIMRÅ</t>
        </is>
      </c>
      <c r="F49" t="inlineStr">
        <is>
          <t>SCA</t>
        </is>
      </c>
      <c r="G49" t="n">
        <v>2.5</v>
      </c>
      <c r="H49" t="n">
        <v>0</v>
      </c>
      <c r="I49" t="n">
        <v>0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3</v>
      </c>
      <c r="R49" s="2" t="inlineStr">
        <is>
          <t>Garnlav
Rosenticka
Ullticka</t>
        </is>
      </c>
      <c r="S49">
        <f>HYPERLINK("https://klasma.github.io/Logging_2262/artfynd/A 36160-2025 artfynd.xlsx", "A 36160-2025")</f>
        <v/>
      </c>
      <c r="T49">
        <f>HYPERLINK("https://klasma.github.io/Logging_2262/kartor/A 36160-2025 karta.png", "A 36160-2025")</f>
        <v/>
      </c>
      <c r="V49">
        <f>HYPERLINK("https://klasma.github.io/Logging_2262/klagomål/A 36160-2025 FSC-klagomål.docx", "A 36160-2025")</f>
        <v/>
      </c>
      <c r="W49">
        <f>HYPERLINK("https://klasma.github.io/Logging_2262/klagomålsmail/A 36160-2025 FSC-klagomål mail.docx", "A 36160-2025")</f>
        <v/>
      </c>
      <c r="X49">
        <f>HYPERLINK("https://klasma.github.io/Logging_2262/tillsyn/A 36160-2025 tillsynsbegäran.docx", "A 36160-2025")</f>
        <v/>
      </c>
      <c r="Y49">
        <f>HYPERLINK("https://klasma.github.io/Logging_2262/tillsynsmail/A 36160-2025 tillsynsbegäran mail.docx", "A 36160-2025")</f>
        <v/>
      </c>
    </row>
    <row r="50" ht="15" customHeight="1">
      <c r="A50" t="inlineStr">
        <is>
          <t>A 48798-2024</t>
        </is>
      </c>
      <c r="B50" s="1" t="n">
        <v>45593.65664351852</v>
      </c>
      <c r="C50" s="1" t="n">
        <v>45955</v>
      </c>
      <c r="D50" t="inlineStr">
        <is>
          <t>VÄSTERNORRLANDS LÄN</t>
        </is>
      </c>
      <c r="E50" t="inlineStr">
        <is>
          <t>TIMRÅ</t>
        </is>
      </c>
      <c r="F50" t="inlineStr">
        <is>
          <t>SCA</t>
        </is>
      </c>
      <c r="G50" t="n">
        <v>2.3</v>
      </c>
      <c r="H50" t="n">
        <v>0</v>
      </c>
      <c r="I50" t="n">
        <v>0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3</v>
      </c>
      <c r="R50" s="2" t="inlineStr">
        <is>
          <t>Garnlav
Kolflarnlav
Leptoporus mollis</t>
        </is>
      </c>
      <c r="S50">
        <f>HYPERLINK("https://klasma.github.io/Logging_2262/artfynd/A 48798-2024 artfynd.xlsx", "A 48798-2024")</f>
        <v/>
      </c>
      <c r="T50">
        <f>HYPERLINK("https://klasma.github.io/Logging_2262/kartor/A 48798-2024 karta.png", "A 48798-2024")</f>
        <v/>
      </c>
      <c r="V50">
        <f>HYPERLINK("https://klasma.github.io/Logging_2262/klagomål/A 48798-2024 FSC-klagomål.docx", "A 48798-2024")</f>
        <v/>
      </c>
      <c r="W50">
        <f>HYPERLINK("https://klasma.github.io/Logging_2262/klagomålsmail/A 48798-2024 FSC-klagomål mail.docx", "A 48798-2024")</f>
        <v/>
      </c>
      <c r="X50">
        <f>HYPERLINK("https://klasma.github.io/Logging_2262/tillsyn/A 48798-2024 tillsynsbegäran.docx", "A 48798-2024")</f>
        <v/>
      </c>
      <c r="Y50">
        <f>HYPERLINK("https://klasma.github.io/Logging_2262/tillsynsmail/A 48798-2024 tillsynsbegäran mail.docx", "A 48798-2024")</f>
        <v/>
      </c>
    </row>
    <row r="51" ht="15" customHeight="1">
      <c r="A51" t="inlineStr">
        <is>
          <t>A 32364-2025</t>
        </is>
      </c>
      <c r="B51" s="1" t="n">
        <v>45837.6565625</v>
      </c>
      <c r="C51" s="1" t="n">
        <v>45955</v>
      </c>
      <c r="D51" t="inlineStr">
        <is>
          <t>VÄSTERNORRLANDS LÄN</t>
        </is>
      </c>
      <c r="E51" t="inlineStr">
        <is>
          <t>TIMRÅ</t>
        </is>
      </c>
      <c r="F51" t="inlineStr">
        <is>
          <t>SCA</t>
        </is>
      </c>
      <c r="G51" t="n">
        <v>4.1</v>
      </c>
      <c r="H51" t="n">
        <v>0</v>
      </c>
      <c r="I51" t="n">
        <v>0</v>
      </c>
      <c r="J51" t="n">
        <v>3</v>
      </c>
      <c r="K51" t="n">
        <v>0</v>
      </c>
      <c r="L51" t="n">
        <v>0</v>
      </c>
      <c r="M51" t="n">
        <v>0</v>
      </c>
      <c r="N51" t="n">
        <v>0</v>
      </c>
      <c r="O51" t="n">
        <v>3</v>
      </c>
      <c r="P51" t="n">
        <v>0</v>
      </c>
      <c r="Q51" t="n">
        <v>3</v>
      </c>
      <c r="R51" s="2" t="inlineStr">
        <is>
          <t>Doftskinn
Gammelgransskål
Garnlav</t>
        </is>
      </c>
      <c r="S51">
        <f>HYPERLINK("https://klasma.github.io/Logging_2262/artfynd/A 32364-2025 artfynd.xlsx", "A 32364-2025")</f>
        <v/>
      </c>
      <c r="T51">
        <f>HYPERLINK("https://klasma.github.io/Logging_2262/kartor/A 32364-2025 karta.png", "A 32364-2025")</f>
        <v/>
      </c>
      <c r="V51">
        <f>HYPERLINK("https://klasma.github.io/Logging_2262/klagomål/A 32364-2025 FSC-klagomål.docx", "A 32364-2025")</f>
        <v/>
      </c>
      <c r="W51">
        <f>HYPERLINK("https://klasma.github.io/Logging_2262/klagomålsmail/A 32364-2025 FSC-klagomål mail.docx", "A 32364-2025")</f>
        <v/>
      </c>
      <c r="X51">
        <f>HYPERLINK("https://klasma.github.io/Logging_2262/tillsyn/A 32364-2025 tillsynsbegäran.docx", "A 32364-2025")</f>
        <v/>
      </c>
      <c r="Y51">
        <f>HYPERLINK("https://klasma.github.io/Logging_2262/tillsynsmail/A 32364-2025 tillsynsbegäran mail.docx", "A 32364-2025")</f>
        <v/>
      </c>
    </row>
    <row r="52" ht="15" customHeight="1">
      <c r="A52" t="inlineStr">
        <is>
          <t>A 13439-2025</t>
        </is>
      </c>
      <c r="B52" s="1" t="n">
        <v>45736.34435185185</v>
      </c>
      <c r="C52" s="1" t="n">
        <v>45955</v>
      </c>
      <c r="D52" t="inlineStr">
        <is>
          <t>VÄSTERNORRLANDS LÄN</t>
        </is>
      </c>
      <c r="E52" t="inlineStr">
        <is>
          <t>TIMRÅ</t>
        </is>
      </c>
      <c r="F52" t="inlineStr">
        <is>
          <t>SCA</t>
        </is>
      </c>
      <c r="G52" t="n">
        <v>3.2</v>
      </c>
      <c r="H52" t="n">
        <v>0</v>
      </c>
      <c r="I52" t="n">
        <v>1</v>
      </c>
      <c r="J52" t="n">
        <v>2</v>
      </c>
      <c r="K52" t="n">
        <v>0</v>
      </c>
      <c r="L52" t="n">
        <v>0</v>
      </c>
      <c r="M52" t="n">
        <v>0</v>
      </c>
      <c r="N52" t="n">
        <v>0</v>
      </c>
      <c r="O52" t="n">
        <v>2</v>
      </c>
      <c r="P52" t="n">
        <v>0</v>
      </c>
      <c r="Q52" t="n">
        <v>3</v>
      </c>
      <c r="R52" s="2" t="inlineStr">
        <is>
          <t>Garnlav
Granticka
Bårdlav</t>
        </is>
      </c>
      <c r="S52">
        <f>HYPERLINK("https://klasma.github.io/Logging_2262/artfynd/A 13439-2025 artfynd.xlsx", "A 13439-2025")</f>
        <v/>
      </c>
      <c r="T52">
        <f>HYPERLINK("https://klasma.github.io/Logging_2262/kartor/A 13439-2025 karta.png", "A 13439-2025")</f>
        <v/>
      </c>
      <c r="V52">
        <f>HYPERLINK("https://klasma.github.io/Logging_2262/klagomål/A 13439-2025 FSC-klagomål.docx", "A 13439-2025")</f>
        <v/>
      </c>
      <c r="W52">
        <f>HYPERLINK("https://klasma.github.io/Logging_2262/klagomålsmail/A 13439-2025 FSC-klagomål mail.docx", "A 13439-2025")</f>
        <v/>
      </c>
      <c r="X52">
        <f>HYPERLINK("https://klasma.github.io/Logging_2262/tillsyn/A 13439-2025 tillsynsbegäran.docx", "A 13439-2025")</f>
        <v/>
      </c>
      <c r="Y52">
        <f>HYPERLINK("https://klasma.github.io/Logging_2262/tillsynsmail/A 13439-2025 tillsynsbegäran mail.docx", "A 13439-2025")</f>
        <v/>
      </c>
    </row>
    <row r="53" ht="15" customHeight="1">
      <c r="A53" t="inlineStr">
        <is>
          <t>A 21846-2024</t>
        </is>
      </c>
      <c r="B53" s="1" t="n">
        <v>45442</v>
      </c>
      <c r="C53" s="1" t="n">
        <v>45955</v>
      </c>
      <c r="D53" t="inlineStr">
        <is>
          <t>VÄSTERNORRLANDS LÄN</t>
        </is>
      </c>
      <c r="E53" t="inlineStr">
        <is>
          <t>TIMRÅ</t>
        </is>
      </c>
      <c r="F53" t="inlineStr">
        <is>
          <t>SCA</t>
        </is>
      </c>
      <c r="G53" t="n">
        <v>2.6</v>
      </c>
      <c r="H53" t="n">
        <v>1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Garnlav
Tretåig hackspett
Vedflamlav</t>
        </is>
      </c>
      <c r="S53">
        <f>HYPERLINK("https://klasma.github.io/Logging_2262/artfynd/A 21846-2024 artfynd.xlsx", "A 21846-2024")</f>
        <v/>
      </c>
      <c r="T53">
        <f>HYPERLINK("https://klasma.github.io/Logging_2262/kartor/A 21846-2024 karta.png", "A 21846-2024")</f>
        <v/>
      </c>
      <c r="V53">
        <f>HYPERLINK("https://klasma.github.io/Logging_2262/klagomål/A 21846-2024 FSC-klagomål.docx", "A 21846-2024")</f>
        <v/>
      </c>
      <c r="W53">
        <f>HYPERLINK("https://klasma.github.io/Logging_2262/klagomålsmail/A 21846-2024 FSC-klagomål mail.docx", "A 21846-2024")</f>
        <v/>
      </c>
      <c r="X53">
        <f>HYPERLINK("https://klasma.github.io/Logging_2262/tillsyn/A 21846-2024 tillsynsbegäran.docx", "A 21846-2024")</f>
        <v/>
      </c>
      <c r="Y53">
        <f>HYPERLINK("https://klasma.github.io/Logging_2262/tillsynsmail/A 21846-2024 tillsynsbegäran mail.docx", "A 21846-2024")</f>
        <v/>
      </c>
      <c r="Z53">
        <f>HYPERLINK("https://klasma.github.io/Logging_2262/fåglar/A 21846-2024 prioriterade fågelarter.docx", "A 21846-2024")</f>
        <v/>
      </c>
    </row>
    <row r="54" ht="15" customHeight="1">
      <c r="A54" t="inlineStr">
        <is>
          <t>A 36127-2025</t>
        </is>
      </c>
      <c r="B54" s="1" t="n">
        <v>45866</v>
      </c>
      <c r="C54" s="1" t="n">
        <v>45955</v>
      </c>
      <c r="D54" t="inlineStr">
        <is>
          <t>VÄSTERNORRLANDS LÄN</t>
        </is>
      </c>
      <c r="E54" t="inlineStr">
        <is>
          <t>TIMRÅ</t>
        </is>
      </c>
      <c r="F54" t="inlineStr">
        <is>
          <t>SCA</t>
        </is>
      </c>
      <c r="G54" t="n">
        <v>1</v>
      </c>
      <c r="H54" t="n">
        <v>1</v>
      </c>
      <c r="I54" t="n">
        <v>0</v>
      </c>
      <c r="J54" t="n">
        <v>2</v>
      </c>
      <c r="K54" t="n">
        <v>1</v>
      </c>
      <c r="L54" t="n">
        <v>0</v>
      </c>
      <c r="M54" t="n">
        <v>0</v>
      </c>
      <c r="N54" t="n">
        <v>0</v>
      </c>
      <c r="O54" t="n">
        <v>3</v>
      </c>
      <c r="P54" t="n">
        <v>1</v>
      </c>
      <c r="Q54" t="n">
        <v>3</v>
      </c>
      <c r="R54" s="2" t="inlineStr">
        <is>
          <t>Knärot
Rosenticka
Violettgrå tagellav</t>
        </is>
      </c>
      <c r="S54">
        <f>HYPERLINK("https://klasma.github.io/Logging_2262/artfynd/A 36127-2025 artfynd.xlsx", "A 36127-2025")</f>
        <v/>
      </c>
      <c r="T54">
        <f>HYPERLINK("https://klasma.github.io/Logging_2262/kartor/A 36127-2025 karta.png", "A 36127-2025")</f>
        <v/>
      </c>
      <c r="U54">
        <f>HYPERLINK("https://klasma.github.io/Logging_2262/knärot/A 36127-2025 karta knärot.png", "A 36127-2025")</f>
        <v/>
      </c>
      <c r="V54">
        <f>HYPERLINK("https://klasma.github.io/Logging_2262/klagomål/A 36127-2025 FSC-klagomål.docx", "A 36127-2025")</f>
        <v/>
      </c>
      <c r="W54">
        <f>HYPERLINK("https://klasma.github.io/Logging_2262/klagomålsmail/A 36127-2025 FSC-klagomål mail.docx", "A 36127-2025")</f>
        <v/>
      </c>
      <c r="X54">
        <f>HYPERLINK("https://klasma.github.io/Logging_2262/tillsyn/A 36127-2025 tillsynsbegäran.docx", "A 36127-2025")</f>
        <v/>
      </c>
      <c r="Y54">
        <f>HYPERLINK("https://klasma.github.io/Logging_2262/tillsynsmail/A 36127-2025 tillsynsbegäran mail.docx", "A 36127-2025")</f>
        <v/>
      </c>
    </row>
    <row r="55" ht="15" customHeight="1">
      <c r="A55" t="inlineStr">
        <is>
          <t>A 18510-2021</t>
        </is>
      </c>
      <c r="B55" s="1" t="n">
        <v>44306</v>
      </c>
      <c r="C55" s="1" t="n">
        <v>45955</v>
      </c>
      <c r="D55" t="inlineStr">
        <is>
          <t>VÄSTERNORRLANDS LÄN</t>
        </is>
      </c>
      <c r="E55" t="inlineStr">
        <is>
          <t>TIMRÅ</t>
        </is>
      </c>
      <c r="G55" t="n">
        <v>28</v>
      </c>
      <c r="H55" t="n">
        <v>1</v>
      </c>
      <c r="I55" t="n">
        <v>1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2</v>
      </c>
      <c r="R55" s="2" t="inlineStr">
        <is>
          <t>Sötgräs
Strutbräken</t>
        </is>
      </c>
      <c r="S55">
        <f>HYPERLINK("https://klasma.github.io/Logging_2262/artfynd/A 18510-2021 artfynd.xlsx", "A 18510-2021")</f>
        <v/>
      </c>
      <c r="T55">
        <f>HYPERLINK("https://klasma.github.io/Logging_2262/kartor/A 18510-2021 karta.png", "A 18510-2021")</f>
        <v/>
      </c>
      <c r="V55">
        <f>HYPERLINK("https://klasma.github.io/Logging_2262/klagomål/A 18510-2021 FSC-klagomål.docx", "A 18510-2021")</f>
        <v/>
      </c>
      <c r="W55">
        <f>HYPERLINK("https://klasma.github.io/Logging_2262/klagomålsmail/A 18510-2021 FSC-klagomål mail.docx", "A 18510-2021")</f>
        <v/>
      </c>
      <c r="X55">
        <f>HYPERLINK("https://klasma.github.io/Logging_2262/tillsyn/A 18510-2021 tillsynsbegäran.docx", "A 18510-2021")</f>
        <v/>
      </c>
      <c r="Y55">
        <f>HYPERLINK("https://klasma.github.io/Logging_2262/tillsynsmail/A 18510-2021 tillsynsbegäran mail.docx", "A 18510-2021")</f>
        <v/>
      </c>
    </row>
    <row r="56" ht="15" customHeight="1">
      <c r="A56" t="inlineStr">
        <is>
          <t>A 23222-2022</t>
        </is>
      </c>
      <c r="B56" s="1" t="n">
        <v>44719</v>
      </c>
      <c r="C56" s="1" t="n">
        <v>45955</v>
      </c>
      <c r="D56" t="inlineStr">
        <is>
          <t>VÄSTERNORRLANDS LÄN</t>
        </is>
      </c>
      <c r="E56" t="inlineStr">
        <is>
          <t>TIMRÅ</t>
        </is>
      </c>
      <c r="F56" t="inlineStr">
        <is>
          <t>SCA</t>
        </is>
      </c>
      <c r="G56" t="n">
        <v>4</v>
      </c>
      <c r="H56" t="n">
        <v>0</v>
      </c>
      <c r="I56" t="n">
        <v>0</v>
      </c>
      <c r="J56" t="n">
        <v>2</v>
      </c>
      <c r="K56" t="n">
        <v>0</v>
      </c>
      <c r="L56" t="n">
        <v>0</v>
      </c>
      <c r="M56" t="n">
        <v>0</v>
      </c>
      <c r="N56" t="n">
        <v>0</v>
      </c>
      <c r="O56" t="n">
        <v>2</v>
      </c>
      <c r="P56" t="n">
        <v>0</v>
      </c>
      <c r="Q56" t="n">
        <v>2</v>
      </c>
      <c r="R56" s="2" t="inlineStr">
        <is>
          <t>Gammelgransskål
Garnlav</t>
        </is>
      </c>
      <c r="S56">
        <f>HYPERLINK("https://klasma.github.io/Logging_2262/artfynd/A 23222-2022 artfynd.xlsx", "A 23222-2022")</f>
        <v/>
      </c>
      <c r="T56">
        <f>HYPERLINK("https://klasma.github.io/Logging_2262/kartor/A 23222-2022 karta.png", "A 23222-2022")</f>
        <v/>
      </c>
      <c r="V56">
        <f>HYPERLINK("https://klasma.github.io/Logging_2262/klagomål/A 23222-2022 FSC-klagomål.docx", "A 23222-2022")</f>
        <v/>
      </c>
      <c r="W56">
        <f>HYPERLINK("https://klasma.github.io/Logging_2262/klagomålsmail/A 23222-2022 FSC-klagomål mail.docx", "A 23222-2022")</f>
        <v/>
      </c>
      <c r="X56">
        <f>HYPERLINK("https://klasma.github.io/Logging_2262/tillsyn/A 23222-2022 tillsynsbegäran.docx", "A 23222-2022")</f>
        <v/>
      </c>
      <c r="Y56">
        <f>HYPERLINK("https://klasma.github.io/Logging_2262/tillsynsmail/A 23222-2022 tillsynsbegäran mail.docx", "A 23222-2022")</f>
        <v/>
      </c>
    </row>
    <row r="57" ht="15" customHeight="1">
      <c r="A57" t="inlineStr">
        <is>
          <t>A 30246-2022</t>
        </is>
      </c>
      <c r="B57" s="1" t="n">
        <v>44757.94475694445</v>
      </c>
      <c r="C57" s="1" t="n">
        <v>45955</v>
      </c>
      <c r="D57" t="inlineStr">
        <is>
          <t>VÄSTERNORRLANDS LÄN</t>
        </is>
      </c>
      <c r="E57" t="inlineStr">
        <is>
          <t>TIMRÅ</t>
        </is>
      </c>
      <c r="F57" t="inlineStr">
        <is>
          <t>SCA</t>
        </is>
      </c>
      <c r="G57" t="n">
        <v>0.8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2</v>
      </c>
      <c r="R57" s="2" t="inlineStr">
        <is>
          <t>Garnlav
Vanlig padda</t>
        </is>
      </c>
      <c r="S57">
        <f>HYPERLINK("https://klasma.github.io/Logging_2262/artfynd/A 30246-2022 artfynd.xlsx", "A 30246-2022")</f>
        <v/>
      </c>
      <c r="T57">
        <f>HYPERLINK("https://klasma.github.io/Logging_2262/kartor/A 30246-2022 karta.png", "A 30246-2022")</f>
        <v/>
      </c>
      <c r="V57">
        <f>HYPERLINK("https://klasma.github.io/Logging_2262/klagomål/A 30246-2022 FSC-klagomål.docx", "A 30246-2022")</f>
        <v/>
      </c>
      <c r="W57">
        <f>HYPERLINK("https://klasma.github.io/Logging_2262/klagomålsmail/A 30246-2022 FSC-klagomål mail.docx", "A 30246-2022")</f>
        <v/>
      </c>
      <c r="X57">
        <f>HYPERLINK("https://klasma.github.io/Logging_2262/tillsyn/A 30246-2022 tillsynsbegäran.docx", "A 30246-2022")</f>
        <v/>
      </c>
      <c r="Y57">
        <f>HYPERLINK("https://klasma.github.io/Logging_2262/tillsynsmail/A 30246-2022 tillsynsbegäran mail.docx", "A 30246-2022")</f>
        <v/>
      </c>
    </row>
    <row r="58" ht="15" customHeight="1">
      <c r="A58" t="inlineStr">
        <is>
          <t>A 18399-2025</t>
        </is>
      </c>
      <c r="B58" s="1" t="n">
        <v>45762.595</v>
      </c>
      <c r="C58" s="1" t="n">
        <v>45955</v>
      </c>
      <c r="D58" t="inlineStr">
        <is>
          <t>VÄSTERNORRLANDS LÄN</t>
        </is>
      </c>
      <c r="E58" t="inlineStr">
        <is>
          <t>TIMRÅ</t>
        </is>
      </c>
      <c r="G58" t="n">
        <v>1.8</v>
      </c>
      <c r="H58" t="n">
        <v>1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2</v>
      </c>
      <c r="R58" s="2" t="inlineStr">
        <is>
          <t>Slåtterfibbla
Kopparödla</t>
        </is>
      </c>
      <c r="S58">
        <f>HYPERLINK("https://klasma.github.io/Logging_2262/artfynd/A 18399-2025 artfynd.xlsx", "A 18399-2025")</f>
        <v/>
      </c>
      <c r="T58">
        <f>HYPERLINK("https://klasma.github.io/Logging_2262/kartor/A 18399-2025 karta.png", "A 18399-2025")</f>
        <v/>
      </c>
      <c r="V58">
        <f>HYPERLINK("https://klasma.github.io/Logging_2262/klagomål/A 18399-2025 FSC-klagomål.docx", "A 18399-2025")</f>
        <v/>
      </c>
      <c r="W58">
        <f>HYPERLINK("https://klasma.github.io/Logging_2262/klagomålsmail/A 18399-2025 FSC-klagomål mail.docx", "A 18399-2025")</f>
        <v/>
      </c>
      <c r="X58">
        <f>HYPERLINK("https://klasma.github.io/Logging_2262/tillsyn/A 18399-2025 tillsynsbegäran.docx", "A 18399-2025")</f>
        <v/>
      </c>
      <c r="Y58">
        <f>HYPERLINK("https://klasma.github.io/Logging_2262/tillsynsmail/A 18399-2025 tillsynsbegäran mail.docx", "A 18399-2025")</f>
        <v/>
      </c>
    </row>
    <row r="59" ht="15" customHeight="1">
      <c r="A59" t="inlineStr">
        <is>
          <t>A 42283-2022</t>
        </is>
      </c>
      <c r="B59" s="1" t="n">
        <v>44830</v>
      </c>
      <c r="C59" s="1" t="n">
        <v>45955</v>
      </c>
      <c r="D59" t="inlineStr">
        <is>
          <t>VÄSTERNORRLANDS LÄN</t>
        </is>
      </c>
      <c r="E59" t="inlineStr">
        <is>
          <t>TIMRÅ</t>
        </is>
      </c>
      <c r="F59" t="inlineStr">
        <is>
          <t>SCA</t>
        </is>
      </c>
      <c r="G59" t="n">
        <v>5.2</v>
      </c>
      <c r="H59" t="n">
        <v>0</v>
      </c>
      <c r="I59" t="n">
        <v>0</v>
      </c>
      <c r="J59" t="n">
        <v>2</v>
      </c>
      <c r="K59" t="n">
        <v>0</v>
      </c>
      <c r="L59" t="n">
        <v>0</v>
      </c>
      <c r="M59" t="n">
        <v>0</v>
      </c>
      <c r="N59" t="n">
        <v>0</v>
      </c>
      <c r="O59" t="n">
        <v>2</v>
      </c>
      <c r="P59" t="n">
        <v>0</v>
      </c>
      <c r="Q59" t="n">
        <v>2</v>
      </c>
      <c r="R59" s="2" t="inlineStr">
        <is>
          <t>Garnlav
Lunglav</t>
        </is>
      </c>
      <c r="S59">
        <f>HYPERLINK("https://klasma.github.io/Logging_2262/artfynd/A 42283-2022 artfynd.xlsx", "A 42283-2022")</f>
        <v/>
      </c>
      <c r="T59">
        <f>HYPERLINK("https://klasma.github.io/Logging_2262/kartor/A 42283-2022 karta.png", "A 42283-2022")</f>
        <v/>
      </c>
      <c r="V59">
        <f>HYPERLINK("https://klasma.github.io/Logging_2262/klagomål/A 42283-2022 FSC-klagomål.docx", "A 42283-2022")</f>
        <v/>
      </c>
      <c r="W59">
        <f>HYPERLINK("https://klasma.github.io/Logging_2262/klagomålsmail/A 42283-2022 FSC-klagomål mail.docx", "A 42283-2022")</f>
        <v/>
      </c>
      <c r="X59">
        <f>HYPERLINK("https://klasma.github.io/Logging_2262/tillsyn/A 42283-2022 tillsynsbegäran.docx", "A 42283-2022")</f>
        <v/>
      </c>
      <c r="Y59">
        <f>HYPERLINK("https://klasma.github.io/Logging_2262/tillsynsmail/A 42283-2022 tillsynsbegäran mail.docx", "A 42283-2022")</f>
        <v/>
      </c>
    </row>
    <row r="60" ht="15" customHeight="1">
      <c r="A60" t="inlineStr">
        <is>
          <t>A 20882-2025</t>
        </is>
      </c>
      <c r="B60" s="1" t="n">
        <v>45777.36506944444</v>
      </c>
      <c r="C60" s="1" t="n">
        <v>45955</v>
      </c>
      <c r="D60" t="inlineStr">
        <is>
          <t>VÄSTERNORRLANDS LÄN</t>
        </is>
      </c>
      <c r="E60" t="inlineStr">
        <is>
          <t>TIMRÅ</t>
        </is>
      </c>
      <c r="F60" t="inlineStr">
        <is>
          <t>SCA</t>
        </is>
      </c>
      <c r="G60" t="n">
        <v>3.3</v>
      </c>
      <c r="H60" t="n">
        <v>0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2</v>
      </c>
      <c r="R60" s="2" t="inlineStr">
        <is>
          <t>Garnlav
Lunglav</t>
        </is>
      </c>
      <c r="S60">
        <f>HYPERLINK("https://klasma.github.io/Logging_2262/artfynd/A 20882-2025 artfynd.xlsx", "A 20882-2025")</f>
        <v/>
      </c>
      <c r="T60">
        <f>HYPERLINK("https://klasma.github.io/Logging_2262/kartor/A 20882-2025 karta.png", "A 20882-2025")</f>
        <v/>
      </c>
      <c r="V60">
        <f>HYPERLINK("https://klasma.github.io/Logging_2262/klagomål/A 20882-2025 FSC-klagomål.docx", "A 20882-2025")</f>
        <v/>
      </c>
      <c r="W60">
        <f>HYPERLINK("https://klasma.github.io/Logging_2262/klagomålsmail/A 20882-2025 FSC-klagomål mail.docx", "A 20882-2025")</f>
        <v/>
      </c>
      <c r="X60">
        <f>HYPERLINK("https://klasma.github.io/Logging_2262/tillsyn/A 20882-2025 tillsynsbegäran.docx", "A 20882-2025")</f>
        <v/>
      </c>
      <c r="Y60">
        <f>HYPERLINK("https://klasma.github.io/Logging_2262/tillsynsmail/A 20882-2025 tillsynsbegäran mail.docx", "A 20882-2025")</f>
        <v/>
      </c>
    </row>
    <row r="61" ht="15" customHeight="1">
      <c r="A61" t="inlineStr">
        <is>
          <t>A 29600-2023</t>
        </is>
      </c>
      <c r="B61" s="1" t="n">
        <v>45106</v>
      </c>
      <c r="C61" s="1" t="n">
        <v>45955</v>
      </c>
      <c r="D61" t="inlineStr">
        <is>
          <t>VÄSTERNORRLANDS LÄN</t>
        </is>
      </c>
      <c r="E61" t="inlineStr">
        <is>
          <t>TIMRÅ</t>
        </is>
      </c>
      <c r="F61" t="inlineStr">
        <is>
          <t>Kyrkan</t>
        </is>
      </c>
      <c r="G61" t="n">
        <v>5</v>
      </c>
      <c r="H61" t="n">
        <v>0</v>
      </c>
      <c r="I61" t="n">
        <v>2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2</v>
      </c>
      <c r="R61" s="2" t="inlineStr">
        <is>
          <t>Dvärghäxört
Svart trolldruva</t>
        </is>
      </c>
      <c r="S61">
        <f>HYPERLINK("https://klasma.github.io/Logging_2262/artfynd/A 29600-2023 artfynd.xlsx", "A 29600-2023")</f>
        <v/>
      </c>
      <c r="T61">
        <f>HYPERLINK("https://klasma.github.io/Logging_2262/kartor/A 29600-2023 karta.png", "A 29600-2023")</f>
        <v/>
      </c>
      <c r="V61">
        <f>HYPERLINK("https://klasma.github.io/Logging_2262/klagomål/A 29600-2023 FSC-klagomål.docx", "A 29600-2023")</f>
        <v/>
      </c>
      <c r="W61">
        <f>HYPERLINK("https://klasma.github.io/Logging_2262/klagomålsmail/A 29600-2023 FSC-klagomål mail.docx", "A 29600-2023")</f>
        <v/>
      </c>
      <c r="X61">
        <f>HYPERLINK("https://klasma.github.io/Logging_2262/tillsyn/A 29600-2023 tillsynsbegäran.docx", "A 29600-2023")</f>
        <v/>
      </c>
      <c r="Y61">
        <f>HYPERLINK("https://klasma.github.io/Logging_2262/tillsynsmail/A 29600-2023 tillsynsbegäran mail.docx", "A 29600-2023")</f>
        <v/>
      </c>
    </row>
    <row r="62" ht="15" customHeight="1">
      <c r="A62" t="inlineStr">
        <is>
          <t>A 21621-2025</t>
        </is>
      </c>
      <c r="B62" s="1" t="n">
        <v>45783.40657407408</v>
      </c>
      <c r="C62" s="1" t="n">
        <v>45955</v>
      </c>
      <c r="D62" t="inlineStr">
        <is>
          <t>VÄSTERNORRLANDS LÄN</t>
        </is>
      </c>
      <c r="E62" t="inlineStr">
        <is>
          <t>TIMRÅ</t>
        </is>
      </c>
      <c r="F62" t="inlineStr">
        <is>
          <t>SCA</t>
        </is>
      </c>
      <c r="G62" t="n">
        <v>1.6</v>
      </c>
      <c r="H62" t="n">
        <v>1</v>
      </c>
      <c r="I62" t="n">
        <v>0</v>
      </c>
      <c r="J62" t="n">
        <v>1</v>
      </c>
      <c r="K62" t="n">
        <v>1</v>
      </c>
      <c r="L62" t="n">
        <v>0</v>
      </c>
      <c r="M62" t="n">
        <v>0</v>
      </c>
      <c r="N62" t="n">
        <v>0</v>
      </c>
      <c r="O62" t="n">
        <v>2</v>
      </c>
      <c r="P62" t="n">
        <v>1</v>
      </c>
      <c r="Q62" t="n">
        <v>2</v>
      </c>
      <c r="R62" s="2" t="inlineStr">
        <is>
          <t>Knärot
Rosenticka</t>
        </is>
      </c>
      <c r="S62">
        <f>HYPERLINK("https://klasma.github.io/Logging_2262/artfynd/A 21621-2025 artfynd.xlsx", "A 21621-2025")</f>
        <v/>
      </c>
      <c r="T62">
        <f>HYPERLINK("https://klasma.github.io/Logging_2262/kartor/A 21621-2025 karta.png", "A 21621-2025")</f>
        <v/>
      </c>
      <c r="U62">
        <f>HYPERLINK("https://klasma.github.io/Logging_2262/knärot/A 21621-2025 karta knärot.png", "A 21621-2025")</f>
        <v/>
      </c>
      <c r="V62">
        <f>HYPERLINK("https://klasma.github.io/Logging_2262/klagomål/A 21621-2025 FSC-klagomål.docx", "A 21621-2025")</f>
        <v/>
      </c>
      <c r="W62">
        <f>HYPERLINK("https://klasma.github.io/Logging_2262/klagomålsmail/A 21621-2025 FSC-klagomål mail.docx", "A 21621-2025")</f>
        <v/>
      </c>
      <c r="X62">
        <f>HYPERLINK("https://klasma.github.io/Logging_2262/tillsyn/A 21621-2025 tillsynsbegäran.docx", "A 21621-2025")</f>
        <v/>
      </c>
      <c r="Y62">
        <f>HYPERLINK("https://klasma.github.io/Logging_2262/tillsynsmail/A 21621-2025 tillsynsbegäran mail.docx", "A 21621-2025")</f>
        <v/>
      </c>
    </row>
    <row r="63" ht="15" customHeight="1">
      <c r="A63" t="inlineStr">
        <is>
          <t>A 60670-2024</t>
        </is>
      </c>
      <c r="B63" s="1" t="n">
        <v>45642</v>
      </c>
      <c r="C63" s="1" t="n">
        <v>45955</v>
      </c>
      <c r="D63" t="inlineStr">
        <is>
          <t>VÄSTERNORRLANDS LÄN</t>
        </is>
      </c>
      <c r="E63" t="inlineStr">
        <is>
          <t>TIMRÅ</t>
        </is>
      </c>
      <c r="G63" t="n">
        <v>2.9</v>
      </c>
      <c r="H63" t="n">
        <v>1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2</v>
      </c>
      <c r="R63" s="2" t="inlineStr">
        <is>
          <t>Dvärghäxört
Fläcknycklar</t>
        </is>
      </c>
      <c r="S63">
        <f>HYPERLINK("https://klasma.github.io/Logging_2262/artfynd/A 60670-2024 artfynd.xlsx", "A 60670-2024")</f>
        <v/>
      </c>
      <c r="T63">
        <f>HYPERLINK("https://klasma.github.io/Logging_2262/kartor/A 60670-2024 karta.png", "A 60670-2024")</f>
        <v/>
      </c>
      <c r="V63">
        <f>HYPERLINK("https://klasma.github.io/Logging_2262/klagomål/A 60670-2024 FSC-klagomål.docx", "A 60670-2024")</f>
        <v/>
      </c>
      <c r="W63">
        <f>HYPERLINK("https://klasma.github.io/Logging_2262/klagomålsmail/A 60670-2024 FSC-klagomål mail.docx", "A 60670-2024")</f>
        <v/>
      </c>
      <c r="X63">
        <f>HYPERLINK("https://klasma.github.io/Logging_2262/tillsyn/A 60670-2024 tillsynsbegäran.docx", "A 60670-2024")</f>
        <v/>
      </c>
      <c r="Y63">
        <f>HYPERLINK("https://klasma.github.io/Logging_2262/tillsynsmail/A 60670-2024 tillsynsbegäran mail.docx", "A 60670-2024")</f>
        <v/>
      </c>
    </row>
    <row r="64" ht="15" customHeight="1">
      <c r="A64" t="inlineStr">
        <is>
          <t>A 22379-2025</t>
        </is>
      </c>
      <c r="B64" s="1" t="n">
        <v>45786</v>
      </c>
      <c r="C64" s="1" t="n">
        <v>45955</v>
      </c>
      <c r="D64" t="inlineStr">
        <is>
          <t>VÄSTERNORRLANDS LÄN</t>
        </is>
      </c>
      <c r="E64" t="inlineStr">
        <is>
          <t>TIMRÅ</t>
        </is>
      </c>
      <c r="F64" t="inlineStr">
        <is>
          <t>SCA</t>
        </is>
      </c>
      <c r="G64" t="n">
        <v>8.300000000000001</v>
      </c>
      <c r="H64" t="n">
        <v>0</v>
      </c>
      <c r="I64" t="n">
        <v>0</v>
      </c>
      <c r="J64" t="n">
        <v>2</v>
      </c>
      <c r="K64" t="n">
        <v>0</v>
      </c>
      <c r="L64" t="n">
        <v>0</v>
      </c>
      <c r="M64" t="n">
        <v>0</v>
      </c>
      <c r="N64" t="n">
        <v>0</v>
      </c>
      <c r="O64" t="n">
        <v>2</v>
      </c>
      <c r="P64" t="n">
        <v>0</v>
      </c>
      <c r="Q64" t="n">
        <v>2</v>
      </c>
      <c r="R64" s="2" t="inlineStr">
        <is>
          <t>Lunglav
Mörk kolflarnlav</t>
        </is>
      </c>
      <c r="S64">
        <f>HYPERLINK("https://klasma.github.io/Logging_2262/artfynd/A 22379-2025 artfynd.xlsx", "A 22379-2025")</f>
        <v/>
      </c>
      <c r="T64">
        <f>HYPERLINK("https://klasma.github.io/Logging_2262/kartor/A 22379-2025 karta.png", "A 22379-2025")</f>
        <v/>
      </c>
      <c r="V64">
        <f>HYPERLINK("https://klasma.github.io/Logging_2262/klagomål/A 22379-2025 FSC-klagomål.docx", "A 22379-2025")</f>
        <v/>
      </c>
      <c r="W64">
        <f>HYPERLINK("https://klasma.github.io/Logging_2262/klagomålsmail/A 22379-2025 FSC-klagomål mail.docx", "A 22379-2025")</f>
        <v/>
      </c>
      <c r="X64">
        <f>HYPERLINK("https://klasma.github.io/Logging_2262/tillsyn/A 22379-2025 tillsynsbegäran.docx", "A 22379-2025")</f>
        <v/>
      </c>
      <c r="Y64">
        <f>HYPERLINK("https://klasma.github.io/Logging_2262/tillsynsmail/A 22379-2025 tillsynsbegäran mail.docx", "A 22379-2025")</f>
        <v/>
      </c>
    </row>
    <row r="65" ht="15" customHeight="1">
      <c r="A65" t="inlineStr">
        <is>
          <t>A 22072-2025</t>
        </is>
      </c>
      <c r="B65" s="1" t="n">
        <v>45785.40699074074</v>
      </c>
      <c r="C65" s="1" t="n">
        <v>45955</v>
      </c>
      <c r="D65" t="inlineStr">
        <is>
          <t>VÄSTERNORRLANDS LÄN</t>
        </is>
      </c>
      <c r="E65" t="inlineStr">
        <is>
          <t>TIMRÅ</t>
        </is>
      </c>
      <c r="F65" t="inlineStr">
        <is>
          <t>SCA</t>
        </is>
      </c>
      <c r="G65" t="n">
        <v>1.1</v>
      </c>
      <c r="H65" t="n">
        <v>0</v>
      </c>
      <c r="I65" t="n">
        <v>0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2</v>
      </c>
      <c r="R65" s="2" t="inlineStr">
        <is>
          <t>Gammelgransskål
Ullticka</t>
        </is>
      </c>
      <c r="S65">
        <f>HYPERLINK("https://klasma.github.io/Logging_2262/artfynd/A 22072-2025 artfynd.xlsx", "A 22072-2025")</f>
        <v/>
      </c>
      <c r="T65">
        <f>HYPERLINK("https://klasma.github.io/Logging_2262/kartor/A 22072-2025 karta.png", "A 22072-2025")</f>
        <v/>
      </c>
      <c r="V65">
        <f>HYPERLINK("https://klasma.github.io/Logging_2262/klagomål/A 22072-2025 FSC-klagomål.docx", "A 22072-2025")</f>
        <v/>
      </c>
      <c r="W65">
        <f>HYPERLINK("https://klasma.github.io/Logging_2262/klagomålsmail/A 22072-2025 FSC-klagomål mail.docx", "A 22072-2025")</f>
        <v/>
      </c>
      <c r="X65">
        <f>HYPERLINK("https://klasma.github.io/Logging_2262/tillsyn/A 22072-2025 tillsynsbegäran.docx", "A 22072-2025")</f>
        <v/>
      </c>
      <c r="Y65">
        <f>HYPERLINK("https://klasma.github.io/Logging_2262/tillsynsmail/A 22072-2025 tillsynsbegäran mail.docx", "A 22072-2025")</f>
        <v/>
      </c>
    </row>
    <row r="66" ht="15" customHeight="1">
      <c r="A66" t="inlineStr">
        <is>
          <t>A 45343-2023</t>
        </is>
      </c>
      <c r="B66" s="1" t="n">
        <v>45191</v>
      </c>
      <c r="C66" s="1" t="n">
        <v>45955</v>
      </c>
      <c r="D66" t="inlineStr">
        <is>
          <t>VÄSTERNORRLANDS LÄN</t>
        </is>
      </c>
      <c r="E66" t="inlineStr">
        <is>
          <t>TIMRÅ</t>
        </is>
      </c>
      <c r="F66" t="inlineStr">
        <is>
          <t>SCA</t>
        </is>
      </c>
      <c r="G66" t="n">
        <v>9.5</v>
      </c>
      <c r="H66" t="n">
        <v>1</v>
      </c>
      <c r="I66" t="n">
        <v>1</v>
      </c>
      <c r="J66" t="n">
        <v>1</v>
      </c>
      <c r="K66" t="n">
        <v>0</v>
      </c>
      <c r="L66" t="n">
        <v>0</v>
      </c>
      <c r="M66" t="n">
        <v>0</v>
      </c>
      <c r="N66" t="n">
        <v>0</v>
      </c>
      <c r="O66" t="n">
        <v>1</v>
      </c>
      <c r="P66" t="n">
        <v>0</v>
      </c>
      <c r="Q66" t="n">
        <v>2</v>
      </c>
      <c r="R66" s="2" t="inlineStr">
        <is>
          <t>Garnlav
Plattlummer</t>
        </is>
      </c>
      <c r="S66">
        <f>HYPERLINK("https://klasma.github.io/Logging_2262/artfynd/A 45343-2023 artfynd.xlsx", "A 45343-2023")</f>
        <v/>
      </c>
      <c r="T66">
        <f>HYPERLINK("https://klasma.github.io/Logging_2262/kartor/A 45343-2023 karta.png", "A 45343-2023")</f>
        <v/>
      </c>
      <c r="V66">
        <f>HYPERLINK("https://klasma.github.io/Logging_2262/klagomål/A 45343-2023 FSC-klagomål.docx", "A 45343-2023")</f>
        <v/>
      </c>
      <c r="W66">
        <f>HYPERLINK("https://klasma.github.io/Logging_2262/klagomålsmail/A 45343-2023 FSC-klagomål mail.docx", "A 45343-2023")</f>
        <v/>
      </c>
      <c r="X66">
        <f>HYPERLINK("https://klasma.github.io/Logging_2262/tillsyn/A 45343-2023 tillsynsbegäran.docx", "A 45343-2023")</f>
        <v/>
      </c>
      <c r="Y66">
        <f>HYPERLINK("https://klasma.github.io/Logging_2262/tillsynsmail/A 45343-2023 tillsynsbegäran mail.docx", "A 45343-2023")</f>
        <v/>
      </c>
    </row>
    <row r="67" ht="15" customHeight="1">
      <c r="A67" t="inlineStr">
        <is>
          <t>A 39356-2025</t>
        </is>
      </c>
      <c r="B67" s="1" t="n">
        <v>45889.55267361111</v>
      </c>
      <c r="C67" s="1" t="n">
        <v>45955</v>
      </c>
      <c r="D67" t="inlineStr">
        <is>
          <t>VÄSTERNORRLANDS LÄN</t>
        </is>
      </c>
      <c r="E67" t="inlineStr">
        <is>
          <t>TIMRÅ</t>
        </is>
      </c>
      <c r="F67" t="inlineStr">
        <is>
          <t>SCA</t>
        </is>
      </c>
      <c r="G67" t="n">
        <v>2.3</v>
      </c>
      <c r="H67" t="n">
        <v>0</v>
      </c>
      <c r="I67" t="n">
        <v>0</v>
      </c>
      <c r="J67" t="n">
        <v>2</v>
      </c>
      <c r="K67" t="n">
        <v>0</v>
      </c>
      <c r="L67" t="n">
        <v>0</v>
      </c>
      <c r="M67" t="n">
        <v>0</v>
      </c>
      <c r="N67" t="n">
        <v>0</v>
      </c>
      <c r="O67" t="n">
        <v>2</v>
      </c>
      <c r="P67" t="n">
        <v>0</v>
      </c>
      <c r="Q67" t="n">
        <v>2</v>
      </c>
      <c r="R67" s="2" t="inlineStr">
        <is>
          <t>Rosenticka
Ullticka</t>
        </is>
      </c>
      <c r="S67">
        <f>HYPERLINK("https://klasma.github.io/Logging_2262/artfynd/A 39356-2025 artfynd.xlsx", "A 39356-2025")</f>
        <v/>
      </c>
      <c r="T67">
        <f>HYPERLINK("https://klasma.github.io/Logging_2262/kartor/A 39356-2025 karta.png", "A 39356-2025")</f>
        <v/>
      </c>
      <c r="V67">
        <f>HYPERLINK("https://klasma.github.io/Logging_2262/klagomål/A 39356-2025 FSC-klagomål.docx", "A 39356-2025")</f>
        <v/>
      </c>
      <c r="W67">
        <f>HYPERLINK("https://klasma.github.io/Logging_2262/klagomålsmail/A 39356-2025 FSC-klagomål mail.docx", "A 39356-2025")</f>
        <v/>
      </c>
      <c r="X67">
        <f>HYPERLINK("https://klasma.github.io/Logging_2262/tillsyn/A 39356-2025 tillsynsbegäran.docx", "A 39356-2025")</f>
        <v/>
      </c>
      <c r="Y67">
        <f>HYPERLINK("https://klasma.github.io/Logging_2262/tillsynsmail/A 39356-2025 tillsynsbegäran mail.docx", "A 39356-2025")</f>
        <v/>
      </c>
    </row>
    <row r="68" ht="15" customHeight="1">
      <c r="A68" t="inlineStr">
        <is>
          <t>A 55709-2024</t>
        </is>
      </c>
      <c r="B68" s="1" t="n">
        <v>45622.69840277778</v>
      </c>
      <c r="C68" s="1" t="n">
        <v>45955</v>
      </c>
      <c r="D68" t="inlineStr">
        <is>
          <t>VÄSTERNORRLANDS LÄN</t>
        </is>
      </c>
      <c r="E68" t="inlineStr">
        <is>
          <t>TIMRÅ</t>
        </is>
      </c>
      <c r="F68" t="inlineStr">
        <is>
          <t>SCA</t>
        </is>
      </c>
      <c r="G68" t="n">
        <v>1.8</v>
      </c>
      <c r="H68" t="n">
        <v>0</v>
      </c>
      <c r="I68" t="n">
        <v>1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2</v>
      </c>
      <c r="R68" s="2" t="inlineStr">
        <is>
          <t>Lunglav
Skinnlav</t>
        </is>
      </c>
      <c r="S68">
        <f>HYPERLINK("https://klasma.github.io/Logging_2262/artfynd/A 55709-2024 artfynd.xlsx", "A 55709-2024")</f>
        <v/>
      </c>
      <c r="T68">
        <f>HYPERLINK("https://klasma.github.io/Logging_2262/kartor/A 55709-2024 karta.png", "A 55709-2024")</f>
        <v/>
      </c>
      <c r="V68">
        <f>HYPERLINK("https://klasma.github.io/Logging_2262/klagomål/A 55709-2024 FSC-klagomål.docx", "A 55709-2024")</f>
        <v/>
      </c>
      <c r="W68">
        <f>HYPERLINK("https://klasma.github.io/Logging_2262/klagomålsmail/A 55709-2024 FSC-klagomål mail.docx", "A 55709-2024")</f>
        <v/>
      </c>
      <c r="X68">
        <f>HYPERLINK("https://klasma.github.io/Logging_2262/tillsyn/A 55709-2024 tillsynsbegäran.docx", "A 55709-2024")</f>
        <v/>
      </c>
      <c r="Y68">
        <f>HYPERLINK("https://klasma.github.io/Logging_2262/tillsynsmail/A 55709-2024 tillsynsbegäran mail.docx", "A 55709-2024")</f>
        <v/>
      </c>
    </row>
    <row r="69" ht="15" customHeight="1">
      <c r="A69" t="inlineStr">
        <is>
          <t>A 40107-2025</t>
        </is>
      </c>
      <c r="B69" s="1" t="n">
        <v>45894.48993055556</v>
      </c>
      <c r="C69" s="1" t="n">
        <v>45955</v>
      </c>
      <c r="D69" t="inlineStr">
        <is>
          <t>VÄSTERNORRLANDS LÄN</t>
        </is>
      </c>
      <c r="E69" t="inlineStr">
        <is>
          <t>TIMRÅ</t>
        </is>
      </c>
      <c r="F69" t="inlineStr">
        <is>
          <t>SCA</t>
        </is>
      </c>
      <c r="G69" t="n">
        <v>4.9</v>
      </c>
      <c r="H69" t="n">
        <v>0</v>
      </c>
      <c r="I69" t="n">
        <v>0</v>
      </c>
      <c r="J69" t="n">
        <v>2</v>
      </c>
      <c r="K69" t="n">
        <v>0</v>
      </c>
      <c r="L69" t="n">
        <v>0</v>
      </c>
      <c r="M69" t="n">
        <v>0</v>
      </c>
      <c r="N69" t="n">
        <v>0</v>
      </c>
      <c r="O69" t="n">
        <v>2</v>
      </c>
      <c r="P69" t="n">
        <v>0</v>
      </c>
      <c r="Q69" t="n">
        <v>2</v>
      </c>
      <c r="R69" s="2" t="inlineStr">
        <is>
          <t>Blå taggsvamp
Svart taggsvamp</t>
        </is>
      </c>
      <c r="S69">
        <f>HYPERLINK("https://klasma.github.io/Logging_2262/artfynd/A 40107-2025 artfynd.xlsx", "A 40107-2025")</f>
        <v/>
      </c>
      <c r="T69">
        <f>HYPERLINK("https://klasma.github.io/Logging_2262/kartor/A 40107-2025 karta.png", "A 40107-2025")</f>
        <v/>
      </c>
      <c r="V69">
        <f>HYPERLINK("https://klasma.github.io/Logging_2262/klagomål/A 40107-2025 FSC-klagomål.docx", "A 40107-2025")</f>
        <v/>
      </c>
      <c r="W69">
        <f>HYPERLINK("https://klasma.github.io/Logging_2262/klagomålsmail/A 40107-2025 FSC-klagomål mail.docx", "A 40107-2025")</f>
        <v/>
      </c>
      <c r="X69">
        <f>HYPERLINK("https://klasma.github.io/Logging_2262/tillsyn/A 40107-2025 tillsynsbegäran.docx", "A 40107-2025")</f>
        <v/>
      </c>
      <c r="Y69">
        <f>HYPERLINK("https://klasma.github.io/Logging_2262/tillsynsmail/A 40107-2025 tillsynsbegäran mail.docx", "A 40107-2025")</f>
        <v/>
      </c>
    </row>
    <row r="70" ht="15" customHeight="1">
      <c r="A70" t="inlineStr">
        <is>
          <t>A 30187-2025</t>
        </is>
      </c>
      <c r="B70" s="1" t="n">
        <v>45827.3472800926</v>
      </c>
      <c r="C70" s="1" t="n">
        <v>45955</v>
      </c>
      <c r="D70" t="inlineStr">
        <is>
          <t>VÄSTERNORRLANDS LÄN</t>
        </is>
      </c>
      <c r="E70" t="inlineStr">
        <is>
          <t>TIMRÅ</t>
        </is>
      </c>
      <c r="F70" t="inlineStr">
        <is>
          <t>SCA</t>
        </is>
      </c>
      <c r="G70" t="n">
        <v>0.6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Rosenticka
Ullticka</t>
        </is>
      </c>
      <c r="S70">
        <f>HYPERLINK("https://klasma.github.io/Logging_2262/artfynd/A 30187-2025 artfynd.xlsx", "A 30187-2025")</f>
        <v/>
      </c>
      <c r="T70">
        <f>HYPERLINK("https://klasma.github.io/Logging_2262/kartor/A 30187-2025 karta.png", "A 30187-2025")</f>
        <v/>
      </c>
      <c r="V70">
        <f>HYPERLINK("https://klasma.github.io/Logging_2262/klagomål/A 30187-2025 FSC-klagomål.docx", "A 30187-2025")</f>
        <v/>
      </c>
      <c r="W70">
        <f>HYPERLINK("https://klasma.github.io/Logging_2262/klagomålsmail/A 30187-2025 FSC-klagomål mail.docx", "A 30187-2025")</f>
        <v/>
      </c>
      <c r="X70">
        <f>HYPERLINK("https://klasma.github.io/Logging_2262/tillsyn/A 30187-2025 tillsynsbegäran.docx", "A 30187-2025")</f>
        <v/>
      </c>
      <c r="Y70">
        <f>HYPERLINK("https://klasma.github.io/Logging_2262/tillsynsmail/A 30187-2025 tillsynsbegäran mail.docx", "A 30187-2025")</f>
        <v/>
      </c>
    </row>
    <row r="71" ht="15" customHeight="1">
      <c r="A71" t="inlineStr">
        <is>
          <t>A 39800-2024</t>
        </is>
      </c>
      <c r="B71" s="1" t="n">
        <v>45553.34428240741</v>
      </c>
      <c r="C71" s="1" t="n">
        <v>45955</v>
      </c>
      <c r="D71" t="inlineStr">
        <is>
          <t>VÄSTERNORRLANDS LÄN</t>
        </is>
      </c>
      <c r="E71" t="inlineStr">
        <is>
          <t>TIMRÅ</t>
        </is>
      </c>
      <c r="F71" t="inlineStr">
        <is>
          <t>SCA</t>
        </is>
      </c>
      <c r="G71" t="n">
        <v>2.9</v>
      </c>
      <c r="H71" t="n">
        <v>0</v>
      </c>
      <c r="I71" t="n">
        <v>1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2</v>
      </c>
      <c r="R71" s="2" t="inlineStr">
        <is>
          <t>Garnlav
Vedticka</t>
        </is>
      </c>
      <c r="S71">
        <f>HYPERLINK("https://klasma.github.io/Logging_2262/artfynd/A 39800-2024 artfynd.xlsx", "A 39800-2024")</f>
        <v/>
      </c>
      <c r="T71">
        <f>HYPERLINK("https://klasma.github.io/Logging_2262/kartor/A 39800-2024 karta.png", "A 39800-2024")</f>
        <v/>
      </c>
      <c r="V71">
        <f>HYPERLINK("https://klasma.github.io/Logging_2262/klagomål/A 39800-2024 FSC-klagomål.docx", "A 39800-2024")</f>
        <v/>
      </c>
      <c r="W71">
        <f>HYPERLINK("https://klasma.github.io/Logging_2262/klagomålsmail/A 39800-2024 FSC-klagomål mail.docx", "A 39800-2024")</f>
        <v/>
      </c>
      <c r="X71">
        <f>HYPERLINK("https://klasma.github.io/Logging_2262/tillsyn/A 39800-2024 tillsynsbegäran.docx", "A 39800-2024")</f>
        <v/>
      </c>
      <c r="Y71">
        <f>HYPERLINK("https://klasma.github.io/Logging_2262/tillsynsmail/A 39800-2024 tillsynsbegäran mail.docx", "A 39800-2024")</f>
        <v/>
      </c>
    </row>
    <row r="72" ht="15" customHeight="1">
      <c r="A72" t="inlineStr">
        <is>
          <t>A 53287-2024</t>
        </is>
      </c>
      <c r="B72" s="1" t="n">
        <v>45614.38584490741</v>
      </c>
      <c r="C72" s="1" t="n">
        <v>45955</v>
      </c>
      <c r="D72" t="inlineStr">
        <is>
          <t>VÄSTERNORRLANDS LÄN</t>
        </is>
      </c>
      <c r="E72" t="inlineStr">
        <is>
          <t>TIMRÅ</t>
        </is>
      </c>
      <c r="F72" t="inlineStr">
        <is>
          <t>SCA</t>
        </is>
      </c>
      <c r="G72" t="n">
        <v>2</v>
      </c>
      <c r="H72" t="n">
        <v>0</v>
      </c>
      <c r="I72" t="n">
        <v>2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2</v>
      </c>
      <c r="R72" s="2" t="inlineStr">
        <is>
          <t>Korallblylav
Slanklav</t>
        </is>
      </c>
      <c r="S72">
        <f>HYPERLINK("https://klasma.github.io/Logging_2262/artfynd/A 53287-2024 artfynd.xlsx", "A 53287-2024")</f>
        <v/>
      </c>
      <c r="T72">
        <f>HYPERLINK("https://klasma.github.io/Logging_2262/kartor/A 53287-2024 karta.png", "A 53287-2024")</f>
        <v/>
      </c>
      <c r="V72">
        <f>HYPERLINK("https://klasma.github.io/Logging_2262/klagomål/A 53287-2024 FSC-klagomål.docx", "A 53287-2024")</f>
        <v/>
      </c>
      <c r="W72">
        <f>HYPERLINK("https://klasma.github.io/Logging_2262/klagomålsmail/A 53287-2024 FSC-klagomål mail.docx", "A 53287-2024")</f>
        <v/>
      </c>
      <c r="X72">
        <f>HYPERLINK("https://klasma.github.io/Logging_2262/tillsyn/A 53287-2024 tillsynsbegäran.docx", "A 53287-2024")</f>
        <v/>
      </c>
      <c r="Y72">
        <f>HYPERLINK("https://klasma.github.io/Logging_2262/tillsynsmail/A 53287-2024 tillsynsbegäran mail.docx", "A 53287-2024")</f>
        <v/>
      </c>
    </row>
    <row r="73" ht="15" customHeight="1">
      <c r="A73" t="inlineStr">
        <is>
          <t>A 35003-2023</t>
        </is>
      </c>
      <c r="B73" s="1" t="n">
        <v>45142</v>
      </c>
      <c r="C73" s="1" t="n">
        <v>45955</v>
      </c>
      <c r="D73" t="inlineStr">
        <is>
          <t>VÄSTERNORRLANDS LÄN</t>
        </is>
      </c>
      <c r="E73" t="inlineStr">
        <is>
          <t>TIMRÅ</t>
        </is>
      </c>
      <c r="F73" t="inlineStr">
        <is>
          <t>SCA</t>
        </is>
      </c>
      <c r="G73" t="n">
        <v>1.9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Lunglav
Ullticka</t>
        </is>
      </c>
      <c r="S73">
        <f>HYPERLINK("https://klasma.github.io/Logging_2262/artfynd/A 35003-2023 artfynd.xlsx", "A 35003-2023")</f>
        <v/>
      </c>
      <c r="T73">
        <f>HYPERLINK("https://klasma.github.io/Logging_2262/kartor/A 35003-2023 karta.png", "A 35003-2023")</f>
        <v/>
      </c>
      <c r="V73">
        <f>HYPERLINK("https://klasma.github.io/Logging_2262/klagomål/A 35003-2023 FSC-klagomål.docx", "A 35003-2023")</f>
        <v/>
      </c>
      <c r="W73">
        <f>HYPERLINK("https://klasma.github.io/Logging_2262/klagomålsmail/A 35003-2023 FSC-klagomål mail.docx", "A 35003-2023")</f>
        <v/>
      </c>
      <c r="X73">
        <f>HYPERLINK("https://klasma.github.io/Logging_2262/tillsyn/A 35003-2023 tillsynsbegäran.docx", "A 35003-2023")</f>
        <v/>
      </c>
      <c r="Y73">
        <f>HYPERLINK("https://klasma.github.io/Logging_2262/tillsynsmail/A 35003-2023 tillsynsbegäran mail.docx", "A 35003-2023")</f>
        <v/>
      </c>
    </row>
    <row r="74" ht="15" customHeight="1">
      <c r="A74" t="inlineStr">
        <is>
          <t>A 43413-2023</t>
        </is>
      </c>
      <c r="B74" s="1" t="n">
        <v>45183</v>
      </c>
      <c r="C74" s="1" t="n">
        <v>45955</v>
      </c>
      <c r="D74" t="inlineStr">
        <is>
          <t>VÄSTERNORRLANDS LÄN</t>
        </is>
      </c>
      <c r="E74" t="inlineStr">
        <is>
          <t>TIMRÅ</t>
        </is>
      </c>
      <c r="F74" t="inlineStr">
        <is>
          <t>SCA</t>
        </is>
      </c>
      <c r="G74" t="n">
        <v>4.1</v>
      </c>
      <c r="H74" t="n">
        <v>0</v>
      </c>
      <c r="I74" t="n">
        <v>0</v>
      </c>
      <c r="J74" t="n">
        <v>2</v>
      </c>
      <c r="K74" t="n">
        <v>0</v>
      </c>
      <c r="L74" t="n">
        <v>0</v>
      </c>
      <c r="M74" t="n">
        <v>0</v>
      </c>
      <c r="N74" t="n">
        <v>0</v>
      </c>
      <c r="O74" t="n">
        <v>2</v>
      </c>
      <c r="P74" t="n">
        <v>0</v>
      </c>
      <c r="Q74" t="n">
        <v>2</v>
      </c>
      <c r="R74" s="2" t="inlineStr">
        <is>
          <t>Garnlav
Harticka</t>
        </is>
      </c>
      <c r="S74">
        <f>HYPERLINK("https://klasma.github.io/Logging_2262/artfynd/A 43413-2023 artfynd.xlsx", "A 43413-2023")</f>
        <v/>
      </c>
      <c r="T74">
        <f>HYPERLINK("https://klasma.github.io/Logging_2262/kartor/A 43413-2023 karta.png", "A 43413-2023")</f>
        <v/>
      </c>
      <c r="V74">
        <f>HYPERLINK("https://klasma.github.io/Logging_2262/klagomål/A 43413-2023 FSC-klagomål.docx", "A 43413-2023")</f>
        <v/>
      </c>
      <c r="W74">
        <f>HYPERLINK("https://klasma.github.io/Logging_2262/klagomålsmail/A 43413-2023 FSC-klagomål mail.docx", "A 43413-2023")</f>
        <v/>
      </c>
      <c r="X74">
        <f>HYPERLINK("https://klasma.github.io/Logging_2262/tillsyn/A 43413-2023 tillsynsbegäran.docx", "A 43413-2023")</f>
        <v/>
      </c>
      <c r="Y74">
        <f>HYPERLINK("https://klasma.github.io/Logging_2262/tillsynsmail/A 43413-2023 tillsynsbegäran mail.docx", "A 43413-2023")</f>
        <v/>
      </c>
    </row>
    <row r="75" ht="15" customHeight="1">
      <c r="A75" t="inlineStr">
        <is>
          <t>A 36126-2025</t>
        </is>
      </c>
      <c r="B75" s="1" t="n">
        <v>45866</v>
      </c>
      <c r="C75" s="1" t="n">
        <v>45955</v>
      </c>
      <c r="D75" t="inlineStr">
        <is>
          <t>VÄSTERNORRLANDS LÄN</t>
        </is>
      </c>
      <c r="E75" t="inlineStr">
        <is>
          <t>TIMRÅ</t>
        </is>
      </c>
      <c r="F75" t="inlineStr">
        <is>
          <t>SCA</t>
        </is>
      </c>
      <c r="G75" t="n">
        <v>3.5</v>
      </c>
      <c r="H75" t="n">
        <v>0</v>
      </c>
      <c r="I75" t="n">
        <v>0</v>
      </c>
      <c r="J75" t="n">
        <v>2</v>
      </c>
      <c r="K75" t="n">
        <v>0</v>
      </c>
      <c r="L75" t="n">
        <v>0</v>
      </c>
      <c r="M75" t="n">
        <v>0</v>
      </c>
      <c r="N75" t="n">
        <v>0</v>
      </c>
      <c r="O75" t="n">
        <v>2</v>
      </c>
      <c r="P75" t="n">
        <v>0</v>
      </c>
      <c r="Q75" t="n">
        <v>2</v>
      </c>
      <c r="R75" s="2" t="inlineStr">
        <is>
          <t>Garnlav
Vedflamlav</t>
        </is>
      </c>
      <c r="S75">
        <f>HYPERLINK("https://klasma.github.io/Logging_2262/artfynd/A 36126-2025 artfynd.xlsx", "A 36126-2025")</f>
        <v/>
      </c>
      <c r="T75">
        <f>HYPERLINK("https://klasma.github.io/Logging_2262/kartor/A 36126-2025 karta.png", "A 36126-2025")</f>
        <v/>
      </c>
      <c r="U75">
        <f>HYPERLINK("https://klasma.github.io/Logging_2262/knärot/A 36126-2025 karta knärot.png", "A 36126-2025")</f>
        <v/>
      </c>
      <c r="V75">
        <f>HYPERLINK("https://klasma.github.io/Logging_2262/klagomål/A 36126-2025 FSC-klagomål.docx", "A 36126-2025")</f>
        <v/>
      </c>
      <c r="W75">
        <f>HYPERLINK("https://klasma.github.io/Logging_2262/klagomålsmail/A 36126-2025 FSC-klagomål mail.docx", "A 36126-2025")</f>
        <v/>
      </c>
      <c r="X75">
        <f>HYPERLINK("https://klasma.github.io/Logging_2262/tillsyn/A 36126-2025 tillsynsbegäran.docx", "A 36126-2025")</f>
        <v/>
      </c>
      <c r="Y75">
        <f>HYPERLINK("https://klasma.github.io/Logging_2262/tillsynsmail/A 36126-2025 tillsynsbegäran mail.docx", "A 36126-2025")</f>
        <v/>
      </c>
    </row>
    <row r="76" ht="15" customHeight="1">
      <c r="A76" t="inlineStr">
        <is>
          <t>A 41784-2024</t>
        </is>
      </c>
      <c r="B76" s="1" t="n">
        <v>45561</v>
      </c>
      <c r="C76" s="1" t="n">
        <v>45955</v>
      </c>
      <c r="D76" t="inlineStr">
        <is>
          <t>VÄSTERNORRLANDS LÄN</t>
        </is>
      </c>
      <c r="E76" t="inlineStr">
        <is>
          <t>TIMRÅ</t>
        </is>
      </c>
      <c r="F76" t="inlineStr">
        <is>
          <t>SCA</t>
        </is>
      </c>
      <c r="G76" t="n">
        <v>10.7</v>
      </c>
      <c r="H76" t="n">
        <v>1</v>
      </c>
      <c r="I76" t="n">
        <v>0</v>
      </c>
      <c r="J76" t="n">
        <v>1</v>
      </c>
      <c r="K76" t="n">
        <v>1</v>
      </c>
      <c r="L76" t="n">
        <v>0</v>
      </c>
      <c r="M76" t="n">
        <v>0</v>
      </c>
      <c r="N76" t="n">
        <v>0</v>
      </c>
      <c r="O76" t="n">
        <v>2</v>
      </c>
      <c r="P76" t="n">
        <v>1</v>
      </c>
      <c r="Q76" t="n">
        <v>2</v>
      </c>
      <c r="R76" s="2" t="inlineStr">
        <is>
          <t>Knärot
Koralltaggsvamp</t>
        </is>
      </c>
      <c r="S76">
        <f>HYPERLINK("https://klasma.github.io/Logging_2262/artfynd/A 41784-2024 artfynd.xlsx", "A 41784-2024")</f>
        <v/>
      </c>
      <c r="T76">
        <f>HYPERLINK("https://klasma.github.io/Logging_2262/kartor/A 41784-2024 karta.png", "A 41784-2024")</f>
        <v/>
      </c>
      <c r="U76">
        <f>HYPERLINK("https://klasma.github.io/Logging_2262/knärot/A 41784-2024 karta knärot.png", "A 41784-2024")</f>
        <v/>
      </c>
      <c r="V76">
        <f>HYPERLINK("https://klasma.github.io/Logging_2262/klagomål/A 41784-2024 FSC-klagomål.docx", "A 41784-2024")</f>
        <v/>
      </c>
      <c r="W76">
        <f>HYPERLINK("https://klasma.github.io/Logging_2262/klagomålsmail/A 41784-2024 FSC-klagomål mail.docx", "A 41784-2024")</f>
        <v/>
      </c>
      <c r="X76">
        <f>HYPERLINK("https://klasma.github.io/Logging_2262/tillsyn/A 41784-2024 tillsynsbegäran.docx", "A 41784-2024")</f>
        <v/>
      </c>
      <c r="Y76">
        <f>HYPERLINK("https://klasma.github.io/Logging_2262/tillsynsmail/A 41784-2024 tillsynsbegäran mail.docx", "A 41784-2024")</f>
        <v/>
      </c>
    </row>
    <row r="77" ht="15" customHeight="1">
      <c r="A77" t="inlineStr">
        <is>
          <t>A 18827-2025</t>
        </is>
      </c>
      <c r="B77" s="1" t="n">
        <v>45764.38619212963</v>
      </c>
      <c r="C77" s="1" t="n">
        <v>45955</v>
      </c>
      <c r="D77" t="inlineStr">
        <is>
          <t>VÄSTERNORRLANDS LÄN</t>
        </is>
      </c>
      <c r="E77" t="inlineStr">
        <is>
          <t>TIMRÅ</t>
        </is>
      </c>
      <c r="F77" t="inlineStr">
        <is>
          <t>SCA</t>
        </is>
      </c>
      <c r="G77" t="n">
        <v>6.5</v>
      </c>
      <c r="H77" t="n">
        <v>0</v>
      </c>
      <c r="I77" t="n">
        <v>0</v>
      </c>
      <c r="J77" t="n">
        <v>1</v>
      </c>
      <c r="K77" t="n">
        <v>1</v>
      </c>
      <c r="L77" t="n">
        <v>0</v>
      </c>
      <c r="M77" t="n">
        <v>0</v>
      </c>
      <c r="N77" t="n">
        <v>0</v>
      </c>
      <c r="O77" t="n">
        <v>2</v>
      </c>
      <c r="P77" t="n">
        <v>1</v>
      </c>
      <c r="Q77" t="n">
        <v>2</v>
      </c>
      <c r="R77" s="2" t="inlineStr">
        <is>
          <t>Laxporing
Doftskinn</t>
        </is>
      </c>
      <c r="S77">
        <f>HYPERLINK("https://klasma.github.io/Logging_2262/artfynd/A 18827-2025 artfynd.xlsx", "A 18827-2025")</f>
        <v/>
      </c>
      <c r="T77">
        <f>HYPERLINK("https://klasma.github.io/Logging_2262/kartor/A 18827-2025 karta.png", "A 18827-2025")</f>
        <v/>
      </c>
      <c r="V77">
        <f>HYPERLINK("https://klasma.github.io/Logging_2262/klagomål/A 18827-2025 FSC-klagomål.docx", "A 18827-2025")</f>
        <v/>
      </c>
      <c r="W77">
        <f>HYPERLINK("https://klasma.github.io/Logging_2262/klagomålsmail/A 18827-2025 FSC-klagomål mail.docx", "A 18827-2025")</f>
        <v/>
      </c>
      <c r="X77">
        <f>HYPERLINK("https://klasma.github.io/Logging_2262/tillsyn/A 18827-2025 tillsynsbegäran.docx", "A 18827-2025")</f>
        <v/>
      </c>
      <c r="Y77">
        <f>HYPERLINK("https://klasma.github.io/Logging_2262/tillsynsmail/A 18827-2025 tillsynsbegäran mail.docx", "A 18827-2025")</f>
        <v/>
      </c>
    </row>
    <row r="78" ht="15" customHeight="1">
      <c r="A78" t="inlineStr">
        <is>
          <t>A 49202-2022</t>
        </is>
      </c>
      <c r="B78" s="1" t="n">
        <v>44860</v>
      </c>
      <c r="C78" s="1" t="n">
        <v>45955</v>
      </c>
      <c r="D78" t="inlineStr">
        <is>
          <t>VÄSTERNORRLANDS LÄN</t>
        </is>
      </c>
      <c r="E78" t="inlineStr">
        <is>
          <t>TIMRÅ</t>
        </is>
      </c>
      <c r="F78" t="inlineStr">
        <is>
          <t>SCA</t>
        </is>
      </c>
      <c r="G78" t="n">
        <v>2.2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Garnlav
Violettgrå tagellav</t>
        </is>
      </c>
      <c r="S78">
        <f>HYPERLINK("https://klasma.github.io/Logging_2262/artfynd/A 49202-2022 artfynd.xlsx", "A 49202-2022")</f>
        <v/>
      </c>
      <c r="T78">
        <f>HYPERLINK("https://klasma.github.io/Logging_2262/kartor/A 49202-2022 karta.png", "A 49202-2022")</f>
        <v/>
      </c>
      <c r="V78">
        <f>HYPERLINK("https://klasma.github.io/Logging_2262/klagomål/A 49202-2022 FSC-klagomål.docx", "A 49202-2022")</f>
        <v/>
      </c>
      <c r="W78">
        <f>HYPERLINK("https://klasma.github.io/Logging_2262/klagomålsmail/A 49202-2022 FSC-klagomål mail.docx", "A 49202-2022")</f>
        <v/>
      </c>
      <c r="X78">
        <f>HYPERLINK("https://klasma.github.io/Logging_2262/tillsyn/A 49202-2022 tillsynsbegäran.docx", "A 49202-2022")</f>
        <v/>
      </c>
      <c r="Y78">
        <f>HYPERLINK("https://klasma.github.io/Logging_2262/tillsynsmail/A 49202-2022 tillsynsbegäran mail.docx", "A 49202-2022")</f>
        <v/>
      </c>
    </row>
    <row r="79" ht="15" customHeight="1">
      <c r="A79" t="inlineStr">
        <is>
          <t>A 20679-2021</t>
        </is>
      </c>
      <c r="B79" s="1" t="n">
        <v>44316</v>
      </c>
      <c r="C79" s="1" t="n">
        <v>45955</v>
      </c>
      <c r="D79" t="inlineStr">
        <is>
          <t>VÄSTERNORRLANDS LÄN</t>
        </is>
      </c>
      <c r="E79" t="inlineStr">
        <is>
          <t>TIMRÅ</t>
        </is>
      </c>
      <c r="G79" t="n">
        <v>12.6</v>
      </c>
      <c r="H79" t="n">
        <v>1</v>
      </c>
      <c r="I79" t="n">
        <v>0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1</v>
      </c>
      <c r="R79" s="2" t="inlineStr">
        <is>
          <t>Havsörn</t>
        </is>
      </c>
      <c r="S79">
        <f>HYPERLINK("https://klasma.github.io/Logging_2262/artfynd/A 20679-2021 artfynd.xlsx", "A 20679-2021")</f>
        <v/>
      </c>
      <c r="T79">
        <f>HYPERLINK("https://klasma.github.io/Logging_2262/kartor/A 20679-2021 karta.png", "A 20679-2021")</f>
        <v/>
      </c>
      <c r="V79">
        <f>HYPERLINK("https://klasma.github.io/Logging_2262/klagomål/A 20679-2021 FSC-klagomål.docx", "A 20679-2021")</f>
        <v/>
      </c>
      <c r="W79">
        <f>HYPERLINK("https://klasma.github.io/Logging_2262/klagomålsmail/A 20679-2021 FSC-klagomål mail.docx", "A 20679-2021")</f>
        <v/>
      </c>
      <c r="X79">
        <f>HYPERLINK("https://klasma.github.io/Logging_2262/tillsyn/A 20679-2021 tillsynsbegäran.docx", "A 20679-2021")</f>
        <v/>
      </c>
      <c r="Y79">
        <f>HYPERLINK("https://klasma.github.io/Logging_2262/tillsynsmail/A 20679-2021 tillsynsbegäran mail.docx", "A 20679-2021")</f>
        <v/>
      </c>
      <c r="Z79">
        <f>HYPERLINK("https://klasma.github.io/Logging_2262/fåglar/A 20679-2021 prioriterade fågelarter.docx", "A 20679-2021")</f>
        <v/>
      </c>
    </row>
    <row r="80" ht="15" customHeight="1">
      <c r="A80" t="inlineStr">
        <is>
          <t>A 7272-2025</t>
        </is>
      </c>
      <c r="B80" s="1" t="n">
        <v>45702.61481481481</v>
      </c>
      <c r="C80" s="1" t="n">
        <v>45955</v>
      </c>
      <c r="D80" t="inlineStr">
        <is>
          <t>VÄSTERNORRLANDS LÄN</t>
        </is>
      </c>
      <c r="E80" t="inlineStr">
        <is>
          <t>TIMRÅ</t>
        </is>
      </c>
      <c r="G80" t="n">
        <v>2.9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Reliktbock</t>
        </is>
      </c>
      <c r="S80">
        <f>HYPERLINK("https://klasma.github.io/Logging_2262/artfynd/A 7272-2025 artfynd.xlsx", "A 7272-2025")</f>
        <v/>
      </c>
      <c r="T80">
        <f>HYPERLINK("https://klasma.github.io/Logging_2262/kartor/A 7272-2025 karta.png", "A 7272-2025")</f>
        <v/>
      </c>
      <c r="V80">
        <f>HYPERLINK("https://klasma.github.io/Logging_2262/klagomål/A 7272-2025 FSC-klagomål.docx", "A 7272-2025")</f>
        <v/>
      </c>
      <c r="W80">
        <f>HYPERLINK("https://klasma.github.io/Logging_2262/klagomålsmail/A 7272-2025 FSC-klagomål mail.docx", "A 7272-2025")</f>
        <v/>
      </c>
      <c r="X80">
        <f>HYPERLINK("https://klasma.github.io/Logging_2262/tillsyn/A 7272-2025 tillsynsbegäran.docx", "A 7272-2025")</f>
        <v/>
      </c>
      <c r="Y80">
        <f>HYPERLINK("https://klasma.github.io/Logging_2262/tillsynsmail/A 7272-2025 tillsynsbegäran mail.docx", "A 7272-2025")</f>
        <v/>
      </c>
    </row>
    <row r="81" ht="15" customHeight="1">
      <c r="A81" t="inlineStr">
        <is>
          <t>A 22050-2025</t>
        </is>
      </c>
      <c r="B81" s="1" t="n">
        <v>45785.34451388889</v>
      </c>
      <c r="C81" s="1" t="n">
        <v>45955</v>
      </c>
      <c r="D81" t="inlineStr">
        <is>
          <t>VÄSTERNORRLANDS LÄN</t>
        </is>
      </c>
      <c r="E81" t="inlineStr">
        <is>
          <t>TIMRÅ</t>
        </is>
      </c>
      <c r="F81" t="inlineStr">
        <is>
          <t>SCA</t>
        </is>
      </c>
      <c r="G81" t="n">
        <v>2.4</v>
      </c>
      <c r="H81" t="n">
        <v>0</v>
      </c>
      <c r="I81" t="n">
        <v>0</v>
      </c>
      <c r="J81" t="n">
        <v>1</v>
      </c>
      <c r="K81" t="n">
        <v>0</v>
      </c>
      <c r="L81" t="n">
        <v>0</v>
      </c>
      <c r="M81" t="n">
        <v>0</v>
      </c>
      <c r="N81" t="n">
        <v>0</v>
      </c>
      <c r="O81" t="n">
        <v>1</v>
      </c>
      <c r="P81" t="n">
        <v>0</v>
      </c>
      <c r="Q81" t="n">
        <v>1</v>
      </c>
      <c r="R81" s="2" t="inlineStr">
        <is>
          <t>Lunglav</t>
        </is>
      </c>
      <c r="S81">
        <f>HYPERLINK("https://klasma.github.io/Logging_2262/artfynd/A 22050-2025 artfynd.xlsx", "A 22050-2025")</f>
        <v/>
      </c>
      <c r="T81">
        <f>HYPERLINK("https://klasma.github.io/Logging_2262/kartor/A 22050-2025 karta.png", "A 22050-2025")</f>
        <v/>
      </c>
      <c r="V81">
        <f>HYPERLINK("https://klasma.github.io/Logging_2262/klagomål/A 22050-2025 FSC-klagomål.docx", "A 22050-2025")</f>
        <v/>
      </c>
      <c r="W81">
        <f>HYPERLINK("https://klasma.github.io/Logging_2262/klagomålsmail/A 22050-2025 FSC-klagomål mail.docx", "A 22050-2025")</f>
        <v/>
      </c>
      <c r="X81">
        <f>HYPERLINK("https://klasma.github.io/Logging_2262/tillsyn/A 22050-2025 tillsynsbegäran.docx", "A 22050-2025")</f>
        <v/>
      </c>
      <c r="Y81">
        <f>HYPERLINK("https://klasma.github.io/Logging_2262/tillsynsmail/A 22050-2025 tillsynsbegäran mail.docx", "A 22050-2025")</f>
        <v/>
      </c>
    </row>
    <row r="82" ht="15" customHeight="1">
      <c r="A82" t="inlineStr">
        <is>
          <t>A 22212-2025</t>
        </is>
      </c>
      <c r="B82" s="1" t="n">
        <v>45785.65763888889</v>
      </c>
      <c r="C82" s="1" t="n">
        <v>45955</v>
      </c>
      <c r="D82" t="inlineStr">
        <is>
          <t>VÄSTERNORRLANDS LÄN</t>
        </is>
      </c>
      <c r="E82" t="inlineStr">
        <is>
          <t>TIMRÅ</t>
        </is>
      </c>
      <c r="F82" t="inlineStr">
        <is>
          <t>SCA</t>
        </is>
      </c>
      <c r="G82" t="n">
        <v>6.9</v>
      </c>
      <c r="H82" t="n">
        <v>0</v>
      </c>
      <c r="I82" t="n">
        <v>0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1</v>
      </c>
      <c r="R82" s="2" t="inlineStr">
        <is>
          <t>Ullticka</t>
        </is>
      </c>
      <c r="S82">
        <f>HYPERLINK("https://klasma.github.io/Logging_2262/artfynd/A 22212-2025 artfynd.xlsx", "A 22212-2025")</f>
        <v/>
      </c>
      <c r="T82">
        <f>HYPERLINK("https://klasma.github.io/Logging_2262/kartor/A 22212-2025 karta.png", "A 22212-2025")</f>
        <v/>
      </c>
      <c r="V82">
        <f>HYPERLINK("https://klasma.github.io/Logging_2262/klagomål/A 22212-2025 FSC-klagomål.docx", "A 22212-2025")</f>
        <v/>
      </c>
      <c r="W82">
        <f>HYPERLINK("https://klasma.github.io/Logging_2262/klagomålsmail/A 22212-2025 FSC-klagomål mail.docx", "A 22212-2025")</f>
        <v/>
      </c>
      <c r="X82">
        <f>HYPERLINK("https://klasma.github.io/Logging_2262/tillsyn/A 22212-2025 tillsynsbegäran.docx", "A 22212-2025")</f>
        <v/>
      </c>
      <c r="Y82">
        <f>HYPERLINK("https://klasma.github.io/Logging_2262/tillsynsmail/A 22212-2025 tillsynsbegäran mail.docx", "A 22212-2025")</f>
        <v/>
      </c>
    </row>
    <row r="83" ht="15" customHeight="1">
      <c r="A83" t="inlineStr">
        <is>
          <t>A 12753-2022</t>
        </is>
      </c>
      <c r="B83" s="1" t="n">
        <v>44641</v>
      </c>
      <c r="C83" s="1" t="n">
        <v>45955</v>
      </c>
      <c r="D83" t="inlineStr">
        <is>
          <t>VÄSTERNORRLANDS LÄN</t>
        </is>
      </c>
      <c r="E83" t="inlineStr">
        <is>
          <t>TIMRÅ</t>
        </is>
      </c>
      <c r="G83" t="n">
        <v>1.6</v>
      </c>
      <c r="H83" t="n">
        <v>0</v>
      </c>
      <c r="I83" t="n">
        <v>1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Strutbräken</t>
        </is>
      </c>
      <c r="S83">
        <f>HYPERLINK("https://klasma.github.io/Logging_2262/artfynd/A 12753-2022 artfynd.xlsx", "A 12753-2022")</f>
        <v/>
      </c>
      <c r="T83">
        <f>HYPERLINK("https://klasma.github.io/Logging_2262/kartor/A 12753-2022 karta.png", "A 12753-2022")</f>
        <v/>
      </c>
      <c r="V83">
        <f>HYPERLINK("https://klasma.github.io/Logging_2262/klagomål/A 12753-2022 FSC-klagomål.docx", "A 12753-2022")</f>
        <v/>
      </c>
      <c r="W83">
        <f>HYPERLINK("https://klasma.github.io/Logging_2262/klagomålsmail/A 12753-2022 FSC-klagomål mail.docx", "A 12753-2022")</f>
        <v/>
      </c>
      <c r="X83">
        <f>HYPERLINK("https://klasma.github.io/Logging_2262/tillsyn/A 12753-2022 tillsynsbegäran.docx", "A 12753-2022")</f>
        <v/>
      </c>
      <c r="Y83">
        <f>HYPERLINK("https://klasma.github.io/Logging_2262/tillsynsmail/A 12753-2022 tillsynsbegäran mail.docx", "A 12753-2022")</f>
        <v/>
      </c>
    </row>
    <row r="84" ht="15" customHeight="1">
      <c r="A84" t="inlineStr">
        <is>
          <t>A 6770-2023</t>
        </is>
      </c>
      <c r="B84" s="1" t="n">
        <v>44966</v>
      </c>
      <c r="C84" s="1" t="n">
        <v>45955</v>
      </c>
      <c r="D84" t="inlineStr">
        <is>
          <t>VÄSTERNORRLANDS LÄN</t>
        </is>
      </c>
      <c r="E84" t="inlineStr">
        <is>
          <t>TIMRÅ</t>
        </is>
      </c>
      <c r="G84" t="n">
        <v>3.3</v>
      </c>
      <c r="H84" t="n">
        <v>0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Skogshare</t>
        </is>
      </c>
      <c r="S84">
        <f>HYPERLINK("https://klasma.github.io/Logging_2262/artfynd/A 6770-2023 artfynd.xlsx", "A 6770-2023")</f>
        <v/>
      </c>
      <c r="T84">
        <f>HYPERLINK("https://klasma.github.io/Logging_2262/kartor/A 6770-2023 karta.png", "A 6770-2023")</f>
        <v/>
      </c>
      <c r="V84">
        <f>HYPERLINK("https://klasma.github.io/Logging_2262/klagomål/A 6770-2023 FSC-klagomål.docx", "A 6770-2023")</f>
        <v/>
      </c>
      <c r="W84">
        <f>HYPERLINK("https://klasma.github.io/Logging_2262/klagomålsmail/A 6770-2023 FSC-klagomål mail.docx", "A 6770-2023")</f>
        <v/>
      </c>
      <c r="X84">
        <f>HYPERLINK("https://klasma.github.io/Logging_2262/tillsyn/A 6770-2023 tillsynsbegäran.docx", "A 6770-2023")</f>
        <v/>
      </c>
      <c r="Y84">
        <f>HYPERLINK("https://klasma.github.io/Logging_2262/tillsynsmail/A 6770-2023 tillsynsbegäran mail.docx", "A 6770-2023")</f>
        <v/>
      </c>
    </row>
    <row r="85" ht="15" customHeight="1">
      <c r="A85" t="inlineStr">
        <is>
          <t>A 22897-2025</t>
        </is>
      </c>
      <c r="B85" s="1" t="n">
        <v>45790</v>
      </c>
      <c r="C85" s="1" t="n">
        <v>45955</v>
      </c>
      <c r="D85" t="inlineStr">
        <is>
          <t>VÄSTERNORRLANDS LÄN</t>
        </is>
      </c>
      <c r="E85" t="inlineStr">
        <is>
          <t>TIMRÅ</t>
        </is>
      </c>
      <c r="F85" t="inlineStr">
        <is>
          <t>SCA</t>
        </is>
      </c>
      <c r="G85" t="n">
        <v>6.2</v>
      </c>
      <c r="H85" t="n">
        <v>0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Garnlav</t>
        </is>
      </c>
      <c r="S85">
        <f>HYPERLINK("https://klasma.github.io/Logging_2262/artfynd/A 22897-2025 artfynd.xlsx", "A 22897-2025")</f>
        <v/>
      </c>
      <c r="T85">
        <f>HYPERLINK("https://klasma.github.io/Logging_2262/kartor/A 22897-2025 karta.png", "A 22897-2025")</f>
        <v/>
      </c>
      <c r="V85">
        <f>HYPERLINK("https://klasma.github.io/Logging_2262/klagomål/A 22897-2025 FSC-klagomål.docx", "A 22897-2025")</f>
        <v/>
      </c>
      <c r="W85">
        <f>HYPERLINK("https://klasma.github.io/Logging_2262/klagomålsmail/A 22897-2025 FSC-klagomål mail.docx", "A 22897-2025")</f>
        <v/>
      </c>
      <c r="X85">
        <f>HYPERLINK("https://klasma.github.io/Logging_2262/tillsyn/A 22897-2025 tillsynsbegäran.docx", "A 22897-2025")</f>
        <v/>
      </c>
      <c r="Y85">
        <f>HYPERLINK("https://klasma.github.io/Logging_2262/tillsynsmail/A 22897-2025 tillsynsbegäran mail.docx", "A 22897-2025")</f>
        <v/>
      </c>
    </row>
    <row r="86" ht="15" customHeight="1">
      <c r="A86" t="inlineStr">
        <is>
          <t>A 8998-2024</t>
        </is>
      </c>
      <c r="B86" s="1" t="n">
        <v>45356</v>
      </c>
      <c r="C86" s="1" t="n">
        <v>45955</v>
      </c>
      <c r="D86" t="inlineStr">
        <is>
          <t>VÄSTERNORRLANDS LÄN</t>
        </is>
      </c>
      <c r="E86" t="inlineStr">
        <is>
          <t>TIMRÅ</t>
        </is>
      </c>
      <c r="G86" t="n">
        <v>2.1</v>
      </c>
      <c r="H86" t="n">
        <v>0</v>
      </c>
      <c r="I86" t="n">
        <v>1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1</v>
      </c>
      <c r="R86" s="2" t="inlineStr">
        <is>
          <t>Strutbräken</t>
        </is>
      </c>
      <c r="S86">
        <f>HYPERLINK("https://klasma.github.io/Logging_2262/artfynd/A 8998-2024 artfynd.xlsx", "A 8998-2024")</f>
        <v/>
      </c>
      <c r="T86">
        <f>HYPERLINK("https://klasma.github.io/Logging_2262/kartor/A 8998-2024 karta.png", "A 8998-2024")</f>
        <v/>
      </c>
      <c r="V86">
        <f>HYPERLINK("https://klasma.github.io/Logging_2262/klagomål/A 8998-2024 FSC-klagomål.docx", "A 8998-2024")</f>
        <v/>
      </c>
      <c r="W86">
        <f>HYPERLINK("https://klasma.github.io/Logging_2262/klagomålsmail/A 8998-2024 FSC-klagomål mail.docx", "A 8998-2024")</f>
        <v/>
      </c>
      <c r="X86">
        <f>HYPERLINK("https://klasma.github.io/Logging_2262/tillsyn/A 8998-2024 tillsynsbegäran.docx", "A 8998-2024")</f>
        <v/>
      </c>
      <c r="Y86">
        <f>HYPERLINK("https://klasma.github.io/Logging_2262/tillsynsmail/A 8998-2024 tillsynsbegäran mail.docx", "A 8998-2024")</f>
        <v/>
      </c>
    </row>
    <row r="87" ht="15" customHeight="1">
      <c r="A87" t="inlineStr">
        <is>
          <t>A 22819-2025</t>
        </is>
      </c>
      <c r="B87" s="1" t="n">
        <v>45789.71935185185</v>
      </c>
      <c r="C87" s="1" t="n">
        <v>45955</v>
      </c>
      <c r="D87" t="inlineStr">
        <is>
          <t>VÄSTERNORRLANDS LÄN</t>
        </is>
      </c>
      <c r="E87" t="inlineStr">
        <is>
          <t>TIMRÅ</t>
        </is>
      </c>
      <c r="G87" t="n">
        <v>1.2</v>
      </c>
      <c r="H87" t="n">
        <v>1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Orre</t>
        </is>
      </c>
      <c r="S87">
        <f>HYPERLINK("https://klasma.github.io/Logging_2262/artfynd/A 22819-2025 artfynd.xlsx", "A 22819-2025")</f>
        <v/>
      </c>
      <c r="T87">
        <f>HYPERLINK("https://klasma.github.io/Logging_2262/kartor/A 22819-2025 karta.png", "A 22819-2025")</f>
        <v/>
      </c>
      <c r="V87">
        <f>HYPERLINK("https://klasma.github.io/Logging_2262/klagomål/A 22819-2025 FSC-klagomål.docx", "A 22819-2025")</f>
        <v/>
      </c>
      <c r="W87">
        <f>HYPERLINK("https://klasma.github.io/Logging_2262/klagomålsmail/A 22819-2025 FSC-klagomål mail.docx", "A 22819-2025")</f>
        <v/>
      </c>
      <c r="X87">
        <f>HYPERLINK("https://klasma.github.io/Logging_2262/tillsyn/A 22819-2025 tillsynsbegäran.docx", "A 22819-2025")</f>
        <v/>
      </c>
      <c r="Y87">
        <f>HYPERLINK("https://klasma.github.io/Logging_2262/tillsynsmail/A 22819-2025 tillsynsbegäran mail.docx", "A 22819-2025")</f>
        <v/>
      </c>
      <c r="Z87">
        <f>HYPERLINK("https://klasma.github.io/Logging_2262/fåglar/A 22819-2025 prioriterade fågelarter.docx", "A 22819-2025")</f>
        <v/>
      </c>
    </row>
    <row r="88" ht="15" customHeight="1">
      <c r="A88" t="inlineStr">
        <is>
          <t>A 23171-2025</t>
        </is>
      </c>
      <c r="B88" s="1" t="n">
        <v>45791.4278587963</v>
      </c>
      <c r="C88" s="1" t="n">
        <v>45955</v>
      </c>
      <c r="D88" t="inlineStr">
        <is>
          <t>VÄSTERNORRLANDS LÄN</t>
        </is>
      </c>
      <c r="E88" t="inlineStr">
        <is>
          <t>TIMRÅ</t>
        </is>
      </c>
      <c r="F88" t="inlineStr">
        <is>
          <t>SCA</t>
        </is>
      </c>
      <c r="G88" t="n">
        <v>3.4</v>
      </c>
      <c r="H88" t="n">
        <v>0</v>
      </c>
      <c r="I88" t="n">
        <v>0</v>
      </c>
      <c r="J88" t="n">
        <v>1</v>
      </c>
      <c r="K88" t="n">
        <v>0</v>
      </c>
      <c r="L88" t="n">
        <v>0</v>
      </c>
      <c r="M88" t="n">
        <v>0</v>
      </c>
      <c r="N88" t="n">
        <v>0</v>
      </c>
      <c r="O88" t="n">
        <v>1</v>
      </c>
      <c r="P88" t="n">
        <v>0</v>
      </c>
      <c r="Q88" t="n">
        <v>1</v>
      </c>
      <c r="R88" s="2" t="inlineStr">
        <is>
          <t>Lunglav</t>
        </is>
      </c>
      <c r="S88">
        <f>HYPERLINK("https://klasma.github.io/Logging_2262/artfynd/A 23171-2025 artfynd.xlsx", "A 23171-2025")</f>
        <v/>
      </c>
      <c r="T88">
        <f>HYPERLINK("https://klasma.github.io/Logging_2262/kartor/A 23171-2025 karta.png", "A 23171-2025")</f>
        <v/>
      </c>
      <c r="V88">
        <f>HYPERLINK("https://klasma.github.io/Logging_2262/klagomål/A 23171-2025 FSC-klagomål.docx", "A 23171-2025")</f>
        <v/>
      </c>
      <c r="W88">
        <f>HYPERLINK("https://klasma.github.io/Logging_2262/klagomålsmail/A 23171-2025 FSC-klagomål mail.docx", "A 23171-2025")</f>
        <v/>
      </c>
      <c r="X88">
        <f>HYPERLINK("https://klasma.github.io/Logging_2262/tillsyn/A 23171-2025 tillsynsbegäran.docx", "A 23171-2025")</f>
        <v/>
      </c>
      <c r="Y88">
        <f>HYPERLINK("https://klasma.github.io/Logging_2262/tillsynsmail/A 23171-2025 tillsynsbegäran mail.docx", "A 23171-2025")</f>
        <v/>
      </c>
    </row>
    <row r="89" ht="15" customHeight="1">
      <c r="A89" t="inlineStr">
        <is>
          <t>A 23159-2025</t>
        </is>
      </c>
      <c r="B89" s="1" t="n">
        <v>45791.40748842592</v>
      </c>
      <c r="C89" s="1" t="n">
        <v>45955</v>
      </c>
      <c r="D89" t="inlineStr">
        <is>
          <t>VÄSTERNORRLANDS LÄN</t>
        </is>
      </c>
      <c r="E89" t="inlineStr">
        <is>
          <t>TIMRÅ</t>
        </is>
      </c>
      <c r="F89" t="inlineStr">
        <is>
          <t>SCA</t>
        </is>
      </c>
      <c r="G89" t="n">
        <v>1.1</v>
      </c>
      <c r="H89" t="n">
        <v>1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Revlummer</t>
        </is>
      </c>
      <c r="S89">
        <f>HYPERLINK("https://klasma.github.io/Logging_2262/artfynd/A 23159-2025 artfynd.xlsx", "A 23159-2025")</f>
        <v/>
      </c>
      <c r="T89">
        <f>HYPERLINK("https://klasma.github.io/Logging_2262/kartor/A 23159-2025 karta.png", "A 23159-2025")</f>
        <v/>
      </c>
      <c r="V89">
        <f>HYPERLINK("https://klasma.github.io/Logging_2262/klagomål/A 23159-2025 FSC-klagomål.docx", "A 23159-2025")</f>
        <v/>
      </c>
      <c r="W89">
        <f>HYPERLINK("https://klasma.github.io/Logging_2262/klagomålsmail/A 23159-2025 FSC-klagomål mail.docx", "A 23159-2025")</f>
        <v/>
      </c>
      <c r="X89">
        <f>HYPERLINK("https://klasma.github.io/Logging_2262/tillsyn/A 23159-2025 tillsynsbegäran.docx", "A 23159-2025")</f>
        <v/>
      </c>
      <c r="Y89">
        <f>HYPERLINK("https://klasma.github.io/Logging_2262/tillsynsmail/A 23159-2025 tillsynsbegäran mail.docx", "A 23159-2025")</f>
        <v/>
      </c>
    </row>
    <row r="90" ht="15" customHeight="1">
      <c r="A90" t="inlineStr">
        <is>
          <t>A 23283-2025</t>
        </is>
      </c>
      <c r="B90" s="1" t="n">
        <v>45791.57354166666</v>
      </c>
      <c r="C90" s="1" t="n">
        <v>45955</v>
      </c>
      <c r="D90" t="inlineStr">
        <is>
          <t>VÄSTERNORRLANDS LÄN</t>
        </is>
      </c>
      <c r="E90" t="inlineStr">
        <is>
          <t>TIMRÅ</t>
        </is>
      </c>
      <c r="F90" t="inlineStr">
        <is>
          <t>SCA</t>
        </is>
      </c>
      <c r="G90" t="n">
        <v>1.3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Lunglav</t>
        </is>
      </c>
      <c r="S90">
        <f>HYPERLINK("https://klasma.github.io/Logging_2262/artfynd/A 23283-2025 artfynd.xlsx", "A 23283-2025")</f>
        <v/>
      </c>
      <c r="T90">
        <f>HYPERLINK("https://klasma.github.io/Logging_2262/kartor/A 23283-2025 karta.png", "A 23283-2025")</f>
        <v/>
      </c>
      <c r="V90">
        <f>HYPERLINK("https://klasma.github.io/Logging_2262/klagomål/A 23283-2025 FSC-klagomål.docx", "A 23283-2025")</f>
        <v/>
      </c>
      <c r="W90">
        <f>HYPERLINK("https://klasma.github.io/Logging_2262/klagomålsmail/A 23283-2025 FSC-klagomål mail.docx", "A 23283-2025")</f>
        <v/>
      </c>
      <c r="X90">
        <f>HYPERLINK("https://klasma.github.io/Logging_2262/tillsyn/A 23283-2025 tillsynsbegäran.docx", "A 23283-2025")</f>
        <v/>
      </c>
      <c r="Y90">
        <f>HYPERLINK("https://klasma.github.io/Logging_2262/tillsynsmail/A 23283-2025 tillsynsbegäran mail.docx", "A 23283-2025")</f>
        <v/>
      </c>
    </row>
    <row r="91" ht="15" customHeight="1">
      <c r="A91" t="inlineStr">
        <is>
          <t>A 1152-2024</t>
        </is>
      </c>
      <c r="B91" s="1" t="n">
        <v>45302</v>
      </c>
      <c r="C91" s="1" t="n">
        <v>45955</v>
      </c>
      <c r="D91" t="inlineStr">
        <is>
          <t>VÄSTERNORRLANDS LÄN</t>
        </is>
      </c>
      <c r="E91" t="inlineStr">
        <is>
          <t>TIMRÅ</t>
        </is>
      </c>
      <c r="G91" t="n">
        <v>5.8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Tibast</t>
        </is>
      </c>
      <c r="S91">
        <f>HYPERLINK("https://klasma.github.io/Logging_2262/artfynd/A 1152-2024 artfynd.xlsx", "A 1152-2024")</f>
        <v/>
      </c>
      <c r="T91">
        <f>HYPERLINK("https://klasma.github.io/Logging_2262/kartor/A 1152-2024 karta.png", "A 1152-2024")</f>
        <v/>
      </c>
      <c r="V91">
        <f>HYPERLINK("https://klasma.github.io/Logging_2262/klagomål/A 1152-2024 FSC-klagomål.docx", "A 1152-2024")</f>
        <v/>
      </c>
      <c r="W91">
        <f>HYPERLINK("https://klasma.github.io/Logging_2262/klagomålsmail/A 1152-2024 FSC-klagomål mail.docx", "A 1152-2024")</f>
        <v/>
      </c>
      <c r="X91">
        <f>HYPERLINK("https://klasma.github.io/Logging_2262/tillsyn/A 1152-2024 tillsynsbegäran.docx", "A 1152-2024")</f>
        <v/>
      </c>
      <c r="Y91">
        <f>HYPERLINK("https://klasma.github.io/Logging_2262/tillsynsmail/A 1152-2024 tillsynsbegäran mail.docx", "A 1152-2024")</f>
        <v/>
      </c>
    </row>
    <row r="92" ht="15" customHeight="1">
      <c r="A92" t="inlineStr">
        <is>
          <t>A 24423-2025</t>
        </is>
      </c>
      <c r="B92" s="1" t="n">
        <v>45797.67813657408</v>
      </c>
      <c r="C92" s="1" t="n">
        <v>45955</v>
      </c>
      <c r="D92" t="inlineStr">
        <is>
          <t>VÄSTERNORRLANDS LÄN</t>
        </is>
      </c>
      <c r="E92" t="inlineStr">
        <is>
          <t>TIMRÅ</t>
        </is>
      </c>
      <c r="F92" t="inlineStr">
        <is>
          <t>SCA</t>
        </is>
      </c>
      <c r="G92" t="n">
        <v>2.4</v>
      </c>
      <c r="H92" t="n">
        <v>0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Gammelgransskål</t>
        </is>
      </c>
      <c r="S92">
        <f>HYPERLINK("https://klasma.github.io/Logging_2262/artfynd/A 24423-2025 artfynd.xlsx", "A 24423-2025")</f>
        <v/>
      </c>
      <c r="T92">
        <f>HYPERLINK("https://klasma.github.io/Logging_2262/kartor/A 24423-2025 karta.png", "A 24423-2025")</f>
        <v/>
      </c>
      <c r="V92">
        <f>HYPERLINK("https://klasma.github.io/Logging_2262/klagomål/A 24423-2025 FSC-klagomål.docx", "A 24423-2025")</f>
        <v/>
      </c>
      <c r="W92">
        <f>HYPERLINK("https://klasma.github.io/Logging_2262/klagomålsmail/A 24423-2025 FSC-klagomål mail.docx", "A 24423-2025")</f>
        <v/>
      </c>
      <c r="X92">
        <f>HYPERLINK("https://klasma.github.io/Logging_2262/tillsyn/A 24423-2025 tillsynsbegäran.docx", "A 24423-2025")</f>
        <v/>
      </c>
      <c r="Y92">
        <f>HYPERLINK("https://klasma.github.io/Logging_2262/tillsynsmail/A 24423-2025 tillsynsbegäran mail.docx", "A 24423-2025")</f>
        <v/>
      </c>
    </row>
    <row r="93" ht="15" customHeight="1">
      <c r="A93" t="inlineStr">
        <is>
          <t>A 33503-2023</t>
        </is>
      </c>
      <c r="B93" s="1" t="n">
        <v>45131</v>
      </c>
      <c r="C93" s="1" t="n">
        <v>45955</v>
      </c>
      <c r="D93" t="inlineStr">
        <is>
          <t>VÄSTERNORRLANDS LÄN</t>
        </is>
      </c>
      <c r="E93" t="inlineStr">
        <is>
          <t>TIMRÅ</t>
        </is>
      </c>
      <c r="G93" t="n">
        <v>28.3</v>
      </c>
      <c r="H93" t="n">
        <v>1</v>
      </c>
      <c r="I93" t="n">
        <v>0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1</v>
      </c>
      <c r="R93" s="2" t="inlineStr">
        <is>
          <t>Utter</t>
        </is>
      </c>
      <c r="S93">
        <f>HYPERLINK("https://klasma.github.io/Logging_2262/artfynd/A 33503-2023 artfynd.xlsx", "A 33503-2023")</f>
        <v/>
      </c>
      <c r="T93">
        <f>HYPERLINK("https://klasma.github.io/Logging_2262/kartor/A 33503-2023 karta.png", "A 33503-2023")</f>
        <v/>
      </c>
      <c r="V93">
        <f>HYPERLINK("https://klasma.github.io/Logging_2262/klagomål/A 33503-2023 FSC-klagomål.docx", "A 33503-2023")</f>
        <v/>
      </c>
      <c r="W93">
        <f>HYPERLINK("https://klasma.github.io/Logging_2262/klagomålsmail/A 33503-2023 FSC-klagomål mail.docx", "A 33503-2023")</f>
        <v/>
      </c>
      <c r="X93">
        <f>HYPERLINK("https://klasma.github.io/Logging_2262/tillsyn/A 33503-2023 tillsynsbegäran.docx", "A 33503-2023")</f>
        <v/>
      </c>
      <c r="Y93">
        <f>HYPERLINK("https://klasma.github.io/Logging_2262/tillsynsmail/A 33503-2023 tillsynsbegäran mail.docx", "A 33503-2023")</f>
        <v/>
      </c>
    </row>
    <row r="94" ht="15" customHeight="1">
      <c r="A94" t="inlineStr">
        <is>
          <t>A 56287-2024</t>
        </is>
      </c>
      <c r="B94" s="1" t="n">
        <v>45624.67935185185</v>
      </c>
      <c r="C94" s="1" t="n">
        <v>45955</v>
      </c>
      <c r="D94" t="inlineStr">
        <is>
          <t>VÄSTERNORRLANDS LÄN</t>
        </is>
      </c>
      <c r="E94" t="inlineStr">
        <is>
          <t>TIMRÅ</t>
        </is>
      </c>
      <c r="F94" t="inlineStr">
        <is>
          <t>SCA</t>
        </is>
      </c>
      <c r="G94" t="n">
        <v>10.2</v>
      </c>
      <c r="H94" t="n">
        <v>0</v>
      </c>
      <c r="I94" t="n">
        <v>0</v>
      </c>
      <c r="J94" t="n">
        <v>1</v>
      </c>
      <c r="K94" t="n">
        <v>0</v>
      </c>
      <c r="L94" t="n">
        <v>0</v>
      </c>
      <c r="M94" t="n">
        <v>0</v>
      </c>
      <c r="N94" t="n">
        <v>0</v>
      </c>
      <c r="O94" t="n">
        <v>1</v>
      </c>
      <c r="P94" t="n">
        <v>0</v>
      </c>
      <c r="Q94" t="n">
        <v>1</v>
      </c>
      <c r="R94" s="2" t="inlineStr">
        <is>
          <t>Garnlav</t>
        </is>
      </c>
      <c r="S94">
        <f>HYPERLINK("https://klasma.github.io/Logging_2262/artfynd/A 56287-2024 artfynd.xlsx", "A 56287-2024")</f>
        <v/>
      </c>
      <c r="T94">
        <f>HYPERLINK("https://klasma.github.io/Logging_2262/kartor/A 56287-2024 karta.png", "A 56287-2024")</f>
        <v/>
      </c>
      <c r="V94">
        <f>HYPERLINK("https://klasma.github.io/Logging_2262/klagomål/A 56287-2024 FSC-klagomål.docx", "A 56287-2024")</f>
        <v/>
      </c>
      <c r="W94">
        <f>HYPERLINK("https://klasma.github.io/Logging_2262/klagomålsmail/A 56287-2024 FSC-klagomål mail.docx", "A 56287-2024")</f>
        <v/>
      </c>
      <c r="X94">
        <f>HYPERLINK("https://klasma.github.io/Logging_2262/tillsyn/A 56287-2024 tillsynsbegäran.docx", "A 56287-2024")</f>
        <v/>
      </c>
      <c r="Y94">
        <f>HYPERLINK("https://klasma.github.io/Logging_2262/tillsynsmail/A 56287-2024 tillsynsbegäran mail.docx", "A 56287-2024")</f>
        <v/>
      </c>
    </row>
    <row r="95" ht="15" customHeight="1">
      <c r="A95" t="inlineStr">
        <is>
          <t>A 62081-2024</t>
        </is>
      </c>
      <c r="B95" s="1" t="n">
        <v>45656</v>
      </c>
      <c r="C95" s="1" t="n">
        <v>45955</v>
      </c>
      <c r="D95" t="inlineStr">
        <is>
          <t>VÄSTERNORRLANDS LÄN</t>
        </is>
      </c>
      <c r="E95" t="inlineStr">
        <is>
          <t>TIMRÅ</t>
        </is>
      </c>
      <c r="F95" t="inlineStr">
        <is>
          <t>SCA</t>
        </is>
      </c>
      <c r="G95" t="n">
        <v>6.3</v>
      </c>
      <c r="H95" t="n">
        <v>1</v>
      </c>
      <c r="I95" t="n">
        <v>0</v>
      </c>
      <c r="J95" t="n">
        <v>0</v>
      </c>
      <c r="K95" t="n">
        <v>1</v>
      </c>
      <c r="L95" t="n">
        <v>0</v>
      </c>
      <c r="M95" t="n">
        <v>0</v>
      </c>
      <c r="N95" t="n">
        <v>0</v>
      </c>
      <c r="O95" t="n">
        <v>1</v>
      </c>
      <c r="P95" t="n">
        <v>1</v>
      </c>
      <c r="Q95" t="n">
        <v>1</v>
      </c>
      <c r="R95" s="2" t="inlineStr">
        <is>
          <t>Knärot</t>
        </is>
      </c>
      <c r="S95">
        <f>HYPERLINK("https://klasma.github.io/Logging_2262/artfynd/A 62081-2024 artfynd.xlsx", "A 62081-2024")</f>
        <v/>
      </c>
      <c r="T95">
        <f>HYPERLINK("https://klasma.github.io/Logging_2262/kartor/A 62081-2024 karta.png", "A 62081-2024")</f>
        <v/>
      </c>
      <c r="U95">
        <f>HYPERLINK("https://klasma.github.io/Logging_2262/knärot/A 62081-2024 karta knärot.png", "A 62081-2024")</f>
        <v/>
      </c>
      <c r="V95">
        <f>HYPERLINK("https://klasma.github.io/Logging_2262/klagomål/A 62081-2024 FSC-klagomål.docx", "A 62081-2024")</f>
        <v/>
      </c>
      <c r="W95">
        <f>HYPERLINK("https://klasma.github.io/Logging_2262/klagomålsmail/A 62081-2024 FSC-klagomål mail.docx", "A 62081-2024")</f>
        <v/>
      </c>
      <c r="X95">
        <f>HYPERLINK("https://klasma.github.io/Logging_2262/tillsyn/A 62081-2024 tillsynsbegäran.docx", "A 62081-2024")</f>
        <v/>
      </c>
      <c r="Y95">
        <f>HYPERLINK("https://klasma.github.io/Logging_2262/tillsynsmail/A 62081-2024 tillsynsbegäran mail.docx", "A 62081-2024")</f>
        <v/>
      </c>
    </row>
    <row r="96" ht="15" customHeight="1">
      <c r="A96" t="inlineStr">
        <is>
          <t>A 12785-2022</t>
        </is>
      </c>
      <c r="B96" s="1" t="n">
        <v>44641</v>
      </c>
      <c r="C96" s="1" t="n">
        <v>45955</v>
      </c>
      <c r="D96" t="inlineStr">
        <is>
          <t>VÄSTERNORRLANDS LÄN</t>
        </is>
      </c>
      <c r="E96" t="inlineStr">
        <is>
          <t>TIMRÅ</t>
        </is>
      </c>
      <c r="G96" t="n">
        <v>2.2</v>
      </c>
      <c r="H96" t="n">
        <v>0</v>
      </c>
      <c r="I96" t="n">
        <v>1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1</v>
      </c>
      <c r="R96" s="2" t="inlineStr">
        <is>
          <t>Ögonpyrola</t>
        </is>
      </c>
      <c r="S96">
        <f>HYPERLINK("https://klasma.github.io/Logging_2262/artfynd/A 12785-2022 artfynd.xlsx", "A 12785-2022")</f>
        <v/>
      </c>
      <c r="T96">
        <f>HYPERLINK("https://klasma.github.io/Logging_2262/kartor/A 12785-2022 karta.png", "A 12785-2022")</f>
        <v/>
      </c>
      <c r="V96">
        <f>HYPERLINK("https://klasma.github.io/Logging_2262/klagomål/A 12785-2022 FSC-klagomål.docx", "A 12785-2022")</f>
        <v/>
      </c>
      <c r="W96">
        <f>HYPERLINK("https://klasma.github.io/Logging_2262/klagomålsmail/A 12785-2022 FSC-klagomål mail.docx", "A 12785-2022")</f>
        <v/>
      </c>
      <c r="X96">
        <f>HYPERLINK("https://klasma.github.io/Logging_2262/tillsyn/A 12785-2022 tillsynsbegäran.docx", "A 12785-2022")</f>
        <v/>
      </c>
      <c r="Y96">
        <f>HYPERLINK("https://klasma.github.io/Logging_2262/tillsynsmail/A 12785-2022 tillsynsbegäran mail.docx", "A 12785-2022")</f>
        <v/>
      </c>
    </row>
    <row r="97" ht="15" customHeight="1">
      <c r="A97" t="inlineStr">
        <is>
          <t>A 30072-2025</t>
        </is>
      </c>
      <c r="B97" s="1" t="n">
        <v>45826.63604166666</v>
      </c>
      <c r="C97" s="1" t="n">
        <v>45955</v>
      </c>
      <c r="D97" t="inlineStr">
        <is>
          <t>VÄSTERNORRLANDS LÄN</t>
        </is>
      </c>
      <c r="E97" t="inlineStr">
        <is>
          <t>TIMRÅ</t>
        </is>
      </c>
      <c r="F97" t="inlineStr">
        <is>
          <t>SCA</t>
        </is>
      </c>
      <c r="G97" t="n">
        <v>1.9</v>
      </c>
      <c r="H97" t="n">
        <v>1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1</v>
      </c>
      <c r="R97" s="2" t="inlineStr">
        <is>
          <t>Knärot</t>
        </is>
      </c>
      <c r="S97">
        <f>HYPERLINK("https://klasma.github.io/Logging_2262/artfynd/A 30072-2025 artfynd.xlsx", "A 30072-2025")</f>
        <v/>
      </c>
      <c r="T97">
        <f>HYPERLINK("https://klasma.github.io/Logging_2262/kartor/A 30072-2025 karta.png", "A 30072-2025")</f>
        <v/>
      </c>
      <c r="U97">
        <f>HYPERLINK("https://klasma.github.io/Logging_2262/knärot/A 30072-2025 karta knärot.png", "A 30072-2025")</f>
        <v/>
      </c>
      <c r="V97">
        <f>HYPERLINK("https://klasma.github.io/Logging_2262/klagomål/A 30072-2025 FSC-klagomål.docx", "A 30072-2025")</f>
        <v/>
      </c>
      <c r="W97">
        <f>HYPERLINK("https://klasma.github.io/Logging_2262/klagomålsmail/A 30072-2025 FSC-klagomål mail.docx", "A 30072-2025")</f>
        <v/>
      </c>
      <c r="X97">
        <f>HYPERLINK("https://klasma.github.io/Logging_2262/tillsyn/A 30072-2025 tillsynsbegäran.docx", "A 30072-2025")</f>
        <v/>
      </c>
      <c r="Y97">
        <f>HYPERLINK("https://klasma.github.io/Logging_2262/tillsynsmail/A 30072-2025 tillsynsbegäran mail.docx", "A 30072-2025")</f>
        <v/>
      </c>
    </row>
    <row r="98" ht="15" customHeight="1">
      <c r="A98" t="inlineStr">
        <is>
          <t>A 16301-2025</t>
        </is>
      </c>
      <c r="B98" s="1" t="n">
        <v>45751.34609953704</v>
      </c>
      <c r="C98" s="1" t="n">
        <v>45955</v>
      </c>
      <c r="D98" t="inlineStr">
        <is>
          <t>VÄSTERNORRLANDS LÄN</t>
        </is>
      </c>
      <c r="E98" t="inlineStr">
        <is>
          <t>TIMRÅ</t>
        </is>
      </c>
      <c r="F98" t="inlineStr">
        <is>
          <t>SCA</t>
        </is>
      </c>
      <c r="G98" t="n">
        <v>1.6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Lunglav</t>
        </is>
      </c>
      <c r="S98">
        <f>HYPERLINK("https://klasma.github.io/Logging_2262/artfynd/A 16301-2025 artfynd.xlsx", "A 16301-2025")</f>
        <v/>
      </c>
      <c r="T98">
        <f>HYPERLINK("https://klasma.github.io/Logging_2262/kartor/A 16301-2025 karta.png", "A 16301-2025")</f>
        <v/>
      </c>
      <c r="U98">
        <f>HYPERLINK("https://klasma.github.io/Logging_2262/knärot/A 16301-2025 karta knärot.png", "A 16301-2025")</f>
        <v/>
      </c>
      <c r="V98">
        <f>HYPERLINK("https://klasma.github.io/Logging_2262/klagomål/A 16301-2025 FSC-klagomål.docx", "A 16301-2025")</f>
        <v/>
      </c>
      <c r="W98">
        <f>HYPERLINK("https://klasma.github.io/Logging_2262/klagomålsmail/A 16301-2025 FSC-klagomål mail.docx", "A 16301-2025")</f>
        <v/>
      </c>
      <c r="X98">
        <f>HYPERLINK("https://klasma.github.io/Logging_2262/tillsyn/A 16301-2025 tillsynsbegäran.docx", "A 16301-2025")</f>
        <v/>
      </c>
      <c r="Y98">
        <f>HYPERLINK("https://klasma.github.io/Logging_2262/tillsynsmail/A 16301-2025 tillsynsbegäran mail.docx", "A 16301-2025")</f>
        <v/>
      </c>
    </row>
    <row r="99" ht="15" customHeight="1">
      <c r="A99" t="inlineStr">
        <is>
          <t>A 32367-2025</t>
        </is>
      </c>
      <c r="B99" s="1" t="n">
        <v>45837.65688657408</v>
      </c>
      <c r="C99" s="1" t="n">
        <v>45955</v>
      </c>
      <c r="D99" t="inlineStr">
        <is>
          <t>VÄSTERNORRLANDS LÄN</t>
        </is>
      </c>
      <c r="E99" t="inlineStr">
        <is>
          <t>TIMRÅ</t>
        </is>
      </c>
      <c r="F99" t="inlineStr">
        <is>
          <t>SCA</t>
        </is>
      </c>
      <c r="G99" t="n">
        <v>11.8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Garnlav</t>
        </is>
      </c>
      <c r="S99">
        <f>HYPERLINK("https://klasma.github.io/Logging_2262/artfynd/A 32367-2025 artfynd.xlsx", "A 32367-2025")</f>
        <v/>
      </c>
      <c r="T99">
        <f>HYPERLINK("https://klasma.github.io/Logging_2262/kartor/A 32367-2025 karta.png", "A 32367-2025")</f>
        <v/>
      </c>
      <c r="V99">
        <f>HYPERLINK("https://klasma.github.io/Logging_2262/klagomål/A 32367-2025 FSC-klagomål.docx", "A 32367-2025")</f>
        <v/>
      </c>
      <c r="W99">
        <f>HYPERLINK("https://klasma.github.io/Logging_2262/klagomålsmail/A 32367-2025 FSC-klagomål mail.docx", "A 32367-2025")</f>
        <v/>
      </c>
      <c r="X99">
        <f>HYPERLINK("https://klasma.github.io/Logging_2262/tillsyn/A 32367-2025 tillsynsbegäran.docx", "A 32367-2025")</f>
        <v/>
      </c>
      <c r="Y99">
        <f>HYPERLINK("https://klasma.github.io/Logging_2262/tillsynsmail/A 32367-2025 tillsynsbegäran mail.docx", "A 32367-2025")</f>
        <v/>
      </c>
    </row>
    <row r="100" ht="15" customHeight="1">
      <c r="A100" t="inlineStr">
        <is>
          <t>A 32171-2025</t>
        </is>
      </c>
      <c r="B100" s="1" t="n">
        <v>45835.55256944444</v>
      </c>
      <c r="C100" s="1" t="n">
        <v>45955</v>
      </c>
      <c r="D100" t="inlineStr">
        <is>
          <t>VÄSTERNORRLANDS LÄN</t>
        </is>
      </c>
      <c r="E100" t="inlineStr">
        <is>
          <t>TIMRÅ</t>
        </is>
      </c>
      <c r="F100" t="inlineStr">
        <is>
          <t>SCA</t>
        </is>
      </c>
      <c r="G100" t="n">
        <v>3.9</v>
      </c>
      <c r="H100" t="n">
        <v>0</v>
      </c>
      <c r="I100" t="n">
        <v>0</v>
      </c>
      <c r="J100" t="n">
        <v>1</v>
      </c>
      <c r="K100" t="n">
        <v>0</v>
      </c>
      <c r="L100" t="n">
        <v>0</v>
      </c>
      <c r="M100" t="n">
        <v>0</v>
      </c>
      <c r="N100" t="n">
        <v>0</v>
      </c>
      <c r="O100" t="n">
        <v>1</v>
      </c>
      <c r="P100" t="n">
        <v>0</v>
      </c>
      <c r="Q100" t="n">
        <v>1</v>
      </c>
      <c r="R100" s="2" t="inlineStr">
        <is>
          <t>Garnlav</t>
        </is>
      </c>
      <c r="S100">
        <f>HYPERLINK("https://klasma.github.io/Logging_2262/artfynd/A 32171-2025 artfynd.xlsx", "A 32171-2025")</f>
        <v/>
      </c>
      <c r="T100">
        <f>HYPERLINK("https://klasma.github.io/Logging_2262/kartor/A 32171-2025 karta.png", "A 32171-2025")</f>
        <v/>
      </c>
      <c r="V100">
        <f>HYPERLINK("https://klasma.github.io/Logging_2262/klagomål/A 32171-2025 FSC-klagomål.docx", "A 32171-2025")</f>
        <v/>
      </c>
      <c r="W100">
        <f>HYPERLINK("https://klasma.github.io/Logging_2262/klagomålsmail/A 32171-2025 FSC-klagomål mail.docx", "A 32171-2025")</f>
        <v/>
      </c>
      <c r="X100">
        <f>HYPERLINK("https://klasma.github.io/Logging_2262/tillsyn/A 32171-2025 tillsynsbegäran.docx", "A 32171-2025")</f>
        <v/>
      </c>
      <c r="Y100">
        <f>HYPERLINK("https://klasma.github.io/Logging_2262/tillsynsmail/A 32171-2025 tillsynsbegäran mail.docx", "A 32171-2025")</f>
        <v/>
      </c>
    </row>
    <row r="101" ht="15" customHeight="1">
      <c r="A101" t="inlineStr">
        <is>
          <t>A 53300-2024</t>
        </is>
      </c>
      <c r="B101" s="1" t="n">
        <v>45614.38832175926</v>
      </c>
      <c r="C101" s="1" t="n">
        <v>45955</v>
      </c>
      <c r="D101" t="inlineStr">
        <is>
          <t>VÄSTERNORRLANDS LÄN</t>
        </is>
      </c>
      <c r="E101" t="inlineStr">
        <is>
          <t>TIMRÅ</t>
        </is>
      </c>
      <c r="F101" t="inlineStr">
        <is>
          <t>SCA</t>
        </is>
      </c>
      <c r="G101" t="n">
        <v>1</v>
      </c>
      <c r="H101" t="n">
        <v>0</v>
      </c>
      <c r="I101" t="n">
        <v>0</v>
      </c>
      <c r="J101" t="n">
        <v>1</v>
      </c>
      <c r="K101" t="n">
        <v>0</v>
      </c>
      <c r="L101" t="n">
        <v>0</v>
      </c>
      <c r="M101" t="n">
        <v>0</v>
      </c>
      <c r="N101" t="n">
        <v>0</v>
      </c>
      <c r="O101" t="n">
        <v>1</v>
      </c>
      <c r="P101" t="n">
        <v>0</v>
      </c>
      <c r="Q101" t="n">
        <v>1</v>
      </c>
      <c r="R101" s="2" t="inlineStr">
        <is>
          <t>Garnlav</t>
        </is>
      </c>
      <c r="S101">
        <f>HYPERLINK("https://klasma.github.io/Logging_2262/artfynd/A 53300-2024 artfynd.xlsx", "A 53300-2024")</f>
        <v/>
      </c>
      <c r="T101">
        <f>HYPERLINK("https://klasma.github.io/Logging_2262/kartor/A 53300-2024 karta.png", "A 53300-2024")</f>
        <v/>
      </c>
      <c r="V101">
        <f>HYPERLINK("https://klasma.github.io/Logging_2262/klagomål/A 53300-2024 FSC-klagomål.docx", "A 53300-2024")</f>
        <v/>
      </c>
      <c r="W101">
        <f>HYPERLINK("https://klasma.github.io/Logging_2262/klagomålsmail/A 53300-2024 FSC-klagomål mail.docx", "A 53300-2024")</f>
        <v/>
      </c>
      <c r="X101">
        <f>HYPERLINK("https://klasma.github.io/Logging_2262/tillsyn/A 53300-2024 tillsynsbegäran.docx", "A 53300-2024")</f>
        <v/>
      </c>
      <c r="Y101">
        <f>HYPERLINK("https://klasma.github.io/Logging_2262/tillsynsmail/A 53300-2024 tillsynsbegäran mail.docx", "A 53300-2024")</f>
        <v/>
      </c>
    </row>
    <row r="102" ht="15" customHeight="1">
      <c r="A102" t="inlineStr">
        <is>
          <t>A 35190-2025</t>
        </is>
      </c>
      <c r="B102" s="1" t="n">
        <v>45853.34451388889</v>
      </c>
      <c r="C102" s="1" t="n">
        <v>45955</v>
      </c>
      <c r="D102" t="inlineStr">
        <is>
          <t>VÄSTERNORRLANDS LÄN</t>
        </is>
      </c>
      <c r="E102" t="inlineStr">
        <is>
          <t>TIMRÅ</t>
        </is>
      </c>
      <c r="G102" t="n">
        <v>2.6</v>
      </c>
      <c r="H102" t="n">
        <v>1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Revlummer</t>
        </is>
      </c>
      <c r="S102">
        <f>HYPERLINK("https://klasma.github.io/Logging_2262/artfynd/A 35190-2025 artfynd.xlsx", "A 35190-2025")</f>
        <v/>
      </c>
      <c r="T102">
        <f>HYPERLINK("https://klasma.github.io/Logging_2262/kartor/A 35190-2025 karta.png", "A 35190-2025")</f>
        <v/>
      </c>
      <c r="V102">
        <f>HYPERLINK("https://klasma.github.io/Logging_2262/klagomål/A 35190-2025 FSC-klagomål.docx", "A 35190-2025")</f>
        <v/>
      </c>
      <c r="W102">
        <f>HYPERLINK("https://klasma.github.io/Logging_2262/klagomålsmail/A 35190-2025 FSC-klagomål mail.docx", "A 35190-2025")</f>
        <v/>
      </c>
      <c r="X102">
        <f>HYPERLINK("https://klasma.github.io/Logging_2262/tillsyn/A 35190-2025 tillsynsbegäran.docx", "A 35190-2025")</f>
        <v/>
      </c>
      <c r="Y102">
        <f>HYPERLINK("https://klasma.github.io/Logging_2262/tillsynsmail/A 35190-2025 tillsynsbegäran mail.docx", "A 35190-2025")</f>
        <v/>
      </c>
    </row>
    <row r="103" ht="15" customHeight="1">
      <c r="A103" t="inlineStr">
        <is>
          <t>A 52113-2025</t>
        </is>
      </c>
      <c r="B103" s="1" t="n">
        <v>45952.69873842593</v>
      </c>
      <c r="C103" s="1" t="n">
        <v>45955</v>
      </c>
      <c r="D103" t="inlineStr">
        <is>
          <t>VÄSTERNORRLANDS LÄN</t>
        </is>
      </c>
      <c r="E103" t="inlineStr">
        <is>
          <t>TIMRÅ</t>
        </is>
      </c>
      <c r="F103" t="inlineStr">
        <is>
          <t>SCA</t>
        </is>
      </c>
      <c r="G103" t="n">
        <v>13.3</v>
      </c>
      <c r="H103" t="n">
        <v>1</v>
      </c>
      <c r="I103" t="n">
        <v>0</v>
      </c>
      <c r="J103" t="n">
        <v>0</v>
      </c>
      <c r="K103" t="n">
        <v>1</v>
      </c>
      <c r="L103" t="n">
        <v>0</v>
      </c>
      <c r="M103" t="n">
        <v>0</v>
      </c>
      <c r="N103" t="n">
        <v>0</v>
      </c>
      <c r="O103" t="n">
        <v>1</v>
      </c>
      <c r="P103" t="n">
        <v>1</v>
      </c>
      <c r="Q103" t="n">
        <v>1</v>
      </c>
      <c r="R103" s="2" t="inlineStr">
        <is>
          <t>Bergviol</t>
        </is>
      </c>
      <c r="S103">
        <f>HYPERLINK("https://klasma.github.io/Logging_2262/artfynd/A 52113-2025 artfynd.xlsx", "A 52113-2025")</f>
        <v/>
      </c>
      <c r="T103">
        <f>HYPERLINK("https://klasma.github.io/Logging_2262/kartor/A 52113-2025 karta.png", "A 52113-2025")</f>
        <v/>
      </c>
      <c r="V103">
        <f>HYPERLINK("https://klasma.github.io/Logging_2262/klagomål/A 52113-2025 FSC-klagomål.docx", "A 52113-2025")</f>
        <v/>
      </c>
      <c r="W103">
        <f>HYPERLINK("https://klasma.github.io/Logging_2262/klagomålsmail/A 52113-2025 FSC-klagomål mail.docx", "A 52113-2025")</f>
        <v/>
      </c>
      <c r="X103">
        <f>HYPERLINK("https://klasma.github.io/Logging_2262/tillsyn/A 52113-2025 tillsynsbegäran.docx", "A 52113-2025")</f>
        <v/>
      </c>
      <c r="Y103">
        <f>HYPERLINK("https://klasma.github.io/Logging_2262/tillsynsmail/A 52113-2025 tillsynsbegäran mail.docx", "A 52113-2025")</f>
        <v/>
      </c>
    </row>
    <row r="104" ht="15" customHeight="1">
      <c r="A104" t="inlineStr">
        <is>
          <t>A 58464-2023</t>
        </is>
      </c>
      <c r="B104" s="1" t="n">
        <v>45250</v>
      </c>
      <c r="C104" s="1" t="n">
        <v>45955</v>
      </c>
      <c r="D104" t="inlineStr">
        <is>
          <t>VÄSTERNORRLANDS LÄN</t>
        </is>
      </c>
      <c r="E104" t="inlineStr">
        <is>
          <t>TIMRÅ</t>
        </is>
      </c>
      <c r="F104" t="inlineStr">
        <is>
          <t>SCA</t>
        </is>
      </c>
      <c r="G104" t="n">
        <v>6.5</v>
      </c>
      <c r="H104" t="n">
        <v>0</v>
      </c>
      <c r="I104" t="n">
        <v>0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1</v>
      </c>
      <c r="R104" s="2" t="inlineStr">
        <is>
          <t>Granticka</t>
        </is>
      </c>
      <c r="S104">
        <f>HYPERLINK("https://klasma.github.io/Logging_2262/artfynd/A 58464-2023 artfynd.xlsx", "A 58464-2023")</f>
        <v/>
      </c>
      <c r="T104">
        <f>HYPERLINK("https://klasma.github.io/Logging_2262/kartor/A 58464-2023 karta.png", "A 58464-2023")</f>
        <v/>
      </c>
      <c r="V104">
        <f>HYPERLINK("https://klasma.github.io/Logging_2262/klagomål/A 58464-2023 FSC-klagomål.docx", "A 58464-2023")</f>
        <v/>
      </c>
      <c r="W104">
        <f>HYPERLINK("https://klasma.github.io/Logging_2262/klagomålsmail/A 58464-2023 FSC-klagomål mail.docx", "A 58464-2023")</f>
        <v/>
      </c>
      <c r="X104">
        <f>HYPERLINK("https://klasma.github.io/Logging_2262/tillsyn/A 58464-2023 tillsynsbegäran.docx", "A 58464-2023")</f>
        <v/>
      </c>
      <c r="Y104">
        <f>HYPERLINK("https://klasma.github.io/Logging_2262/tillsynsmail/A 58464-2023 tillsynsbegäran mail.docx", "A 58464-2023")</f>
        <v/>
      </c>
    </row>
    <row r="105" ht="15" customHeight="1">
      <c r="A105" t="inlineStr">
        <is>
          <t>A 52276-2025</t>
        </is>
      </c>
      <c r="B105" s="1" t="n">
        <v>45953.55266203704</v>
      </c>
      <c r="C105" s="1" t="n">
        <v>45955</v>
      </c>
      <c r="D105" t="inlineStr">
        <is>
          <t>VÄSTERNORRLANDS LÄN</t>
        </is>
      </c>
      <c r="E105" t="inlineStr">
        <is>
          <t>TIMRÅ</t>
        </is>
      </c>
      <c r="F105" t="inlineStr">
        <is>
          <t>SCA</t>
        </is>
      </c>
      <c r="G105" t="n">
        <v>0.5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Ullticka</t>
        </is>
      </c>
      <c r="S105">
        <f>HYPERLINK("https://klasma.github.io/Logging_2262/artfynd/A 52276-2025 artfynd.xlsx", "A 52276-2025")</f>
        <v/>
      </c>
      <c r="T105">
        <f>HYPERLINK("https://klasma.github.io/Logging_2262/kartor/A 52276-2025 karta.png", "A 52276-2025")</f>
        <v/>
      </c>
      <c r="V105">
        <f>HYPERLINK("https://klasma.github.io/Logging_2262/klagomål/A 52276-2025 FSC-klagomål.docx", "A 52276-2025")</f>
        <v/>
      </c>
      <c r="W105">
        <f>HYPERLINK("https://klasma.github.io/Logging_2262/klagomålsmail/A 52276-2025 FSC-klagomål mail.docx", "A 52276-2025")</f>
        <v/>
      </c>
      <c r="X105">
        <f>HYPERLINK("https://klasma.github.io/Logging_2262/tillsyn/A 52276-2025 tillsynsbegäran.docx", "A 52276-2025")</f>
        <v/>
      </c>
      <c r="Y105">
        <f>HYPERLINK("https://klasma.github.io/Logging_2262/tillsynsmail/A 52276-2025 tillsynsbegäran mail.docx", "A 52276-2025")</f>
        <v/>
      </c>
    </row>
    <row r="106" ht="15" customHeight="1">
      <c r="A106" t="inlineStr">
        <is>
          <t>A 21845-2024</t>
        </is>
      </c>
      <c r="B106" s="1" t="n">
        <v>45442</v>
      </c>
      <c r="C106" s="1" t="n">
        <v>45955</v>
      </c>
      <c r="D106" t="inlineStr">
        <is>
          <t>VÄSTERNORRLANDS LÄN</t>
        </is>
      </c>
      <c r="E106" t="inlineStr">
        <is>
          <t>TIMRÅ</t>
        </is>
      </c>
      <c r="F106" t="inlineStr">
        <is>
          <t>SCA</t>
        </is>
      </c>
      <c r="G106" t="n">
        <v>14.7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Lunglav</t>
        </is>
      </c>
      <c r="S106">
        <f>HYPERLINK("https://klasma.github.io/Logging_2262/artfynd/A 21845-2024 artfynd.xlsx", "A 21845-2024")</f>
        <v/>
      </c>
      <c r="T106">
        <f>HYPERLINK("https://klasma.github.io/Logging_2262/kartor/A 21845-2024 karta.png", "A 21845-2024")</f>
        <v/>
      </c>
      <c r="V106">
        <f>HYPERLINK("https://klasma.github.io/Logging_2262/klagomål/A 21845-2024 FSC-klagomål.docx", "A 21845-2024")</f>
        <v/>
      </c>
      <c r="W106">
        <f>HYPERLINK("https://klasma.github.io/Logging_2262/klagomålsmail/A 21845-2024 FSC-klagomål mail.docx", "A 21845-2024")</f>
        <v/>
      </c>
      <c r="X106">
        <f>HYPERLINK("https://klasma.github.io/Logging_2262/tillsyn/A 21845-2024 tillsynsbegäran.docx", "A 21845-2024")</f>
        <v/>
      </c>
      <c r="Y106">
        <f>HYPERLINK("https://klasma.github.io/Logging_2262/tillsynsmail/A 21845-2024 tillsynsbegäran mail.docx", "A 21845-2024")</f>
        <v/>
      </c>
    </row>
    <row r="107" ht="15" customHeight="1">
      <c r="A107" t="inlineStr">
        <is>
          <t>A 45721-2024</t>
        </is>
      </c>
      <c r="B107" s="1" t="n">
        <v>45579.59434027778</v>
      </c>
      <c r="C107" s="1" t="n">
        <v>45955</v>
      </c>
      <c r="D107" t="inlineStr">
        <is>
          <t>VÄSTERNORRLANDS LÄN</t>
        </is>
      </c>
      <c r="E107" t="inlineStr">
        <is>
          <t>TIMRÅ</t>
        </is>
      </c>
      <c r="F107" t="inlineStr">
        <is>
          <t>SCA</t>
        </is>
      </c>
      <c r="G107" t="n">
        <v>6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Gammelgransskål</t>
        </is>
      </c>
      <c r="S107">
        <f>HYPERLINK("https://klasma.github.io/Logging_2262/artfynd/A 45721-2024 artfynd.xlsx", "A 45721-2024")</f>
        <v/>
      </c>
      <c r="T107">
        <f>HYPERLINK("https://klasma.github.io/Logging_2262/kartor/A 45721-2024 karta.png", "A 45721-2024")</f>
        <v/>
      </c>
      <c r="V107">
        <f>HYPERLINK("https://klasma.github.io/Logging_2262/klagomål/A 45721-2024 FSC-klagomål.docx", "A 45721-2024")</f>
        <v/>
      </c>
      <c r="W107">
        <f>HYPERLINK("https://klasma.github.io/Logging_2262/klagomålsmail/A 45721-2024 FSC-klagomål mail.docx", "A 45721-2024")</f>
        <v/>
      </c>
      <c r="X107">
        <f>HYPERLINK("https://klasma.github.io/Logging_2262/tillsyn/A 45721-2024 tillsynsbegäran.docx", "A 45721-2024")</f>
        <v/>
      </c>
      <c r="Y107">
        <f>HYPERLINK("https://klasma.github.io/Logging_2262/tillsynsmail/A 45721-2024 tillsynsbegäran mail.docx", "A 45721-2024")</f>
        <v/>
      </c>
    </row>
    <row r="108" ht="15" customHeight="1">
      <c r="A108" t="inlineStr">
        <is>
          <t>A 7904-2024</t>
        </is>
      </c>
      <c r="B108" s="1" t="n">
        <v>45349</v>
      </c>
      <c r="C108" s="1" t="n">
        <v>45955</v>
      </c>
      <c r="D108" t="inlineStr">
        <is>
          <t>VÄSTERNORRLANDS LÄN</t>
        </is>
      </c>
      <c r="E108" t="inlineStr">
        <is>
          <t>TIMRÅ</t>
        </is>
      </c>
      <c r="G108" t="n">
        <v>7.3</v>
      </c>
      <c r="H108" t="n">
        <v>1</v>
      </c>
      <c r="I108" t="n">
        <v>0</v>
      </c>
      <c r="J108" t="n">
        <v>0</v>
      </c>
      <c r="K108" t="n">
        <v>1</v>
      </c>
      <c r="L108" t="n">
        <v>0</v>
      </c>
      <c r="M108" t="n">
        <v>0</v>
      </c>
      <c r="N108" t="n">
        <v>0</v>
      </c>
      <c r="O108" t="n">
        <v>1</v>
      </c>
      <c r="P108" t="n">
        <v>1</v>
      </c>
      <c r="Q108" t="n">
        <v>1</v>
      </c>
      <c r="R108" s="2" t="inlineStr">
        <is>
          <t>Bergviol</t>
        </is>
      </c>
      <c r="S108">
        <f>HYPERLINK("https://klasma.github.io/Logging_2262/artfynd/A 7904-2024 artfynd.xlsx", "A 7904-2024")</f>
        <v/>
      </c>
      <c r="T108">
        <f>HYPERLINK("https://klasma.github.io/Logging_2262/kartor/A 7904-2024 karta.png", "A 7904-2024")</f>
        <v/>
      </c>
      <c r="V108">
        <f>HYPERLINK("https://klasma.github.io/Logging_2262/klagomål/A 7904-2024 FSC-klagomål.docx", "A 7904-2024")</f>
        <v/>
      </c>
      <c r="W108">
        <f>HYPERLINK("https://klasma.github.io/Logging_2262/klagomålsmail/A 7904-2024 FSC-klagomål mail.docx", "A 7904-2024")</f>
        <v/>
      </c>
      <c r="X108">
        <f>HYPERLINK("https://klasma.github.io/Logging_2262/tillsyn/A 7904-2024 tillsynsbegäran.docx", "A 7904-2024")</f>
        <v/>
      </c>
      <c r="Y108">
        <f>HYPERLINK("https://klasma.github.io/Logging_2262/tillsynsmail/A 7904-2024 tillsynsbegäran mail.docx", "A 7904-2024")</f>
        <v/>
      </c>
    </row>
    <row r="109" ht="15" customHeight="1">
      <c r="A109" t="inlineStr">
        <is>
          <t>A 39150-2024</t>
        </is>
      </c>
      <c r="B109" s="1" t="n">
        <v>45548</v>
      </c>
      <c r="C109" s="1" t="n">
        <v>45955</v>
      </c>
      <c r="D109" t="inlineStr">
        <is>
          <t>VÄSTERNORRLANDS LÄN</t>
        </is>
      </c>
      <c r="E109" t="inlineStr">
        <is>
          <t>TIMRÅ</t>
        </is>
      </c>
      <c r="G109" t="n">
        <v>4.4</v>
      </c>
      <c r="H109" t="n">
        <v>0</v>
      </c>
      <c r="I109" t="n">
        <v>1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Ögonpyrola</t>
        </is>
      </c>
      <c r="S109">
        <f>HYPERLINK("https://klasma.github.io/Logging_2262/artfynd/A 39150-2024 artfynd.xlsx", "A 39150-2024")</f>
        <v/>
      </c>
      <c r="T109">
        <f>HYPERLINK("https://klasma.github.io/Logging_2262/kartor/A 39150-2024 karta.png", "A 39150-2024")</f>
        <v/>
      </c>
      <c r="V109">
        <f>HYPERLINK("https://klasma.github.io/Logging_2262/klagomål/A 39150-2024 FSC-klagomål.docx", "A 39150-2024")</f>
        <v/>
      </c>
      <c r="W109">
        <f>HYPERLINK("https://klasma.github.io/Logging_2262/klagomålsmail/A 39150-2024 FSC-klagomål mail.docx", "A 39150-2024")</f>
        <v/>
      </c>
      <c r="X109">
        <f>HYPERLINK("https://klasma.github.io/Logging_2262/tillsyn/A 39150-2024 tillsynsbegäran.docx", "A 39150-2024")</f>
        <v/>
      </c>
      <c r="Y109">
        <f>HYPERLINK("https://klasma.github.io/Logging_2262/tillsynsmail/A 39150-2024 tillsynsbegäran mail.docx", "A 39150-2024")</f>
        <v/>
      </c>
    </row>
    <row r="110" ht="15" customHeight="1">
      <c r="A110" t="inlineStr">
        <is>
          <t>A 35680-2025</t>
        </is>
      </c>
      <c r="B110" s="1" t="n">
        <v>45859</v>
      </c>
      <c r="C110" s="1" t="n">
        <v>45955</v>
      </c>
      <c r="D110" t="inlineStr">
        <is>
          <t>VÄSTERNORRLANDS LÄN</t>
        </is>
      </c>
      <c r="E110" t="inlineStr">
        <is>
          <t>TIMRÅ</t>
        </is>
      </c>
      <c r="F110" t="inlineStr">
        <is>
          <t>SCA</t>
        </is>
      </c>
      <c r="G110" t="n">
        <v>10.6</v>
      </c>
      <c r="H110" t="n">
        <v>1</v>
      </c>
      <c r="I110" t="n">
        <v>0</v>
      </c>
      <c r="J110" t="n">
        <v>0</v>
      </c>
      <c r="K110" t="n">
        <v>1</v>
      </c>
      <c r="L110" t="n">
        <v>0</v>
      </c>
      <c r="M110" t="n">
        <v>0</v>
      </c>
      <c r="N110" t="n">
        <v>0</v>
      </c>
      <c r="O110" t="n">
        <v>1</v>
      </c>
      <c r="P110" t="n">
        <v>1</v>
      </c>
      <c r="Q110" t="n">
        <v>1</v>
      </c>
      <c r="R110" s="2" t="inlineStr">
        <is>
          <t>Knärot</t>
        </is>
      </c>
      <c r="S110">
        <f>HYPERLINK("https://klasma.github.io/Logging_2262/artfynd/A 35680-2025 artfynd.xlsx", "A 35680-2025")</f>
        <v/>
      </c>
      <c r="T110">
        <f>HYPERLINK("https://klasma.github.io/Logging_2262/kartor/A 35680-2025 karta.png", "A 35680-2025")</f>
        <v/>
      </c>
      <c r="U110">
        <f>HYPERLINK("https://klasma.github.io/Logging_2262/knärot/A 35680-2025 karta knärot.png", "A 35680-2025")</f>
        <v/>
      </c>
      <c r="V110">
        <f>HYPERLINK("https://klasma.github.io/Logging_2262/klagomål/A 35680-2025 FSC-klagomål.docx", "A 35680-2025")</f>
        <v/>
      </c>
      <c r="W110">
        <f>HYPERLINK("https://klasma.github.io/Logging_2262/klagomålsmail/A 35680-2025 FSC-klagomål mail.docx", "A 35680-2025")</f>
        <v/>
      </c>
      <c r="X110">
        <f>HYPERLINK("https://klasma.github.io/Logging_2262/tillsyn/A 35680-2025 tillsynsbegäran.docx", "A 35680-2025")</f>
        <v/>
      </c>
      <c r="Y110">
        <f>HYPERLINK("https://klasma.github.io/Logging_2262/tillsynsmail/A 35680-2025 tillsynsbegäran mail.docx", "A 35680-2025")</f>
        <v/>
      </c>
    </row>
    <row r="111" ht="15" customHeight="1">
      <c r="A111" t="inlineStr">
        <is>
          <t>A 57242-2022</t>
        </is>
      </c>
      <c r="B111" s="1" t="n">
        <v>44889</v>
      </c>
      <c r="C111" s="1" t="n">
        <v>45955</v>
      </c>
      <c r="D111" t="inlineStr">
        <is>
          <t>VÄSTERNORRLANDS LÄN</t>
        </is>
      </c>
      <c r="E111" t="inlineStr">
        <is>
          <t>TIMRÅ</t>
        </is>
      </c>
      <c r="G111" t="n">
        <v>18.8</v>
      </c>
      <c r="H111" t="n">
        <v>0</v>
      </c>
      <c r="I111" t="n">
        <v>0</v>
      </c>
      <c r="J111" t="n">
        <v>0</v>
      </c>
      <c r="K111" t="n">
        <v>0</v>
      </c>
      <c r="L111" t="n">
        <v>1</v>
      </c>
      <c r="M111" t="n">
        <v>0</v>
      </c>
      <c r="N111" t="n">
        <v>0</v>
      </c>
      <c r="O111" t="n">
        <v>1</v>
      </c>
      <c r="P111" t="n">
        <v>1</v>
      </c>
      <c r="Q111" t="n">
        <v>1</v>
      </c>
      <c r="R111" s="2" t="inlineStr">
        <is>
          <t>Flodpärlmussla</t>
        </is>
      </c>
      <c r="S111">
        <f>HYPERLINK("https://klasma.github.io/Logging_2262/artfynd/A 57242-2022 artfynd.xlsx", "A 57242-2022")</f>
        <v/>
      </c>
      <c r="T111">
        <f>HYPERLINK("https://klasma.github.io/Logging_2262/kartor/A 57242-2022 karta.png", "A 57242-2022")</f>
        <v/>
      </c>
      <c r="V111">
        <f>HYPERLINK("https://klasma.github.io/Logging_2262/klagomål/A 57242-2022 FSC-klagomål.docx", "A 57242-2022")</f>
        <v/>
      </c>
      <c r="W111">
        <f>HYPERLINK("https://klasma.github.io/Logging_2262/klagomålsmail/A 57242-2022 FSC-klagomål mail.docx", "A 57242-2022")</f>
        <v/>
      </c>
      <c r="X111">
        <f>HYPERLINK("https://klasma.github.io/Logging_2262/tillsyn/A 57242-2022 tillsynsbegäran.docx", "A 57242-2022")</f>
        <v/>
      </c>
      <c r="Y111">
        <f>HYPERLINK("https://klasma.github.io/Logging_2262/tillsynsmail/A 57242-2022 tillsynsbegäran mail.docx", "A 57242-2022")</f>
        <v/>
      </c>
    </row>
    <row r="112" ht="15" customHeight="1">
      <c r="A112" t="inlineStr">
        <is>
          <t>A 53295-2024</t>
        </is>
      </c>
      <c r="B112" s="1" t="n">
        <v>45614.38761574074</v>
      </c>
      <c r="C112" s="1" t="n">
        <v>45955</v>
      </c>
      <c r="D112" t="inlineStr">
        <is>
          <t>VÄSTERNORRLANDS LÄN</t>
        </is>
      </c>
      <c r="E112" t="inlineStr">
        <is>
          <t>TIMRÅ</t>
        </is>
      </c>
      <c r="F112" t="inlineStr">
        <is>
          <t>SCA</t>
        </is>
      </c>
      <c r="G112" t="n">
        <v>1.9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Vedskivlav</t>
        </is>
      </c>
      <c r="S112">
        <f>HYPERLINK("https://klasma.github.io/Logging_2262/artfynd/A 53295-2024 artfynd.xlsx", "A 53295-2024")</f>
        <v/>
      </c>
      <c r="T112">
        <f>HYPERLINK("https://klasma.github.io/Logging_2262/kartor/A 53295-2024 karta.png", "A 53295-2024")</f>
        <v/>
      </c>
      <c r="V112">
        <f>HYPERLINK("https://klasma.github.io/Logging_2262/klagomål/A 53295-2024 FSC-klagomål.docx", "A 53295-2024")</f>
        <v/>
      </c>
      <c r="W112">
        <f>HYPERLINK("https://klasma.github.io/Logging_2262/klagomålsmail/A 53295-2024 FSC-klagomål mail.docx", "A 53295-2024")</f>
        <v/>
      </c>
      <c r="X112">
        <f>HYPERLINK("https://klasma.github.io/Logging_2262/tillsyn/A 53295-2024 tillsynsbegäran.docx", "A 53295-2024")</f>
        <v/>
      </c>
      <c r="Y112">
        <f>HYPERLINK("https://klasma.github.io/Logging_2262/tillsynsmail/A 53295-2024 tillsynsbegäran mail.docx", "A 53295-2024")</f>
        <v/>
      </c>
    </row>
    <row r="113" ht="15" customHeight="1">
      <c r="A113" t="inlineStr">
        <is>
          <t>A 56372-2023</t>
        </is>
      </c>
      <c r="B113" s="1" t="n">
        <v>45243</v>
      </c>
      <c r="C113" s="1" t="n">
        <v>45955</v>
      </c>
      <c r="D113" t="inlineStr">
        <is>
          <t>VÄSTERNORRLANDS LÄN</t>
        </is>
      </c>
      <c r="E113" t="inlineStr">
        <is>
          <t>TIMRÅ</t>
        </is>
      </c>
      <c r="G113" t="n">
        <v>6.9</v>
      </c>
      <c r="H113" t="n">
        <v>1</v>
      </c>
      <c r="I113" t="n">
        <v>0</v>
      </c>
      <c r="J113" t="n">
        <v>0</v>
      </c>
      <c r="K113" t="n">
        <v>1</v>
      </c>
      <c r="L113" t="n">
        <v>0</v>
      </c>
      <c r="M113" t="n">
        <v>0</v>
      </c>
      <c r="N113" t="n">
        <v>0</v>
      </c>
      <c r="O113" t="n">
        <v>1</v>
      </c>
      <c r="P113" t="n">
        <v>1</v>
      </c>
      <c r="Q113" t="n">
        <v>1</v>
      </c>
      <c r="R113" s="2" t="inlineStr">
        <is>
          <t>Knärot</t>
        </is>
      </c>
      <c r="S113">
        <f>HYPERLINK("https://klasma.github.io/Logging_2262/artfynd/A 56372-2023 artfynd.xlsx", "A 56372-2023")</f>
        <v/>
      </c>
      <c r="T113">
        <f>HYPERLINK("https://klasma.github.io/Logging_2262/kartor/A 56372-2023 karta.png", "A 56372-2023")</f>
        <v/>
      </c>
      <c r="U113">
        <f>HYPERLINK("https://klasma.github.io/Logging_2262/knärot/A 56372-2023 karta knärot.png", "A 56372-2023")</f>
        <v/>
      </c>
      <c r="V113">
        <f>HYPERLINK("https://klasma.github.io/Logging_2262/klagomål/A 56372-2023 FSC-klagomål.docx", "A 56372-2023")</f>
        <v/>
      </c>
      <c r="W113">
        <f>HYPERLINK("https://klasma.github.io/Logging_2262/klagomålsmail/A 56372-2023 FSC-klagomål mail.docx", "A 56372-2023")</f>
        <v/>
      </c>
      <c r="X113">
        <f>HYPERLINK("https://klasma.github.io/Logging_2262/tillsyn/A 56372-2023 tillsynsbegäran.docx", "A 56372-2023")</f>
        <v/>
      </c>
      <c r="Y113">
        <f>HYPERLINK("https://klasma.github.io/Logging_2262/tillsynsmail/A 56372-2023 tillsynsbegäran mail.docx", "A 56372-2023")</f>
        <v/>
      </c>
    </row>
    <row r="114" ht="15" customHeight="1">
      <c r="A114" t="inlineStr">
        <is>
          <t>A 47203-2021</t>
        </is>
      </c>
      <c r="B114" s="1" t="n">
        <v>44447.3393287037</v>
      </c>
      <c r="C114" s="1" t="n">
        <v>45955</v>
      </c>
      <c r="D114" t="inlineStr">
        <is>
          <t>VÄSTERNORRLANDS LÄN</t>
        </is>
      </c>
      <c r="E114" t="inlineStr">
        <is>
          <t>TIMRÅ</t>
        </is>
      </c>
      <c r="G114" t="n">
        <v>1.3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65001-2020</t>
        </is>
      </c>
      <c r="B115" s="1" t="n">
        <v>44167</v>
      </c>
      <c r="C115" s="1" t="n">
        <v>45955</v>
      </c>
      <c r="D115" t="inlineStr">
        <is>
          <t>VÄSTERNORRLANDS LÄN</t>
        </is>
      </c>
      <c r="E115" t="inlineStr">
        <is>
          <t>TIMRÅ</t>
        </is>
      </c>
      <c r="G115" t="n">
        <v>3.3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47570-2021</t>
        </is>
      </c>
      <c r="B116" s="1" t="n">
        <v>44447.94371527778</v>
      </c>
      <c r="C116" s="1" t="n">
        <v>45955</v>
      </c>
      <c r="D116" t="inlineStr">
        <is>
          <t>VÄSTERNORRLANDS LÄN</t>
        </is>
      </c>
      <c r="E116" t="inlineStr">
        <is>
          <t>TIMRÅ</t>
        </is>
      </c>
      <c r="F116" t="inlineStr">
        <is>
          <t>SCA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28695-2021</t>
        </is>
      </c>
      <c r="B117" s="1" t="n">
        <v>44357</v>
      </c>
      <c r="C117" s="1" t="n">
        <v>45955</v>
      </c>
      <c r="D117" t="inlineStr">
        <is>
          <t>VÄSTERNORRLANDS LÄN</t>
        </is>
      </c>
      <c r="E117" t="inlineStr">
        <is>
          <t>TIMRÅ</t>
        </is>
      </c>
      <c r="G117" t="n">
        <v>3.6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20487-2021</t>
        </is>
      </c>
      <c r="B118" s="1" t="n">
        <v>44315</v>
      </c>
      <c r="C118" s="1" t="n">
        <v>45955</v>
      </c>
      <c r="D118" t="inlineStr">
        <is>
          <t>VÄSTERNORRLANDS LÄN</t>
        </is>
      </c>
      <c r="E118" t="inlineStr">
        <is>
          <t>TIMRÅ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66154-2021</t>
        </is>
      </c>
      <c r="B119" s="1" t="n">
        <v>44517</v>
      </c>
      <c r="C119" s="1" t="n">
        <v>45955</v>
      </c>
      <c r="D119" t="inlineStr">
        <is>
          <t>VÄSTERNORRLANDS LÄN</t>
        </is>
      </c>
      <c r="E119" t="inlineStr">
        <is>
          <t>TIMRÅ</t>
        </is>
      </c>
      <c r="G119" t="n">
        <v>5.6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74044-2021</t>
        </is>
      </c>
      <c r="B120" s="1" t="n">
        <v>44557</v>
      </c>
      <c r="C120" s="1" t="n">
        <v>45955</v>
      </c>
      <c r="D120" t="inlineStr">
        <is>
          <t>VÄSTERNORRLANDS LÄN</t>
        </is>
      </c>
      <c r="E120" t="inlineStr">
        <is>
          <t>TIMRÅ</t>
        </is>
      </c>
      <c r="G120" t="n">
        <v>0.2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43233-2022</t>
        </is>
      </c>
      <c r="B121" s="1" t="n">
        <v>44833</v>
      </c>
      <c r="C121" s="1" t="n">
        <v>45955</v>
      </c>
      <c r="D121" t="inlineStr">
        <is>
          <t>VÄSTERNORRLANDS LÄN</t>
        </is>
      </c>
      <c r="E121" t="inlineStr">
        <is>
          <t>TIMRÅ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63960-2020</t>
        </is>
      </c>
      <c r="B122" s="1" t="n">
        <v>44165</v>
      </c>
      <c r="C122" s="1" t="n">
        <v>45955</v>
      </c>
      <c r="D122" t="inlineStr">
        <is>
          <t>VÄSTERNORRLANDS LÄN</t>
        </is>
      </c>
      <c r="E122" t="inlineStr">
        <is>
          <t>TIMRÅ</t>
        </is>
      </c>
      <c r="G122" t="n">
        <v>3.5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74043-2021</t>
        </is>
      </c>
      <c r="B123" s="1" t="n">
        <v>44557</v>
      </c>
      <c r="C123" s="1" t="n">
        <v>45955</v>
      </c>
      <c r="D123" t="inlineStr">
        <is>
          <t>VÄSTERNORRLANDS LÄN</t>
        </is>
      </c>
      <c r="E123" t="inlineStr">
        <is>
          <t>TIMRÅ</t>
        </is>
      </c>
      <c r="G123" t="n">
        <v>0.1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54946-2020</t>
        </is>
      </c>
      <c r="B124" s="1" t="n">
        <v>44129</v>
      </c>
      <c r="C124" s="1" t="n">
        <v>45955</v>
      </c>
      <c r="D124" t="inlineStr">
        <is>
          <t>VÄSTERNORRLANDS LÄN</t>
        </is>
      </c>
      <c r="E124" t="inlineStr">
        <is>
          <t>TIMRÅ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23693-2022</t>
        </is>
      </c>
      <c r="B125" s="1" t="n">
        <v>44721</v>
      </c>
      <c r="C125" s="1" t="n">
        <v>45955</v>
      </c>
      <c r="D125" t="inlineStr">
        <is>
          <t>VÄSTERNORRLANDS LÄN</t>
        </is>
      </c>
      <c r="E125" t="inlineStr">
        <is>
          <t>TIMRÅ</t>
        </is>
      </c>
      <c r="F125" t="inlineStr">
        <is>
          <t>SCA</t>
        </is>
      </c>
      <c r="G125" t="n">
        <v>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47569-2021</t>
        </is>
      </c>
      <c r="B126" s="1" t="n">
        <v>44447</v>
      </c>
      <c r="C126" s="1" t="n">
        <v>45955</v>
      </c>
      <c r="D126" t="inlineStr">
        <is>
          <t>VÄSTERNORRLANDS LÄN</t>
        </is>
      </c>
      <c r="E126" t="inlineStr">
        <is>
          <t>TIMRÅ</t>
        </is>
      </c>
      <c r="F126" t="inlineStr">
        <is>
          <t>SCA</t>
        </is>
      </c>
      <c r="G126" t="n">
        <v>2.9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38445-2022</t>
        </is>
      </c>
      <c r="B127" s="1" t="n">
        <v>44813</v>
      </c>
      <c r="C127" s="1" t="n">
        <v>45955</v>
      </c>
      <c r="D127" t="inlineStr">
        <is>
          <t>VÄSTERNORRLANDS LÄN</t>
        </is>
      </c>
      <c r="E127" t="inlineStr">
        <is>
          <t>TIMRÅ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52474-2022</t>
        </is>
      </c>
      <c r="B128" s="1" t="n">
        <v>44874.48275462963</v>
      </c>
      <c r="C128" s="1" t="n">
        <v>45955</v>
      </c>
      <c r="D128" t="inlineStr">
        <is>
          <t>VÄSTERNORRLANDS LÄN</t>
        </is>
      </c>
      <c r="E128" t="inlineStr">
        <is>
          <t>TIMRÅ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52096-2022</t>
        </is>
      </c>
      <c r="B129" s="1" t="n">
        <v>44868</v>
      </c>
      <c r="C129" s="1" t="n">
        <v>45955</v>
      </c>
      <c r="D129" t="inlineStr">
        <is>
          <t>VÄSTERNORRLANDS LÄN</t>
        </is>
      </c>
      <c r="E129" t="inlineStr">
        <is>
          <t>TIMRÅ</t>
        </is>
      </c>
      <c r="G129" t="n">
        <v>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28702-2021</t>
        </is>
      </c>
      <c r="B130" s="1" t="n">
        <v>44357</v>
      </c>
      <c r="C130" s="1" t="n">
        <v>45955</v>
      </c>
      <c r="D130" t="inlineStr">
        <is>
          <t>VÄSTERNORRLANDS LÄN</t>
        </is>
      </c>
      <c r="E130" t="inlineStr">
        <is>
          <t>TIMRÅ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1555-2021</t>
        </is>
      </c>
      <c r="B131" s="1" t="n">
        <v>44209</v>
      </c>
      <c r="C131" s="1" t="n">
        <v>45955</v>
      </c>
      <c r="D131" t="inlineStr">
        <is>
          <t>VÄSTERNORRLANDS LÄN</t>
        </is>
      </c>
      <c r="E131" t="inlineStr">
        <is>
          <t>TIMRÅ</t>
        </is>
      </c>
      <c r="G131" t="n">
        <v>2.9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64571-2020</t>
        </is>
      </c>
      <c r="B132" s="1" t="n">
        <v>44166</v>
      </c>
      <c r="C132" s="1" t="n">
        <v>45955</v>
      </c>
      <c r="D132" t="inlineStr">
        <is>
          <t>VÄSTERNORRLANDS LÄN</t>
        </is>
      </c>
      <c r="E132" t="inlineStr">
        <is>
          <t>TIMRÅ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33719-2022</t>
        </is>
      </c>
      <c r="B133" s="1" t="n">
        <v>44789.92700231481</v>
      </c>
      <c r="C133" s="1" t="n">
        <v>45955</v>
      </c>
      <c r="D133" t="inlineStr">
        <is>
          <t>VÄSTERNORRLANDS LÄN</t>
        </is>
      </c>
      <c r="E133" t="inlineStr">
        <is>
          <t>TIMRÅ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32519-2022</t>
        </is>
      </c>
      <c r="B134" s="1" t="n">
        <v>44782</v>
      </c>
      <c r="C134" s="1" t="n">
        <v>45955</v>
      </c>
      <c r="D134" t="inlineStr">
        <is>
          <t>VÄSTERNORRLANDS LÄN</t>
        </is>
      </c>
      <c r="E134" t="inlineStr">
        <is>
          <t>TIMRÅ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67673-2021</t>
        </is>
      </c>
      <c r="B135" s="1" t="n">
        <v>44524</v>
      </c>
      <c r="C135" s="1" t="n">
        <v>45955</v>
      </c>
      <c r="D135" t="inlineStr">
        <is>
          <t>VÄSTERNORRLANDS LÄN</t>
        </is>
      </c>
      <c r="E135" t="inlineStr">
        <is>
          <t>TIMRÅ</t>
        </is>
      </c>
      <c r="G135" t="n">
        <v>6.8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74148-2021</t>
        </is>
      </c>
      <c r="B136" s="1" t="n">
        <v>44557</v>
      </c>
      <c r="C136" s="1" t="n">
        <v>45955</v>
      </c>
      <c r="D136" t="inlineStr">
        <is>
          <t>VÄSTERNORRLANDS LÄN</t>
        </is>
      </c>
      <c r="E136" t="inlineStr">
        <is>
          <t>TIMRÅ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7670-2022</t>
        </is>
      </c>
      <c r="B137" s="1" t="n">
        <v>44607</v>
      </c>
      <c r="C137" s="1" t="n">
        <v>45955</v>
      </c>
      <c r="D137" t="inlineStr">
        <is>
          <t>VÄSTERNORRLANDS LÄN</t>
        </is>
      </c>
      <c r="E137" t="inlineStr">
        <is>
          <t>TIMRÅ</t>
        </is>
      </c>
      <c r="G137" t="n">
        <v>3.6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67065-2021</t>
        </is>
      </c>
      <c r="B138" s="1" t="n">
        <v>44522.92057870371</v>
      </c>
      <c r="C138" s="1" t="n">
        <v>45955</v>
      </c>
      <c r="D138" t="inlineStr">
        <is>
          <t>VÄSTERNORRLANDS LÄN</t>
        </is>
      </c>
      <c r="E138" t="inlineStr">
        <is>
          <t>TIMRÅ</t>
        </is>
      </c>
      <c r="G138" t="n">
        <v>2.6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59570-2021</t>
        </is>
      </c>
      <c r="B139" s="1" t="n">
        <v>44491</v>
      </c>
      <c r="C139" s="1" t="n">
        <v>45955</v>
      </c>
      <c r="D139" t="inlineStr">
        <is>
          <t>VÄSTERNORRLANDS LÄN</t>
        </is>
      </c>
      <c r="E139" t="inlineStr">
        <is>
          <t>TIMRÅ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30098-2021</t>
        </is>
      </c>
      <c r="B140" s="1" t="n">
        <v>44363</v>
      </c>
      <c r="C140" s="1" t="n">
        <v>45955</v>
      </c>
      <c r="D140" t="inlineStr">
        <is>
          <t>VÄSTERNORRLANDS LÄN</t>
        </is>
      </c>
      <c r="E140" t="inlineStr">
        <is>
          <t>TIMRÅ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28650-2021</t>
        </is>
      </c>
      <c r="B141" s="1" t="n">
        <v>44357.3500462963</v>
      </c>
      <c r="C141" s="1" t="n">
        <v>45955</v>
      </c>
      <c r="D141" t="inlineStr">
        <is>
          <t>VÄSTERNORRLANDS LÄN</t>
        </is>
      </c>
      <c r="E141" t="inlineStr">
        <is>
          <t>TIMRÅ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67610-2020</t>
        </is>
      </c>
      <c r="B142" s="1" t="n">
        <v>44181</v>
      </c>
      <c r="C142" s="1" t="n">
        <v>45955</v>
      </c>
      <c r="D142" t="inlineStr">
        <is>
          <t>VÄSTERNORRLANDS LÄN</t>
        </is>
      </c>
      <c r="E142" t="inlineStr">
        <is>
          <t>TIMRÅ</t>
        </is>
      </c>
      <c r="F142" t="inlineStr">
        <is>
          <t>SCA</t>
        </is>
      </c>
      <c r="G142" t="n">
        <v>0.6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32210-2021</t>
        </is>
      </c>
      <c r="B143" s="1" t="n">
        <v>44371</v>
      </c>
      <c r="C143" s="1" t="n">
        <v>45955</v>
      </c>
      <c r="D143" t="inlineStr">
        <is>
          <t>VÄSTERNORRLANDS LÄN</t>
        </is>
      </c>
      <c r="E143" t="inlineStr">
        <is>
          <t>TIMRÅ</t>
        </is>
      </c>
      <c r="G143" t="n">
        <v>4.9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39821-2021</t>
        </is>
      </c>
      <c r="B144" s="1" t="n">
        <v>44417</v>
      </c>
      <c r="C144" s="1" t="n">
        <v>45955</v>
      </c>
      <c r="D144" t="inlineStr">
        <is>
          <t>VÄSTERNORRLANDS LÄN</t>
        </is>
      </c>
      <c r="E144" t="inlineStr">
        <is>
          <t>TIMRÅ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32287-2021</t>
        </is>
      </c>
      <c r="B145" s="1" t="n">
        <v>44371</v>
      </c>
      <c r="C145" s="1" t="n">
        <v>45955</v>
      </c>
      <c r="D145" t="inlineStr">
        <is>
          <t>VÄSTERNORRLANDS LÄN</t>
        </is>
      </c>
      <c r="E145" t="inlineStr">
        <is>
          <t>TIMRÅ</t>
        </is>
      </c>
      <c r="F145" t="inlineStr">
        <is>
          <t>Kyrkan</t>
        </is>
      </c>
      <c r="G145" t="n">
        <v>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52448-2022</t>
        </is>
      </c>
      <c r="B146" s="1" t="n">
        <v>44874.46287037037</v>
      </c>
      <c r="C146" s="1" t="n">
        <v>45955</v>
      </c>
      <c r="D146" t="inlineStr">
        <is>
          <t>VÄSTERNORRLANDS LÄN</t>
        </is>
      </c>
      <c r="E146" t="inlineStr">
        <is>
          <t>TIMRÅ</t>
        </is>
      </c>
      <c r="G146" t="n">
        <v>2.3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49056-2021</t>
        </is>
      </c>
      <c r="B147" s="1" t="n">
        <v>44453</v>
      </c>
      <c r="C147" s="1" t="n">
        <v>45955</v>
      </c>
      <c r="D147" t="inlineStr">
        <is>
          <t>VÄSTERNORRLANDS LÄN</t>
        </is>
      </c>
      <c r="E147" t="inlineStr">
        <is>
          <t>TIMRÅ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47293-2022</t>
        </is>
      </c>
      <c r="B148" s="1" t="n">
        <v>44852.95229166667</v>
      </c>
      <c r="C148" s="1" t="n">
        <v>45955</v>
      </c>
      <c r="D148" t="inlineStr">
        <is>
          <t>VÄSTERNORRLANDS LÄN</t>
        </is>
      </c>
      <c r="E148" t="inlineStr">
        <is>
          <t>TIMRÅ</t>
        </is>
      </c>
      <c r="F148" t="inlineStr">
        <is>
          <t>SCA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32483-2021</t>
        </is>
      </c>
      <c r="B149" s="1" t="n">
        <v>44371</v>
      </c>
      <c r="C149" s="1" t="n">
        <v>45955</v>
      </c>
      <c r="D149" t="inlineStr">
        <is>
          <t>VÄSTERNORRLANDS LÄN</t>
        </is>
      </c>
      <c r="E149" t="inlineStr">
        <is>
          <t>TIMRÅ</t>
        </is>
      </c>
      <c r="F149" t="inlineStr">
        <is>
          <t>Kyrkan</t>
        </is>
      </c>
      <c r="G149" t="n">
        <v>6.3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35448-2022</t>
        </is>
      </c>
      <c r="B150" s="1" t="n">
        <v>44798</v>
      </c>
      <c r="C150" s="1" t="n">
        <v>45955</v>
      </c>
      <c r="D150" t="inlineStr">
        <is>
          <t>VÄSTERNORRLANDS LÄN</t>
        </is>
      </c>
      <c r="E150" t="inlineStr">
        <is>
          <t>TIMRÅ</t>
        </is>
      </c>
      <c r="G150" t="n">
        <v>2.8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64433-2021</t>
        </is>
      </c>
      <c r="B151" s="1" t="n">
        <v>44511</v>
      </c>
      <c r="C151" s="1" t="n">
        <v>45955</v>
      </c>
      <c r="D151" t="inlineStr">
        <is>
          <t>VÄSTERNORRLANDS LÄN</t>
        </is>
      </c>
      <c r="E151" t="inlineStr">
        <is>
          <t>TIMRÅ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53659-2022</t>
        </is>
      </c>
      <c r="B152" s="1" t="n">
        <v>44879.9560300926</v>
      </c>
      <c r="C152" s="1" t="n">
        <v>45955</v>
      </c>
      <c r="D152" t="inlineStr">
        <is>
          <t>VÄSTERNORRLANDS LÄN</t>
        </is>
      </c>
      <c r="E152" t="inlineStr">
        <is>
          <t>TIMRÅ</t>
        </is>
      </c>
      <c r="F152" t="inlineStr">
        <is>
          <t>SCA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42281-2022</t>
        </is>
      </c>
      <c r="B153" s="1" t="n">
        <v>44830</v>
      </c>
      <c r="C153" s="1" t="n">
        <v>45955</v>
      </c>
      <c r="D153" t="inlineStr">
        <is>
          <t>VÄSTERNORRLANDS LÄN</t>
        </is>
      </c>
      <c r="E153" t="inlineStr">
        <is>
          <t>TIMRÅ</t>
        </is>
      </c>
      <c r="F153" t="inlineStr">
        <is>
          <t>SCA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1559-2021</t>
        </is>
      </c>
      <c r="B154" s="1" t="n">
        <v>44209.44664351852</v>
      </c>
      <c r="C154" s="1" t="n">
        <v>45955</v>
      </c>
      <c r="D154" t="inlineStr">
        <is>
          <t>VÄSTERNORRLANDS LÄN</t>
        </is>
      </c>
      <c r="E154" t="inlineStr">
        <is>
          <t>TIMRÅ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7367-2021</t>
        </is>
      </c>
      <c r="B155" s="1" t="n">
        <v>44237</v>
      </c>
      <c r="C155" s="1" t="n">
        <v>45955</v>
      </c>
      <c r="D155" t="inlineStr">
        <is>
          <t>VÄSTERNORRLANDS LÄN</t>
        </is>
      </c>
      <c r="E155" t="inlineStr">
        <is>
          <t>TIMRÅ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43848-2021</t>
        </is>
      </c>
      <c r="B156" s="1" t="n">
        <v>44433.94230324074</v>
      </c>
      <c r="C156" s="1" t="n">
        <v>45955</v>
      </c>
      <c r="D156" t="inlineStr">
        <is>
          <t>VÄSTERNORRLANDS LÄN</t>
        </is>
      </c>
      <c r="E156" t="inlineStr">
        <is>
          <t>TIMRÅ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45441-2021</t>
        </is>
      </c>
      <c r="B157" s="1" t="n">
        <v>44440</v>
      </c>
      <c r="C157" s="1" t="n">
        <v>45955</v>
      </c>
      <c r="D157" t="inlineStr">
        <is>
          <t>VÄSTERNORRLANDS LÄN</t>
        </is>
      </c>
      <c r="E157" t="inlineStr">
        <is>
          <t>TIMRÅ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22194-2022</t>
        </is>
      </c>
      <c r="B158" s="1" t="n">
        <v>44712</v>
      </c>
      <c r="C158" s="1" t="n">
        <v>45955</v>
      </c>
      <c r="D158" t="inlineStr">
        <is>
          <t>VÄSTERNORRLANDS LÄN</t>
        </is>
      </c>
      <c r="E158" t="inlineStr">
        <is>
          <t>TIMRÅ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35477-2022</t>
        </is>
      </c>
      <c r="B159" s="1" t="n">
        <v>44798.92681712963</v>
      </c>
      <c r="C159" s="1" t="n">
        <v>45955</v>
      </c>
      <c r="D159" t="inlineStr">
        <is>
          <t>VÄSTERNORRLANDS LÄN</t>
        </is>
      </c>
      <c r="E159" t="inlineStr">
        <is>
          <t>TIMRÅ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66837-2020</t>
        </is>
      </c>
      <c r="B160" s="1" t="n">
        <v>44179</v>
      </c>
      <c r="C160" s="1" t="n">
        <v>45955</v>
      </c>
      <c r="D160" t="inlineStr">
        <is>
          <t>VÄSTERNORRLANDS LÄN</t>
        </is>
      </c>
      <c r="E160" t="inlineStr">
        <is>
          <t>TIMRÅ</t>
        </is>
      </c>
      <c r="F160" t="inlineStr">
        <is>
          <t>Kommuner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12880-2022</t>
        </is>
      </c>
      <c r="B161" s="1" t="n">
        <v>44642</v>
      </c>
      <c r="C161" s="1" t="n">
        <v>45955</v>
      </c>
      <c r="D161" t="inlineStr">
        <is>
          <t>VÄSTERNORRLANDS LÄN</t>
        </is>
      </c>
      <c r="E161" t="inlineStr">
        <is>
          <t>TIMRÅ</t>
        </is>
      </c>
      <c r="G161" t="n">
        <v>1.3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12882-2022</t>
        </is>
      </c>
      <c r="B162" s="1" t="n">
        <v>44642</v>
      </c>
      <c r="C162" s="1" t="n">
        <v>45955</v>
      </c>
      <c r="D162" t="inlineStr">
        <is>
          <t>VÄSTERNORRLANDS LÄN</t>
        </is>
      </c>
      <c r="E162" t="inlineStr">
        <is>
          <t>TIMRÅ</t>
        </is>
      </c>
      <c r="G162" t="n">
        <v>0.4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43237-2022</t>
        </is>
      </c>
      <c r="B163" s="1" t="n">
        <v>44833</v>
      </c>
      <c r="C163" s="1" t="n">
        <v>45955</v>
      </c>
      <c r="D163" t="inlineStr">
        <is>
          <t>VÄSTERNORRLANDS LÄN</t>
        </is>
      </c>
      <c r="E163" t="inlineStr">
        <is>
          <t>TIMRÅ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47815-2022</t>
        </is>
      </c>
      <c r="B164" s="1" t="n">
        <v>44854</v>
      </c>
      <c r="C164" s="1" t="n">
        <v>45955</v>
      </c>
      <c r="D164" t="inlineStr">
        <is>
          <t>VÄSTERNORRLANDS LÄN</t>
        </is>
      </c>
      <c r="E164" t="inlineStr">
        <is>
          <t>TIMRÅ</t>
        </is>
      </c>
      <c r="F164" t="inlineStr">
        <is>
          <t>SCA</t>
        </is>
      </c>
      <c r="G164" t="n">
        <v>2.8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5722-2024</t>
        </is>
      </c>
      <c r="B165" s="1" t="n">
        <v>45334</v>
      </c>
      <c r="C165" s="1" t="n">
        <v>45955</v>
      </c>
      <c r="D165" t="inlineStr">
        <is>
          <t>VÄSTERNORRLANDS LÄN</t>
        </is>
      </c>
      <c r="E165" t="inlineStr">
        <is>
          <t>TIMRÅ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53699-2021</t>
        </is>
      </c>
      <c r="B166" s="1" t="n">
        <v>44469</v>
      </c>
      <c r="C166" s="1" t="n">
        <v>45955</v>
      </c>
      <c r="D166" t="inlineStr">
        <is>
          <t>VÄSTERNORRLANDS LÄN</t>
        </is>
      </c>
      <c r="E166" t="inlineStr">
        <is>
          <t>TIMRÅ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24305-2022</t>
        </is>
      </c>
      <c r="B167" s="1" t="n">
        <v>44725.94373842593</v>
      </c>
      <c r="C167" s="1" t="n">
        <v>45955</v>
      </c>
      <c r="D167" t="inlineStr">
        <is>
          <t>VÄSTERNORRLANDS LÄN</t>
        </is>
      </c>
      <c r="E167" t="inlineStr">
        <is>
          <t>TIMRÅ</t>
        </is>
      </c>
      <c r="F167" t="inlineStr">
        <is>
          <t>SCA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55511-2022</t>
        </is>
      </c>
      <c r="B168" s="1" t="n">
        <v>44887.9284375</v>
      </c>
      <c r="C168" s="1" t="n">
        <v>45955</v>
      </c>
      <c r="D168" t="inlineStr">
        <is>
          <t>VÄSTERNORRLANDS LÄN</t>
        </is>
      </c>
      <c r="E168" t="inlineStr">
        <is>
          <t>TIMRÅ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45695-2022</t>
        </is>
      </c>
      <c r="B169" s="1" t="n">
        <v>44845.95347222222</v>
      </c>
      <c r="C169" s="1" t="n">
        <v>45955</v>
      </c>
      <c r="D169" t="inlineStr">
        <is>
          <t>VÄSTERNORRLANDS LÄN</t>
        </is>
      </c>
      <c r="E169" t="inlineStr">
        <is>
          <t>TIMRÅ</t>
        </is>
      </c>
      <c r="F169" t="inlineStr">
        <is>
          <t>SCA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20841-2023</t>
        </is>
      </c>
      <c r="B170" s="1" t="n">
        <v>45058</v>
      </c>
      <c r="C170" s="1" t="n">
        <v>45955</v>
      </c>
      <c r="D170" t="inlineStr">
        <is>
          <t>VÄSTERNORRLANDS LÄN</t>
        </is>
      </c>
      <c r="E170" t="inlineStr">
        <is>
          <t>TIMRÅ</t>
        </is>
      </c>
      <c r="G170" t="n">
        <v>2.1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26921-2021</t>
        </is>
      </c>
      <c r="B171" s="1" t="n">
        <v>44349</v>
      </c>
      <c r="C171" s="1" t="n">
        <v>45955</v>
      </c>
      <c r="D171" t="inlineStr">
        <is>
          <t>VÄSTERNORRLANDS LÄN</t>
        </is>
      </c>
      <c r="E171" t="inlineStr">
        <is>
          <t>TIMRÅ</t>
        </is>
      </c>
      <c r="G171" t="n">
        <v>6.6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26936-2021</t>
        </is>
      </c>
      <c r="B172" s="1" t="n">
        <v>44349</v>
      </c>
      <c r="C172" s="1" t="n">
        <v>45955</v>
      </c>
      <c r="D172" t="inlineStr">
        <is>
          <t>VÄSTERNORRLANDS LÄN</t>
        </is>
      </c>
      <c r="E172" t="inlineStr">
        <is>
          <t>TIMRÅ</t>
        </is>
      </c>
      <c r="G172" t="n">
        <v>4.1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28706-2021</t>
        </is>
      </c>
      <c r="B173" s="1" t="n">
        <v>44357</v>
      </c>
      <c r="C173" s="1" t="n">
        <v>45955</v>
      </c>
      <c r="D173" t="inlineStr">
        <is>
          <t>VÄSTERNORRLANDS LÄN</t>
        </is>
      </c>
      <c r="E173" t="inlineStr">
        <is>
          <t>TIMRÅ</t>
        </is>
      </c>
      <c r="G173" t="n">
        <v>9.699999999999999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18778-2023</t>
        </is>
      </c>
      <c r="B174" s="1" t="n">
        <v>45043</v>
      </c>
      <c r="C174" s="1" t="n">
        <v>45955</v>
      </c>
      <c r="D174" t="inlineStr">
        <is>
          <t>VÄSTERNORRLANDS LÄN</t>
        </is>
      </c>
      <c r="E174" t="inlineStr">
        <is>
          <t>TIMRÅ</t>
        </is>
      </c>
      <c r="F174" t="inlineStr">
        <is>
          <t>SCA</t>
        </is>
      </c>
      <c r="G174" t="n">
        <v>4.4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46650-2022</t>
        </is>
      </c>
      <c r="B175" s="1" t="n">
        <v>44849</v>
      </c>
      <c r="C175" s="1" t="n">
        <v>45955</v>
      </c>
      <c r="D175" t="inlineStr">
        <is>
          <t>VÄSTERNORRLANDS LÄN</t>
        </is>
      </c>
      <c r="E175" t="inlineStr">
        <is>
          <t>TIMRÅ</t>
        </is>
      </c>
      <c r="F175" t="inlineStr">
        <is>
          <t>SCA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46028-2022</t>
        </is>
      </c>
      <c r="B176" s="1" t="n">
        <v>44846</v>
      </c>
      <c r="C176" s="1" t="n">
        <v>45955</v>
      </c>
      <c r="D176" t="inlineStr">
        <is>
          <t>VÄSTERNORRLANDS LÄN</t>
        </is>
      </c>
      <c r="E176" t="inlineStr">
        <is>
          <t>TIMRÅ</t>
        </is>
      </c>
      <c r="F176" t="inlineStr">
        <is>
          <t>Kyrkan</t>
        </is>
      </c>
      <c r="G176" t="n">
        <v>7.9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49203-2022</t>
        </is>
      </c>
      <c r="B177" s="1" t="n">
        <v>44860</v>
      </c>
      <c r="C177" s="1" t="n">
        <v>45955</v>
      </c>
      <c r="D177" t="inlineStr">
        <is>
          <t>VÄSTERNORRLANDS LÄN</t>
        </is>
      </c>
      <c r="E177" t="inlineStr">
        <is>
          <t>TIMRÅ</t>
        </is>
      </c>
      <c r="F177" t="inlineStr">
        <is>
          <t>SCA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43135-2022</t>
        </is>
      </c>
      <c r="B178" s="1" t="n">
        <v>44833</v>
      </c>
      <c r="C178" s="1" t="n">
        <v>45955</v>
      </c>
      <c r="D178" t="inlineStr">
        <is>
          <t>VÄSTERNORRLANDS LÄN</t>
        </is>
      </c>
      <c r="E178" t="inlineStr">
        <is>
          <t>TIMRÅ</t>
        </is>
      </c>
      <c r="F178" t="inlineStr">
        <is>
          <t>SCA</t>
        </is>
      </c>
      <c r="G178" t="n">
        <v>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9256-2022</t>
        </is>
      </c>
      <c r="B179" s="1" t="n">
        <v>44616</v>
      </c>
      <c r="C179" s="1" t="n">
        <v>45955</v>
      </c>
      <c r="D179" t="inlineStr">
        <is>
          <t>VÄSTERNORRLANDS LÄN</t>
        </is>
      </c>
      <c r="E179" t="inlineStr">
        <is>
          <t>TIMRÅ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24513-2021</t>
        </is>
      </c>
      <c r="B180" s="1" t="n">
        <v>44337.98226851852</v>
      </c>
      <c r="C180" s="1" t="n">
        <v>45955</v>
      </c>
      <c r="D180" t="inlineStr">
        <is>
          <t>VÄSTERNORRLANDS LÄN</t>
        </is>
      </c>
      <c r="E180" t="inlineStr">
        <is>
          <t>TIMRÅ</t>
        </is>
      </c>
      <c r="G180" t="n">
        <v>2.6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27489-2023</t>
        </is>
      </c>
      <c r="B181" s="1" t="n">
        <v>45092</v>
      </c>
      <c r="C181" s="1" t="n">
        <v>45955</v>
      </c>
      <c r="D181" t="inlineStr">
        <is>
          <t>VÄSTERNORRLANDS LÄN</t>
        </is>
      </c>
      <c r="E181" t="inlineStr">
        <is>
          <t>TIMRÅ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20226-2024</t>
        </is>
      </c>
      <c r="B182" s="1" t="n">
        <v>45434</v>
      </c>
      <c r="C182" s="1" t="n">
        <v>45955</v>
      </c>
      <c r="D182" t="inlineStr">
        <is>
          <t>VÄSTERNORRLANDS LÄN</t>
        </is>
      </c>
      <c r="E182" t="inlineStr">
        <is>
          <t>TIMRÅ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36564-2022</t>
        </is>
      </c>
      <c r="B183" s="1" t="n">
        <v>44804</v>
      </c>
      <c r="C183" s="1" t="n">
        <v>45955</v>
      </c>
      <c r="D183" t="inlineStr">
        <is>
          <t>VÄSTERNORRLANDS LÄN</t>
        </is>
      </c>
      <c r="E183" t="inlineStr">
        <is>
          <t>TIMRÅ</t>
        </is>
      </c>
      <c r="G183" t="n">
        <v>16.6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39534-2021</t>
        </is>
      </c>
      <c r="B184" s="1" t="n">
        <v>44415.93429398148</v>
      </c>
      <c r="C184" s="1" t="n">
        <v>45955</v>
      </c>
      <c r="D184" t="inlineStr">
        <is>
          <t>VÄSTERNORRLANDS LÄN</t>
        </is>
      </c>
      <c r="E184" t="inlineStr">
        <is>
          <t>TIMRÅ</t>
        </is>
      </c>
      <c r="F184" t="inlineStr">
        <is>
          <t>SCA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57268-2022</t>
        </is>
      </c>
      <c r="B185" s="1" t="n">
        <v>44895.92809027778</v>
      </c>
      <c r="C185" s="1" t="n">
        <v>45955</v>
      </c>
      <c r="D185" t="inlineStr">
        <is>
          <t>VÄSTERNORRLANDS LÄN</t>
        </is>
      </c>
      <c r="E185" t="inlineStr">
        <is>
          <t>TIMRÅ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60166-2022</t>
        </is>
      </c>
      <c r="B186" s="1" t="n">
        <v>44909</v>
      </c>
      <c r="C186" s="1" t="n">
        <v>45955</v>
      </c>
      <c r="D186" t="inlineStr">
        <is>
          <t>VÄSTERNORRLANDS LÄN</t>
        </is>
      </c>
      <c r="E186" t="inlineStr">
        <is>
          <t>TIMRÅ</t>
        </is>
      </c>
      <c r="G186" t="n">
        <v>1.8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58998-2023</t>
        </is>
      </c>
      <c r="B187" s="1" t="n">
        <v>45250</v>
      </c>
      <c r="C187" s="1" t="n">
        <v>45955</v>
      </c>
      <c r="D187" t="inlineStr">
        <is>
          <t>VÄSTERNORRLANDS LÄN</t>
        </is>
      </c>
      <c r="E187" t="inlineStr">
        <is>
          <t>TIMRÅ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26588-2021</t>
        </is>
      </c>
      <c r="B188" s="1" t="n">
        <v>44348</v>
      </c>
      <c r="C188" s="1" t="n">
        <v>45955</v>
      </c>
      <c r="D188" t="inlineStr">
        <is>
          <t>VÄSTERNORRLANDS LÄN</t>
        </is>
      </c>
      <c r="E188" t="inlineStr">
        <is>
          <t>TIMRÅ</t>
        </is>
      </c>
      <c r="F188" t="inlineStr">
        <is>
          <t>Kyrkan</t>
        </is>
      </c>
      <c r="G188" t="n">
        <v>1.1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13251-2025</t>
        </is>
      </c>
      <c r="B189" s="1" t="n">
        <v>45735</v>
      </c>
      <c r="C189" s="1" t="n">
        <v>45955</v>
      </c>
      <c r="D189" t="inlineStr">
        <is>
          <t>VÄSTERNORRLANDS LÄN</t>
        </is>
      </c>
      <c r="E189" t="inlineStr">
        <is>
          <t>TIMRÅ</t>
        </is>
      </c>
      <c r="F189" t="inlineStr">
        <is>
          <t>SCA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34053-2022</t>
        </is>
      </c>
      <c r="B190" s="1" t="n">
        <v>44790</v>
      </c>
      <c r="C190" s="1" t="n">
        <v>45955</v>
      </c>
      <c r="D190" t="inlineStr">
        <is>
          <t>VÄSTERNORRLANDS LÄN</t>
        </is>
      </c>
      <c r="E190" t="inlineStr">
        <is>
          <t>TIMRÅ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12779-2022</t>
        </is>
      </c>
      <c r="B191" s="1" t="n">
        <v>44641</v>
      </c>
      <c r="C191" s="1" t="n">
        <v>45955</v>
      </c>
      <c r="D191" t="inlineStr">
        <is>
          <t>VÄSTERNORRLANDS LÄN</t>
        </is>
      </c>
      <c r="E191" t="inlineStr">
        <is>
          <t>TIMRÅ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66409-2021</t>
        </is>
      </c>
      <c r="B192" s="1" t="n">
        <v>44518</v>
      </c>
      <c r="C192" s="1" t="n">
        <v>45955</v>
      </c>
      <c r="D192" t="inlineStr">
        <is>
          <t>VÄSTERNORRLANDS LÄN</t>
        </is>
      </c>
      <c r="E192" t="inlineStr">
        <is>
          <t>TIMRÅ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30591-2021</t>
        </is>
      </c>
      <c r="B193" s="1" t="n">
        <v>44364</v>
      </c>
      <c r="C193" s="1" t="n">
        <v>45955</v>
      </c>
      <c r="D193" t="inlineStr">
        <is>
          <t>VÄSTERNORRLANDS LÄN</t>
        </is>
      </c>
      <c r="E193" t="inlineStr">
        <is>
          <t>TIMRÅ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4126-2023</t>
        </is>
      </c>
      <c r="B194" s="1" t="n">
        <v>44952</v>
      </c>
      <c r="C194" s="1" t="n">
        <v>45955</v>
      </c>
      <c r="D194" t="inlineStr">
        <is>
          <t>VÄSTERNORRLANDS LÄN</t>
        </is>
      </c>
      <c r="E194" t="inlineStr">
        <is>
          <t>TIMRÅ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35758-2022</t>
        </is>
      </c>
      <c r="B195" s="1" t="n">
        <v>44799</v>
      </c>
      <c r="C195" s="1" t="n">
        <v>45955</v>
      </c>
      <c r="D195" t="inlineStr">
        <is>
          <t>VÄSTERNORRLANDS LÄN</t>
        </is>
      </c>
      <c r="E195" t="inlineStr">
        <is>
          <t>TIMRÅ</t>
        </is>
      </c>
      <c r="F195" t="inlineStr">
        <is>
          <t>SCA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60681-2024</t>
        </is>
      </c>
      <c r="B196" s="1" t="n">
        <v>45642</v>
      </c>
      <c r="C196" s="1" t="n">
        <v>45955</v>
      </c>
      <c r="D196" t="inlineStr">
        <is>
          <t>VÄSTERNORRLANDS LÄN</t>
        </is>
      </c>
      <c r="E196" t="inlineStr">
        <is>
          <t>TIMRÅ</t>
        </is>
      </c>
      <c r="G196" t="n">
        <v>2.9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  <c r="U196">
        <f>HYPERLINK("https://klasma.github.io/Logging_2262/knärot/A 60681-2024 karta knärot.png", "A 60681-2024")</f>
        <v/>
      </c>
      <c r="V196">
        <f>HYPERLINK("https://klasma.github.io/Logging_2262/klagomål/A 60681-2024 FSC-klagomål.docx", "A 60681-2024")</f>
        <v/>
      </c>
      <c r="W196">
        <f>HYPERLINK("https://klasma.github.io/Logging_2262/klagomålsmail/A 60681-2024 FSC-klagomål mail.docx", "A 60681-2024")</f>
        <v/>
      </c>
      <c r="X196">
        <f>HYPERLINK("https://klasma.github.io/Logging_2262/tillsyn/A 60681-2024 tillsynsbegäran.docx", "A 60681-2024")</f>
        <v/>
      </c>
      <c r="Y196">
        <f>HYPERLINK("https://klasma.github.io/Logging_2262/tillsynsmail/A 60681-2024 tillsynsbegäran mail.docx", "A 60681-2024")</f>
        <v/>
      </c>
    </row>
    <row r="197" ht="15" customHeight="1">
      <c r="A197" t="inlineStr">
        <is>
          <t>A 51999-2022</t>
        </is>
      </c>
      <c r="B197" s="1" t="n">
        <v>44872</v>
      </c>
      <c r="C197" s="1" t="n">
        <v>45955</v>
      </c>
      <c r="D197" t="inlineStr">
        <is>
          <t>VÄSTERNORRLANDS LÄN</t>
        </is>
      </c>
      <c r="E197" t="inlineStr">
        <is>
          <t>TIMRÅ</t>
        </is>
      </c>
      <c r="G197" t="n">
        <v>4.7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50355-2023</t>
        </is>
      </c>
      <c r="B198" s="1" t="n">
        <v>45209</v>
      </c>
      <c r="C198" s="1" t="n">
        <v>45955</v>
      </c>
      <c r="D198" t="inlineStr">
        <is>
          <t>VÄSTERNORRLANDS LÄN</t>
        </is>
      </c>
      <c r="E198" t="inlineStr">
        <is>
          <t>TIMRÅ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52220-2022</t>
        </is>
      </c>
      <c r="B199" s="1" t="n">
        <v>44869</v>
      </c>
      <c r="C199" s="1" t="n">
        <v>45955</v>
      </c>
      <c r="D199" t="inlineStr">
        <is>
          <t>VÄSTERNORRLANDS LÄN</t>
        </is>
      </c>
      <c r="E199" t="inlineStr">
        <is>
          <t>TIMRÅ</t>
        </is>
      </c>
      <c r="G199" t="n">
        <v>5.5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52232-2022</t>
        </is>
      </c>
      <c r="B200" s="1" t="n">
        <v>44869</v>
      </c>
      <c r="C200" s="1" t="n">
        <v>45955</v>
      </c>
      <c r="D200" t="inlineStr">
        <is>
          <t>VÄSTERNORRLANDS LÄN</t>
        </is>
      </c>
      <c r="E200" t="inlineStr">
        <is>
          <t>TIMRÅ</t>
        </is>
      </c>
      <c r="G200" t="n">
        <v>7.9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17974-2025</t>
        </is>
      </c>
      <c r="B201" s="1" t="n">
        <v>45761</v>
      </c>
      <c r="C201" s="1" t="n">
        <v>45955</v>
      </c>
      <c r="D201" t="inlineStr">
        <is>
          <t>VÄSTERNORRLANDS LÄN</t>
        </is>
      </c>
      <c r="E201" t="inlineStr">
        <is>
          <t>TIMRÅ</t>
        </is>
      </c>
      <c r="F201" t="inlineStr">
        <is>
          <t>SCA</t>
        </is>
      </c>
      <c r="G201" t="n">
        <v>0.8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38286-2024</t>
        </is>
      </c>
      <c r="B202" s="1" t="n">
        <v>45545.61614583333</v>
      </c>
      <c r="C202" s="1" t="n">
        <v>45955</v>
      </c>
      <c r="D202" t="inlineStr">
        <is>
          <t>VÄSTERNORRLANDS LÄN</t>
        </is>
      </c>
      <c r="E202" t="inlineStr">
        <is>
          <t>TIMRÅ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40519-2021</t>
        </is>
      </c>
      <c r="B203" s="1" t="n">
        <v>44420</v>
      </c>
      <c r="C203" s="1" t="n">
        <v>45955</v>
      </c>
      <c r="D203" t="inlineStr">
        <is>
          <t>VÄSTERNORRLANDS LÄN</t>
        </is>
      </c>
      <c r="E203" t="inlineStr">
        <is>
          <t>TIMRÅ</t>
        </is>
      </c>
      <c r="G203" t="n">
        <v>1.7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21483-2025</t>
        </is>
      </c>
      <c r="B204" s="1" t="n">
        <v>45782.59474537037</v>
      </c>
      <c r="C204" s="1" t="n">
        <v>45955</v>
      </c>
      <c r="D204" t="inlineStr">
        <is>
          <t>VÄSTERNORRLANDS LÄN</t>
        </is>
      </c>
      <c r="E204" t="inlineStr">
        <is>
          <t>TIMRÅ</t>
        </is>
      </c>
      <c r="F204" t="inlineStr">
        <is>
          <t>SCA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53305-2021</t>
        </is>
      </c>
      <c r="B205" s="1" t="n">
        <v>44467</v>
      </c>
      <c r="C205" s="1" t="n">
        <v>45955</v>
      </c>
      <c r="D205" t="inlineStr">
        <is>
          <t>VÄSTERNORRLANDS LÄN</t>
        </is>
      </c>
      <c r="E205" t="inlineStr">
        <is>
          <t>TIMRÅ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21286-2025</t>
        </is>
      </c>
      <c r="B206" s="1" t="n">
        <v>45779.69825231482</v>
      </c>
      <c r="C206" s="1" t="n">
        <v>45955</v>
      </c>
      <c r="D206" t="inlineStr">
        <is>
          <t>VÄSTERNORRLANDS LÄN</t>
        </is>
      </c>
      <c r="E206" t="inlineStr">
        <is>
          <t>TIMRÅ</t>
        </is>
      </c>
      <c r="F206" t="inlineStr">
        <is>
          <t>SCA</t>
        </is>
      </c>
      <c r="G206" t="n">
        <v>8.9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20786-2024</t>
        </is>
      </c>
      <c r="B207" s="1" t="n">
        <v>45437</v>
      </c>
      <c r="C207" s="1" t="n">
        <v>45955</v>
      </c>
      <c r="D207" t="inlineStr">
        <is>
          <t>VÄSTERNORRLANDS LÄN</t>
        </is>
      </c>
      <c r="E207" t="inlineStr">
        <is>
          <t>TIMRÅ</t>
        </is>
      </c>
      <c r="F207" t="inlineStr">
        <is>
          <t>SCA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21596-2025</t>
        </is>
      </c>
      <c r="B208" s="1" t="n">
        <v>45783.34482638889</v>
      </c>
      <c r="C208" s="1" t="n">
        <v>45955</v>
      </c>
      <c r="D208" t="inlineStr">
        <is>
          <t>VÄSTERNORRLANDS LÄN</t>
        </is>
      </c>
      <c r="E208" t="inlineStr">
        <is>
          <t>TIMRÅ</t>
        </is>
      </c>
      <c r="F208" t="inlineStr">
        <is>
          <t>SCA</t>
        </is>
      </c>
      <c r="G208" t="n">
        <v>2.5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21998-2025</t>
        </is>
      </c>
      <c r="B209" s="1" t="n">
        <v>45784.69828703703</v>
      </c>
      <c r="C209" s="1" t="n">
        <v>45955</v>
      </c>
      <c r="D209" t="inlineStr">
        <is>
          <t>VÄSTERNORRLANDS LÄN</t>
        </is>
      </c>
      <c r="E209" t="inlineStr">
        <is>
          <t>TIMRÅ</t>
        </is>
      </c>
      <c r="F209" t="inlineStr">
        <is>
          <t>SCA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22416-2024</t>
        </is>
      </c>
      <c r="B210" s="1" t="n">
        <v>45446</v>
      </c>
      <c r="C210" s="1" t="n">
        <v>45955</v>
      </c>
      <c r="D210" t="inlineStr">
        <is>
          <t>VÄSTERNORRLANDS LÄN</t>
        </is>
      </c>
      <c r="E210" t="inlineStr">
        <is>
          <t>TIMRÅ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21764-2025</t>
        </is>
      </c>
      <c r="B211" s="1" t="n">
        <v>45783.63800925926</v>
      </c>
      <c r="C211" s="1" t="n">
        <v>45955</v>
      </c>
      <c r="D211" t="inlineStr">
        <is>
          <t>VÄSTERNORRLANDS LÄN</t>
        </is>
      </c>
      <c r="E211" t="inlineStr">
        <is>
          <t>TIMRÅ</t>
        </is>
      </c>
      <c r="G211" t="n">
        <v>4.9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21599-2025</t>
        </is>
      </c>
      <c r="B212" s="1" t="n">
        <v>45783.34505787037</v>
      </c>
      <c r="C212" s="1" t="n">
        <v>45955</v>
      </c>
      <c r="D212" t="inlineStr">
        <is>
          <t>VÄSTERNORRLANDS LÄN</t>
        </is>
      </c>
      <c r="E212" t="inlineStr">
        <is>
          <t>TIMRÅ</t>
        </is>
      </c>
      <c r="F212" t="inlineStr">
        <is>
          <t>SCA</t>
        </is>
      </c>
      <c r="G212" t="n">
        <v>8.300000000000001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21929-2025</t>
        </is>
      </c>
      <c r="B213" s="1" t="n">
        <v>45784.55241898148</v>
      </c>
      <c r="C213" s="1" t="n">
        <v>45955</v>
      </c>
      <c r="D213" t="inlineStr">
        <is>
          <t>VÄSTERNORRLANDS LÄN</t>
        </is>
      </c>
      <c r="E213" t="inlineStr">
        <is>
          <t>TIMRÅ</t>
        </is>
      </c>
      <c r="F213" t="inlineStr">
        <is>
          <t>SCA</t>
        </is>
      </c>
      <c r="G213" t="n">
        <v>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21760-2025</t>
        </is>
      </c>
      <c r="B214" s="1" t="n">
        <v>45783.63148148148</v>
      </c>
      <c r="C214" s="1" t="n">
        <v>45955</v>
      </c>
      <c r="D214" t="inlineStr">
        <is>
          <t>VÄSTERNORRLANDS LÄN</t>
        </is>
      </c>
      <c r="E214" t="inlineStr">
        <is>
          <t>TIMRÅ</t>
        </is>
      </c>
      <c r="G214" t="n">
        <v>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22368-2024</t>
        </is>
      </c>
      <c r="B215" s="1" t="n">
        <v>45446</v>
      </c>
      <c r="C215" s="1" t="n">
        <v>45955</v>
      </c>
      <c r="D215" t="inlineStr">
        <is>
          <t>VÄSTERNORRLANDS LÄN</t>
        </is>
      </c>
      <c r="E215" t="inlineStr">
        <is>
          <t>TIMRÅ</t>
        </is>
      </c>
      <c r="G215" t="n">
        <v>1.2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23670-2022</t>
        </is>
      </c>
      <c r="B216" s="1" t="n">
        <v>44721.92605324074</v>
      </c>
      <c r="C216" s="1" t="n">
        <v>45955</v>
      </c>
      <c r="D216" t="inlineStr">
        <is>
          <t>VÄSTERNORRLANDS LÄN</t>
        </is>
      </c>
      <c r="E216" t="inlineStr">
        <is>
          <t>TIMRÅ</t>
        </is>
      </c>
      <c r="G216" t="n">
        <v>4.9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22240-2025</t>
        </is>
      </c>
      <c r="B217" s="1" t="n">
        <v>45785.67780092593</v>
      </c>
      <c r="C217" s="1" t="n">
        <v>45955</v>
      </c>
      <c r="D217" t="inlineStr">
        <is>
          <t>VÄSTERNORRLANDS LÄN</t>
        </is>
      </c>
      <c r="E217" t="inlineStr">
        <is>
          <t>TIMRÅ</t>
        </is>
      </c>
      <c r="F217" t="inlineStr">
        <is>
          <t>SCA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27495-2023</t>
        </is>
      </c>
      <c r="B218" s="1" t="n">
        <v>45092</v>
      </c>
      <c r="C218" s="1" t="n">
        <v>45955</v>
      </c>
      <c r="D218" t="inlineStr">
        <is>
          <t>VÄSTERNORRLANDS LÄN</t>
        </is>
      </c>
      <c r="E218" t="inlineStr">
        <is>
          <t>TIMRÅ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44030-2024</t>
        </is>
      </c>
      <c r="B219" s="1" t="n">
        <v>45572</v>
      </c>
      <c r="C219" s="1" t="n">
        <v>45955</v>
      </c>
      <c r="D219" t="inlineStr">
        <is>
          <t>VÄSTERNORRLANDS LÄN</t>
        </is>
      </c>
      <c r="E219" t="inlineStr">
        <is>
          <t>TIMRÅ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18130-2025</t>
        </is>
      </c>
      <c r="B220" s="1" t="n">
        <v>45761.59958333334</v>
      </c>
      <c r="C220" s="1" t="n">
        <v>45955</v>
      </c>
      <c r="D220" t="inlineStr">
        <is>
          <t>VÄSTERNORRLANDS LÄN</t>
        </is>
      </c>
      <c r="E220" t="inlineStr">
        <is>
          <t>TIMRÅ</t>
        </is>
      </c>
      <c r="G220" t="n">
        <v>3.1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14572-2024</t>
        </is>
      </c>
      <c r="B221" s="1" t="n">
        <v>45394.94991898148</v>
      </c>
      <c r="C221" s="1" t="n">
        <v>45955</v>
      </c>
      <c r="D221" t="inlineStr">
        <is>
          <t>VÄSTERNORRLANDS LÄN</t>
        </is>
      </c>
      <c r="E221" t="inlineStr">
        <is>
          <t>TIMRÅ</t>
        </is>
      </c>
      <c r="F221" t="inlineStr">
        <is>
          <t>SCA</t>
        </is>
      </c>
      <c r="G221" t="n">
        <v>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31150-2023</t>
        </is>
      </c>
      <c r="B222" s="1" t="n">
        <v>45103</v>
      </c>
      <c r="C222" s="1" t="n">
        <v>45955</v>
      </c>
      <c r="D222" t="inlineStr">
        <is>
          <t>VÄSTERNORRLANDS LÄN</t>
        </is>
      </c>
      <c r="E222" t="inlineStr">
        <is>
          <t>TIMRÅ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44432-2022</t>
        </is>
      </c>
      <c r="B223" s="1" t="n">
        <v>44839</v>
      </c>
      <c r="C223" s="1" t="n">
        <v>45955</v>
      </c>
      <c r="D223" t="inlineStr">
        <is>
          <t>VÄSTERNORRLANDS LÄN</t>
        </is>
      </c>
      <c r="E223" t="inlineStr">
        <is>
          <t>TIMRÅ</t>
        </is>
      </c>
      <c r="F223" t="inlineStr">
        <is>
          <t>SCA</t>
        </is>
      </c>
      <c r="G223" t="n">
        <v>3.9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68391-2021</t>
        </is>
      </c>
      <c r="B224" s="1" t="n">
        <v>44526</v>
      </c>
      <c r="C224" s="1" t="n">
        <v>45955</v>
      </c>
      <c r="D224" t="inlineStr">
        <is>
          <t>VÄSTERNORRLANDS LÄN</t>
        </is>
      </c>
      <c r="E224" t="inlineStr">
        <is>
          <t>TIMRÅ</t>
        </is>
      </c>
      <c r="G224" t="n">
        <v>2.2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7151-2024</t>
        </is>
      </c>
      <c r="B225" s="1" t="n">
        <v>45344</v>
      </c>
      <c r="C225" s="1" t="n">
        <v>45955</v>
      </c>
      <c r="D225" t="inlineStr">
        <is>
          <t>VÄSTERNORRLANDS LÄN</t>
        </is>
      </c>
      <c r="E225" t="inlineStr">
        <is>
          <t>TIMRÅ</t>
        </is>
      </c>
      <c r="G225" t="n">
        <v>2.9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62133-2024</t>
        </is>
      </c>
      <c r="B226" s="1" t="n">
        <v>45656.63576388889</v>
      </c>
      <c r="C226" s="1" t="n">
        <v>45955</v>
      </c>
      <c r="D226" t="inlineStr">
        <is>
          <t>VÄSTERNORRLANDS LÄN</t>
        </is>
      </c>
      <c r="E226" t="inlineStr">
        <is>
          <t>TIMRÅ</t>
        </is>
      </c>
      <c r="F226" t="inlineStr">
        <is>
          <t>SCA</t>
        </is>
      </c>
      <c r="G226" t="n">
        <v>3.6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22389-2025</t>
        </is>
      </c>
      <c r="B227" s="1" t="n">
        <v>45786.51099537037</v>
      </c>
      <c r="C227" s="1" t="n">
        <v>45955</v>
      </c>
      <c r="D227" t="inlineStr">
        <is>
          <t>VÄSTERNORRLANDS LÄN</t>
        </is>
      </c>
      <c r="E227" t="inlineStr">
        <is>
          <t>TIMRÅ</t>
        </is>
      </c>
      <c r="F227" t="inlineStr">
        <is>
          <t>SCA</t>
        </is>
      </c>
      <c r="G227" t="n">
        <v>36.5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60011-2023</t>
        </is>
      </c>
      <c r="B228" s="1" t="n">
        <v>45257</v>
      </c>
      <c r="C228" s="1" t="n">
        <v>45955</v>
      </c>
      <c r="D228" t="inlineStr">
        <is>
          <t>VÄSTERNORRLANDS LÄN</t>
        </is>
      </c>
      <c r="E228" t="inlineStr">
        <is>
          <t>TIMRÅ</t>
        </is>
      </c>
      <c r="F228" t="inlineStr">
        <is>
          <t>SCA</t>
        </is>
      </c>
      <c r="G228" t="n">
        <v>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20526-2024</t>
        </is>
      </c>
      <c r="B229" s="1" t="n">
        <v>45435</v>
      </c>
      <c r="C229" s="1" t="n">
        <v>45955</v>
      </c>
      <c r="D229" t="inlineStr">
        <is>
          <t>VÄSTERNORRLANDS LÄN</t>
        </is>
      </c>
      <c r="E229" t="inlineStr">
        <is>
          <t>TIMRÅ</t>
        </is>
      </c>
      <c r="F229" t="inlineStr">
        <is>
          <t>SCA</t>
        </is>
      </c>
      <c r="G229" t="n">
        <v>11.3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33287-2024</t>
        </is>
      </c>
      <c r="B230" s="1" t="n">
        <v>45518.74296296296</v>
      </c>
      <c r="C230" s="1" t="n">
        <v>45955</v>
      </c>
      <c r="D230" t="inlineStr">
        <is>
          <t>VÄSTERNORRLANDS LÄN</t>
        </is>
      </c>
      <c r="E230" t="inlineStr">
        <is>
          <t>TIMRÅ</t>
        </is>
      </c>
      <c r="G230" t="n">
        <v>1.4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69663-2021</t>
        </is>
      </c>
      <c r="B231" s="1" t="n">
        <v>44531</v>
      </c>
      <c r="C231" s="1" t="n">
        <v>45955</v>
      </c>
      <c r="D231" t="inlineStr">
        <is>
          <t>VÄSTERNORRLANDS LÄN</t>
        </is>
      </c>
      <c r="E231" t="inlineStr">
        <is>
          <t>TIMRÅ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22820-2025</t>
        </is>
      </c>
      <c r="B232" s="1" t="n">
        <v>45789.71949074074</v>
      </c>
      <c r="C232" s="1" t="n">
        <v>45955</v>
      </c>
      <c r="D232" t="inlineStr">
        <is>
          <t>VÄSTERNORRLANDS LÄN</t>
        </is>
      </c>
      <c r="E232" t="inlineStr">
        <is>
          <t>TIMRÅ</t>
        </is>
      </c>
      <c r="G232" t="n">
        <v>1.1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22821-2025</t>
        </is>
      </c>
      <c r="B233" s="1" t="n">
        <v>45789.71967592592</v>
      </c>
      <c r="C233" s="1" t="n">
        <v>45955</v>
      </c>
      <c r="D233" t="inlineStr">
        <is>
          <t>VÄSTERNORRLANDS LÄN</t>
        </is>
      </c>
      <c r="E233" t="inlineStr">
        <is>
          <t>TIMRÅ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22668-2025</t>
        </is>
      </c>
      <c r="B234" s="1" t="n">
        <v>45789</v>
      </c>
      <c r="C234" s="1" t="n">
        <v>45955</v>
      </c>
      <c r="D234" t="inlineStr">
        <is>
          <t>VÄSTERNORRLANDS LÄN</t>
        </is>
      </c>
      <c r="E234" t="inlineStr">
        <is>
          <t>TIMRÅ</t>
        </is>
      </c>
      <c r="F234" t="inlineStr">
        <is>
          <t>SCA</t>
        </is>
      </c>
      <c r="G234" t="n">
        <v>10.7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55179-2022</t>
        </is>
      </c>
      <c r="B235" s="1" t="n">
        <v>44886</v>
      </c>
      <c r="C235" s="1" t="n">
        <v>45955</v>
      </c>
      <c r="D235" t="inlineStr">
        <is>
          <t>VÄSTERNORRLANDS LÄN</t>
        </is>
      </c>
      <c r="E235" t="inlineStr">
        <is>
          <t>TIMRÅ</t>
        </is>
      </c>
      <c r="G235" t="n">
        <v>0.4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32070-2023</t>
        </is>
      </c>
      <c r="B236" s="1" t="n">
        <v>45107</v>
      </c>
      <c r="C236" s="1" t="n">
        <v>45955</v>
      </c>
      <c r="D236" t="inlineStr">
        <is>
          <t>VÄSTERNORRLANDS LÄN</t>
        </is>
      </c>
      <c r="E236" t="inlineStr">
        <is>
          <t>TIMRÅ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9472-2021</t>
        </is>
      </c>
      <c r="B237" s="1" t="n">
        <v>44250</v>
      </c>
      <c r="C237" s="1" t="n">
        <v>45955</v>
      </c>
      <c r="D237" t="inlineStr">
        <is>
          <t>VÄSTERNORRLANDS LÄN</t>
        </is>
      </c>
      <c r="E237" t="inlineStr">
        <is>
          <t>TIMRÅ</t>
        </is>
      </c>
      <c r="G237" t="n">
        <v>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22818-2025</t>
        </is>
      </c>
      <c r="B238" s="1" t="n">
        <v>45789.71915509259</v>
      </c>
      <c r="C238" s="1" t="n">
        <v>45955</v>
      </c>
      <c r="D238" t="inlineStr">
        <is>
          <t>VÄSTERNORRLANDS LÄN</t>
        </is>
      </c>
      <c r="E238" t="inlineStr">
        <is>
          <t>TIMRÅ</t>
        </is>
      </c>
      <c r="G238" t="n">
        <v>2.8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22855-2025</t>
        </is>
      </c>
      <c r="B239" s="1" t="n">
        <v>45790.34469907408</v>
      </c>
      <c r="C239" s="1" t="n">
        <v>45955</v>
      </c>
      <c r="D239" t="inlineStr">
        <is>
          <t>VÄSTERNORRLANDS LÄN</t>
        </is>
      </c>
      <c r="E239" t="inlineStr">
        <is>
          <t>TIMRÅ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54993-2024</t>
        </is>
      </c>
      <c r="B240" s="1" t="n">
        <v>45620.95182870371</v>
      </c>
      <c r="C240" s="1" t="n">
        <v>45955</v>
      </c>
      <c r="D240" t="inlineStr">
        <is>
          <t>VÄSTERNORRLANDS LÄN</t>
        </is>
      </c>
      <c r="E240" t="inlineStr">
        <is>
          <t>TIMRÅ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23030-2025</t>
        </is>
      </c>
      <c r="B241" s="1" t="n">
        <v>45790.65737268519</v>
      </c>
      <c r="C241" s="1" t="n">
        <v>45955</v>
      </c>
      <c r="D241" t="inlineStr">
        <is>
          <t>VÄSTERNORRLANDS LÄN</t>
        </is>
      </c>
      <c r="E241" t="inlineStr">
        <is>
          <t>TIMRÅ</t>
        </is>
      </c>
      <c r="F241" t="inlineStr">
        <is>
          <t>SCA</t>
        </is>
      </c>
      <c r="G241" t="n">
        <v>2.1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26662-2024</t>
        </is>
      </c>
      <c r="B242" s="1" t="n">
        <v>45469</v>
      </c>
      <c r="C242" s="1" t="n">
        <v>45955</v>
      </c>
      <c r="D242" t="inlineStr">
        <is>
          <t>VÄSTERNORRLANDS LÄN</t>
        </is>
      </c>
      <c r="E242" t="inlineStr">
        <is>
          <t>TIMRÅ</t>
        </is>
      </c>
      <c r="F242" t="inlineStr">
        <is>
          <t>SCA</t>
        </is>
      </c>
      <c r="G242" t="n">
        <v>1.7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23346-2025</t>
        </is>
      </c>
      <c r="B243" s="1" t="n">
        <v>45791.65733796296</v>
      </c>
      <c r="C243" s="1" t="n">
        <v>45955</v>
      </c>
      <c r="D243" t="inlineStr">
        <is>
          <t>VÄSTERNORRLANDS LÄN</t>
        </is>
      </c>
      <c r="E243" t="inlineStr">
        <is>
          <t>TIMRÅ</t>
        </is>
      </c>
      <c r="F243" t="inlineStr">
        <is>
          <t>SCA</t>
        </is>
      </c>
      <c r="G243" t="n">
        <v>2.4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30907-2024</t>
        </is>
      </c>
      <c r="B244" s="1" t="n">
        <v>45498</v>
      </c>
      <c r="C244" s="1" t="n">
        <v>45955</v>
      </c>
      <c r="D244" t="inlineStr">
        <is>
          <t>VÄSTERNORRLANDS LÄN</t>
        </is>
      </c>
      <c r="E244" t="inlineStr">
        <is>
          <t>TIMRÅ</t>
        </is>
      </c>
      <c r="G244" t="n">
        <v>6.6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38623-2025</t>
        </is>
      </c>
      <c r="B245" s="1" t="n">
        <v>45884.55336805555</v>
      </c>
      <c r="C245" s="1" t="n">
        <v>45955</v>
      </c>
      <c r="D245" t="inlineStr">
        <is>
          <t>VÄSTERNORRLANDS LÄN</t>
        </is>
      </c>
      <c r="E245" t="inlineStr">
        <is>
          <t>TIMRÅ</t>
        </is>
      </c>
      <c r="F245" t="inlineStr">
        <is>
          <t>SCA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61373-2022</t>
        </is>
      </c>
      <c r="B246" s="1" t="n">
        <v>44915</v>
      </c>
      <c r="C246" s="1" t="n">
        <v>45955</v>
      </c>
      <c r="D246" t="inlineStr">
        <is>
          <t>VÄSTERNORRLANDS LÄN</t>
        </is>
      </c>
      <c r="E246" t="inlineStr">
        <is>
          <t>TIMRÅ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52213-2022</t>
        </is>
      </c>
      <c r="B247" s="1" t="n">
        <v>44869</v>
      </c>
      <c r="C247" s="1" t="n">
        <v>45955</v>
      </c>
      <c r="D247" t="inlineStr">
        <is>
          <t>VÄSTERNORRLANDS LÄN</t>
        </is>
      </c>
      <c r="E247" t="inlineStr">
        <is>
          <t>TIMRÅ</t>
        </is>
      </c>
      <c r="G247" t="n">
        <v>11.4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23173-2025</t>
        </is>
      </c>
      <c r="B248" s="1" t="n">
        <v>45791.42796296296</v>
      </c>
      <c r="C248" s="1" t="n">
        <v>45955</v>
      </c>
      <c r="D248" t="inlineStr">
        <is>
          <t>VÄSTERNORRLANDS LÄN</t>
        </is>
      </c>
      <c r="E248" t="inlineStr">
        <is>
          <t>TIMRÅ</t>
        </is>
      </c>
      <c r="G248" t="n">
        <v>2.3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  <c r="U248">
        <f>HYPERLINK("https://klasma.github.io/Logging_2262/knärot/A 23173-2025 karta knärot.png", "A 23173-2025")</f>
        <v/>
      </c>
      <c r="V248">
        <f>HYPERLINK("https://klasma.github.io/Logging_2262/klagomål/A 23173-2025 FSC-klagomål.docx", "A 23173-2025")</f>
        <v/>
      </c>
      <c r="W248">
        <f>HYPERLINK("https://klasma.github.io/Logging_2262/klagomålsmail/A 23173-2025 FSC-klagomål mail.docx", "A 23173-2025")</f>
        <v/>
      </c>
      <c r="X248">
        <f>HYPERLINK("https://klasma.github.io/Logging_2262/tillsyn/A 23173-2025 tillsynsbegäran.docx", "A 23173-2025")</f>
        <v/>
      </c>
      <c r="Y248">
        <f>HYPERLINK("https://klasma.github.io/Logging_2262/tillsynsmail/A 23173-2025 tillsynsbegäran mail.docx", "A 23173-2025")</f>
        <v/>
      </c>
    </row>
    <row r="249" ht="15" customHeight="1">
      <c r="A249" t="inlineStr">
        <is>
          <t>A 2123-2025</t>
        </is>
      </c>
      <c r="B249" s="1" t="n">
        <v>45672</v>
      </c>
      <c r="C249" s="1" t="n">
        <v>45955</v>
      </c>
      <c r="D249" t="inlineStr">
        <is>
          <t>VÄSTERNORRLANDS LÄN</t>
        </is>
      </c>
      <c r="E249" t="inlineStr">
        <is>
          <t>TIMRÅ</t>
        </is>
      </c>
      <c r="G249" t="n">
        <v>2.4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74177-2021</t>
        </is>
      </c>
      <c r="B250" s="1" t="n">
        <v>44558</v>
      </c>
      <c r="C250" s="1" t="n">
        <v>45955</v>
      </c>
      <c r="D250" t="inlineStr">
        <is>
          <t>VÄSTERNORRLANDS LÄN</t>
        </is>
      </c>
      <c r="E250" t="inlineStr">
        <is>
          <t>TIMRÅ</t>
        </is>
      </c>
      <c r="G250" t="n">
        <v>1.8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37165-2021</t>
        </is>
      </c>
      <c r="B251" s="1" t="n">
        <v>44396</v>
      </c>
      <c r="C251" s="1" t="n">
        <v>45955</v>
      </c>
      <c r="D251" t="inlineStr">
        <is>
          <t>VÄSTERNORRLANDS LÄN</t>
        </is>
      </c>
      <c r="E251" t="inlineStr">
        <is>
          <t>TIMRÅ</t>
        </is>
      </c>
      <c r="G251" t="n">
        <v>6.8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32487-2021</t>
        </is>
      </c>
      <c r="B252" s="1" t="n">
        <v>44371</v>
      </c>
      <c r="C252" s="1" t="n">
        <v>45955</v>
      </c>
      <c r="D252" t="inlineStr">
        <is>
          <t>VÄSTERNORRLANDS LÄN</t>
        </is>
      </c>
      <c r="E252" t="inlineStr">
        <is>
          <t>TIMRÅ</t>
        </is>
      </c>
      <c r="F252" t="inlineStr">
        <is>
          <t>Kyrkan</t>
        </is>
      </c>
      <c r="G252" t="n">
        <v>21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23851-2024</t>
        </is>
      </c>
      <c r="B253" s="1" t="n">
        <v>45455</v>
      </c>
      <c r="C253" s="1" t="n">
        <v>45955</v>
      </c>
      <c r="D253" t="inlineStr">
        <is>
          <t>VÄSTERNORRLANDS LÄN</t>
        </is>
      </c>
      <c r="E253" t="inlineStr">
        <is>
          <t>TIMRÅ</t>
        </is>
      </c>
      <c r="G253" t="n">
        <v>3.5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53302-2024</t>
        </is>
      </c>
      <c r="B254" s="1" t="n">
        <v>45614.38864583334</v>
      </c>
      <c r="C254" s="1" t="n">
        <v>45955</v>
      </c>
      <c r="D254" t="inlineStr">
        <is>
          <t>VÄSTERNORRLANDS LÄN</t>
        </is>
      </c>
      <c r="E254" t="inlineStr">
        <is>
          <t>TIMRÅ</t>
        </is>
      </c>
      <c r="F254" t="inlineStr">
        <is>
          <t>SCA</t>
        </is>
      </c>
      <c r="G254" t="n">
        <v>1.1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53303-2024</t>
        </is>
      </c>
      <c r="B255" s="1" t="n">
        <v>45614.38878472222</v>
      </c>
      <c r="C255" s="1" t="n">
        <v>45955</v>
      </c>
      <c r="D255" t="inlineStr">
        <is>
          <t>VÄSTERNORRLANDS LÄN</t>
        </is>
      </c>
      <c r="E255" t="inlineStr">
        <is>
          <t>TIMRÅ</t>
        </is>
      </c>
      <c r="F255" t="inlineStr">
        <is>
          <t>SCA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25414-2022</t>
        </is>
      </c>
      <c r="B256" s="1" t="n">
        <v>44732</v>
      </c>
      <c r="C256" s="1" t="n">
        <v>45955</v>
      </c>
      <c r="D256" t="inlineStr">
        <is>
          <t>VÄSTERNORRLANDS LÄN</t>
        </is>
      </c>
      <c r="E256" t="inlineStr">
        <is>
          <t>TIMRÅ</t>
        </is>
      </c>
      <c r="G256" t="n">
        <v>7.7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16555-2023</t>
        </is>
      </c>
      <c r="B257" s="1" t="n">
        <v>45029</v>
      </c>
      <c r="C257" s="1" t="n">
        <v>45955</v>
      </c>
      <c r="D257" t="inlineStr">
        <is>
          <t>VÄSTERNORRLANDS LÄN</t>
        </is>
      </c>
      <c r="E257" t="inlineStr">
        <is>
          <t>TIMRÅ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53957-2022</t>
        </is>
      </c>
      <c r="B258" s="1" t="n">
        <v>44880.95756944444</v>
      </c>
      <c r="C258" s="1" t="n">
        <v>45955</v>
      </c>
      <c r="D258" t="inlineStr">
        <is>
          <t>VÄSTERNORRLANDS LÄN</t>
        </is>
      </c>
      <c r="E258" t="inlineStr">
        <is>
          <t>TIMRÅ</t>
        </is>
      </c>
      <c r="F258" t="inlineStr">
        <is>
          <t>SCA</t>
        </is>
      </c>
      <c r="G258" t="n">
        <v>6.4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23839-2025</t>
        </is>
      </c>
      <c r="B259" s="1" t="n">
        <v>45793.61495370371</v>
      </c>
      <c r="C259" s="1" t="n">
        <v>45955</v>
      </c>
      <c r="D259" t="inlineStr">
        <is>
          <t>VÄSTERNORRLANDS LÄN</t>
        </is>
      </c>
      <c r="E259" t="inlineStr">
        <is>
          <t>TIMRÅ</t>
        </is>
      </c>
      <c r="F259" t="inlineStr">
        <is>
          <t>SCA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49495-2024</t>
        </is>
      </c>
      <c r="B260" s="1" t="n">
        <v>45596.36559027778</v>
      </c>
      <c r="C260" s="1" t="n">
        <v>45955</v>
      </c>
      <c r="D260" t="inlineStr">
        <is>
          <t>VÄSTERNORRLANDS LÄN</t>
        </is>
      </c>
      <c r="E260" t="inlineStr">
        <is>
          <t>TIMRÅ</t>
        </is>
      </c>
      <c r="F260" t="inlineStr">
        <is>
          <t>SCA</t>
        </is>
      </c>
      <c r="G260" t="n">
        <v>6.9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17002-2023</t>
        </is>
      </c>
      <c r="B261" s="1" t="n">
        <v>45033</v>
      </c>
      <c r="C261" s="1" t="n">
        <v>45955</v>
      </c>
      <c r="D261" t="inlineStr">
        <is>
          <t>VÄSTERNORRLANDS LÄN</t>
        </is>
      </c>
      <c r="E261" t="inlineStr">
        <is>
          <t>TIMRÅ</t>
        </is>
      </c>
      <c r="F261" t="inlineStr">
        <is>
          <t>SCA</t>
        </is>
      </c>
      <c r="G261" t="n">
        <v>12.7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7152-2022</t>
        </is>
      </c>
      <c r="B262" s="1" t="n">
        <v>44603.92236111111</v>
      </c>
      <c r="C262" s="1" t="n">
        <v>45955</v>
      </c>
      <c r="D262" t="inlineStr">
        <is>
          <t>VÄSTERNORRLANDS LÄN</t>
        </is>
      </c>
      <c r="E262" t="inlineStr">
        <is>
          <t>TIMRÅ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6394-2025</t>
        </is>
      </c>
      <c r="B263" s="1" t="n">
        <v>45699.43229166666</v>
      </c>
      <c r="C263" s="1" t="n">
        <v>45955</v>
      </c>
      <c r="D263" t="inlineStr">
        <is>
          <t>VÄSTERNORRLANDS LÄN</t>
        </is>
      </c>
      <c r="E263" t="inlineStr">
        <is>
          <t>TIMRÅ</t>
        </is>
      </c>
      <c r="G263" t="n">
        <v>2.9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20936-2024</t>
        </is>
      </c>
      <c r="B264" s="1" t="n">
        <v>45439</v>
      </c>
      <c r="C264" s="1" t="n">
        <v>45955</v>
      </c>
      <c r="D264" t="inlineStr">
        <is>
          <t>VÄSTERNORRLANDS LÄN</t>
        </is>
      </c>
      <c r="E264" t="inlineStr">
        <is>
          <t>TIMRÅ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38992-2024</t>
        </is>
      </c>
      <c r="B265" s="1" t="n">
        <v>45548</v>
      </c>
      <c r="C265" s="1" t="n">
        <v>45955</v>
      </c>
      <c r="D265" t="inlineStr">
        <is>
          <t>VÄSTERNORRLANDS LÄN</t>
        </is>
      </c>
      <c r="E265" t="inlineStr">
        <is>
          <t>TIMRÅ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1467-2024</t>
        </is>
      </c>
      <c r="B266" s="1" t="n">
        <v>45303</v>
      </c>
      <c r="C266" s="1" t="n">
        <v>45955</v>
      </c>
      <c r="D266" t="inlineStr">
        <is>
          <t>VÄSTERNORRLANDS LÄN</t>
        </is>
      </c>
      <c r="E266" t="inlineStr">
        <is>
          <t>TIMRÅ</t>
        </is>
      </c>
      <c r="F266" t="inlineStr">
        <is>
          <t>SCA</t>
        </is>
      </c>
      <c r="G266" t="n">
        <v>3.7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57403-2022</t>
        </is>
      </c>
      <c r="B267" s="1" t="n">
        <v>44889</v>
      </c>
      <c r="C267" s="1" t="n">
        <v>45955</v>
      </c>
      <c r="D267" t="inlineStr">
        <is>
          <t>VÄSTERNORRLANDS LÄN</t>
        </is>
      </c>
      <c r="E267" t="inlineStr">
        <is>
          <t>TIMRÅ</t>
        </is>
      </c>
      <c r="G267" t="n">
        <v>9.6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38938-2025</t>
        </is>
      </c>
      <c r="B268" s="1" t="n">
        <v>45884</v>
      </c>
      <c r="C268" s="1" t="n">
        <v>45955</v>
      </c>
      <c r="D268" t="inlineStr">
        <is>
          <t>VÄSTERNORRLANDS LÄN</t>
        </is>
      </c>
      <c r="E268" t="inlineStr">
        <is>
          <t>TIMRÅ</t>
        </is>
      </c>
      <c r="G268" t="n">
        <v>1.2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23957-2025</t>
        </is>
      </c>
      <c r="B269" s="1" t="n">
        <v>45796.365</v>
      </c>
      <c r="C269" s="1" t="n">
        <v>45955</v>
      </c>
      <c r="D269" t="inlineStr">
        <is>
          <t>VÄSTERNORRLANDS LÄN</t>
        </is>
      </c>
      <c r="E269" t="inlineStr">
        <is>
          <t>TIMRÅ</t>
        </is>
      </c>
      <c r="F269" t="inlineStr">
        <is>
          <t>SCA</t>
        </is>
      </c>
      <c r="G269" t="n">
        <v>5.9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52010-2022</t>
        </is>
      </c>
      <c r="B270" s="1" t="n">
        <v>44872</v>
      </c>
      <c r="C270" s="1" t="n">
        <v>45955</v>
      </c>
      <c r="D270" t="inlineStr">
        <is>
          <t>VÄSTERNORRLANDS LÄN</t>
        </is>
      </c>
      <c r="E270" t="inlineStr">
        <is>
          <t>TIMRÅ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57840-2022</t>
        </is>
      </c>
      <c r="B271" s="1" t="n">
        <v>44897</v>
      </c>
      <c r="C271" s="1" t="n">
        <v>45955</v>
      </c>
      <c r="D271" t="inlineStr">
        <is>
          <t>VÄSTERNORRLANDS LÄN</t>
        </is>
      </c>
      <c r="E271" t="inlineStr">
        <is>
          <t>TIMRÅ</t>
        </is>
      </c>
      <c r="F271" t="inlineStr">
        <is>
          <t>SCA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50699-2024</t>
        </is>
      </c>
      <c r="B272" s="1" t="n">
        <v>45602</v>
      </c>
      <c r="C272" s="1" t="n">
        <v>45955</v>
      </c>
      <c r="D272" t="inlineStr">
        <is>
          <t>VÄSTERNORRLANDS LÄN</t>
        </is>
      </c>
      <c r="E272" t="inlineStr">
        <is>
          <t>TIMRÅ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69274-2021</t>
        </is>
      </c>
      <c r="B273" s="1" t="n">
        <v>44530</v>
      </c>
      <c r="C273" s="1" t="n">
        <v>45955</v>
      </c>
      <c r="D273" t="inlineStr">
        <is>
          <t>VÄSTERNORRLANDS LÄN</t>
        </is>
      </c>
      <c r="E273" t="inlineStr">
        <is>
          <t>TIMRÅ</t>
        </is>
      </c>
      <c r="G273" t="n">
        <v>0.3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69278-2021</t>
        </is>
      </c>
      <c r="B274" s="1" t="n">
        <v>44531.44428240741</v>
      </c>
      <c r="C274" s="1" t="n">
        <v>45955</v>
      </c>
      <c r="D274" t="inlineStr">
        <is>
          <t>VÄSTERNORRLANDS LÄN</t>
        </is>
      </c>
      <c r="E274" t="inlineStr">
        <is>
          <t>TIMRÅ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48563-2024</t>
        </is>
      </c>
      <c r="B275" s="1" t="n">
        <v>45593.38608796296</v>
      </c>
      <c r="C275" s="1" t="n">
        <v>45955</v>
      </c>
      <c r="D275" t="inlineStr">
        <is>
          <t>VÄSTERNORRLANDS LÄN</t>
        </is>
      </c>
      <c r="E275" t="inlineStr">
        <is>
          <t>TIMRÅ</t>
        </is>
      </c>
      <c r="F275" t="inlineStr">
        <is>
          <t>SCA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60074-2023</t>
        </is>
      </c>
      <c r="B276" s="1" t="n">
        <v>45258</v>
      </c>
      <c r="C276" s="1" t="n">
        <v>45955</v>
      </c>
      <c r="D276" t="inlineStr">
        <is>
          <t>VÄSTERNORRLANDS LÄN</t>
        </is>
      </c>
      <c r="E276" t="inlineStr">
        <is>
          <t>TIMRÅ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49310-2024</t>
        </is>
      </c>
      <c r="B277" s="1" t="n">
        <v>45595</v>
      </c>
      <c r="C277" s="1" t="n">
        <v>45955</v>
      </c>
      <c r="D277" t="inlineStr">
        <is>
          <t>VÄSTERNORRLANDS LÄN</t>
        </is>
      </c>
      <c r="E277" t="inlineStr">
        <is>
          <t>TIMRÅ</t>
        </is>
      </c>
      <c r="F277" t="inlineStr">
        <is>
          <t>SCA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38624-2025</t>
        </is>
      </c>
      <c r="B278" s="1" t="n">
        <v>45884.55347222222</v>
      </c>
      <c r="C278" s="1" t="n">
        <v>45955</v>
      </c>
      <c r="D278" t="inlineStr">
        <is>
          <t>VÄSTERNORRLANDS LÄN</t>
        </is>
      </c>
      <c r="E278" t="inlineStr">
        <is>
          <t>TIMRÅ</t>
        </is>
      </c>
      <c r="F278" t="inlineStr">
        <is>
          <t>SCA</t>
        </is>
      </c>
      <c r="G278" t="n">
        <v>0.9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35262-2021</t>
        </is>
      </c>
      <c r="B279" s="1" t="n">
        <v>44384</v>
      </c>
      <c r="C279" s="1" t="n">
        <v>45955</v>
      </c>
      <c r="D279" t="inlineStr">
        <is>
          <t>VÄSTERNORRLANDS LÄN</t>
        </is>
      </c>
      <c r="E279" t="inlineStr">
        <is>
          <t>TIMRÅ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59964-2021</t>
        </is>
      </c>
      <c r="B280" s="1" t="n">
        <v>44494</v>
      </c>
      <c r="C280" s="1" t="n">
        <v>45955</v>
      </c>
      <c r="D280" t="inlineStr">
        <is>
          <t>VÄSTERNORRLANDS LÄN</t>
        </is>
      </c>
      <c r="E280" t="inlineStr">
        <is>
          <t>TIMRÅ</t>
        </is>
      </c>
      <c r="G280" t="n">
        <v>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32105-2024</t>
        </is>
      </c>
      <c r="B281" s="1" t="n">
        <v>45511</v>
      </c>
      <c r="C281" s="1" t="n">
        <v>45955</v>
      </c>
      <c r="D281" t="inlineStr">
        <is>
          <t>VÄSTERNORRLANDS LÄN</t>
        </is>
      </c>
      <c r="E281" t="inlineStr">
        <is>
          <t>TIMRÅ</t>
        </is>
      </c>
      <c r="G281" t="n">
        <v>6.4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43130-2023</t>
        </is>
      </c>
      <c r="B282" s="1" t="n">
        <v>45182.94908564815</v>
      </c>
      <c r="C282" s="1" t="n">
        <v>45955</v>
      </c>
      <c r="D282" t="inlineStr">
        <is>
          <t>VÄSTERNORRLANDS LÄN</t>
        </is>
      </c>
      <c r="E282" t="inlineStr">
        <is>
          <t>TIMRÅ</t>
        </is>
      </c>
      <c r="F282" t="inlineStr">
        <is>
          <t>SCA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69203-2020</t>
        </is>
      </c>
      <c r="B283" s="1" t="n">
        <v>44191</v>
      </c>
      <c r="C283" s="1" t="n">
        <v>45955</v>
      </c>
      <c r="D283" t="inlineStr">
        <is>
          <t>VÄSTERNORRLANDS LÄN</t>
        </is>
      </c>
      <c r="E283" t="inlineStr">
        <is>
          <t>TIMRÅ</t>
        </is>
      </c>
      <c r="F283" t="inlineStr">
        <is>
          <t>SCA</t>
        </is>
      </c>
      <c r="G283" t="n">
        <v>8.300000000000001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52705-2022</t>
        </is>
      </c>
      <c r="B284" s="1" t="n">
        <v>44874.92969907408</v>
      </c>
      <c r="C284" s="1" t="n">
        <v>45955</v>
      </c>
      <c r="D284" t="inlineStr">
        <is>
          <t>VÄSTERNORRLANDS LÄN</t>
        </is>
      </c>
      <c r="E284" t="inlineStr">
        <is>
          <t>TIMRÅ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24529-2025</t>
        </is>
      </c>
      <c r="B285" s="1" t="n">
        <v>45798.42756944444</v>
      </c>
      <c r="C285" s="1" t="n">
        <v>45955</v>
      </c>
      <c r="D285" t="inlineStr">
        <is>
          <t>VÄSTERNORRLANDS LÄN</t>
        </is>
      </c>
      <c r="E285" t="inlineStr">
        <is>
          <t>TIMRÅ</t>
        </is>
      </c>
      <c r="F285" t="inlineStr">
        <is>
          <t>SCA</t>
        </is>
      </c>
      <c r="G285" t="n">
        <v>6.9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33043-2023</t>
        </is>
      </c>
      <c r="B286" s="1" t="n">
        <v>45125</v>
      </c>
      <c r="C286" s="1" t="n">
        <v>45955</v>
      </c>
      <c r="D286" t="inlineStr">
        <is>
          <t>VÄSTERNORRLANDS LÄN</t>
        </is>
      </c>
      <c r="E286" t="inlineStr">
        <is>
          <t>TIMRÅ</t>
        </is>
      </c>
      <c r="F286" t="inlineStr">
        <is>
          <t>SCA</t>
        </is>
      </c>
      <c r="G286" t="n">
        <v>2.9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19455-2024</t>
        </is>
      </c>
      <c r="B287" s="1" t="n">
        <v>45429</v>
      </c>
      <c r="C287" s="1" t="n">
        <v>45955</v>
      </c>
      <c r="D287" t="inlineStr">
        <is>
          <t>VÄSTERNORRLANDS LÄN</t>
        </is>
      </c>
      <c r="E287" t="inlineStr">
        <is>
          <t>TIMRÅ</t>
        </is>
      </c>
      <c r="G287" t="n">
        <v>1.3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56170-2022</t>
        </is>
      </c>
      <c r="B288" s="1" t="n">
        <v>44889</v>
      </c>
      <c r="C288" s="1" t="n">
        <v>45955</v>
      </c>
      <c r="D288" t="inlineStr">
        <is>
          <t>VÄSTERNORRLANDS LÄN</t>
        </is>
      </c>
      <c r="E288" t="inlineStr">
        <is>
          <t>TIMRÅ</t>
        </is>
      </c>
      <c r="F288" t="inlineStr">
        <is>
          <t>SCA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16055-2024</t>
        </is>
      </c>
      <c r="B289" s="1" t="n">
        <v>45406</v>
      </c>
      <c r="C289" s="1" t="n">
        <v>45955</v>
      </c>
      <c r="D289" t="inlineStr">
        <is>
          <t>VÄSTERNORRLANDS LÄN</t>
        </is>
      </c>
      <c r="E289" t="inlineStr">
        <is>
          <t>TIMRÅ</t>
        </is>
      </c>
      <c r="F289" t="inlineStr">
        <is>
          <t>SCA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2073-2022</t>
        </is>
      </c>
      <c r="B290" s="1" t="n">
        <v>44575.92912037037</v>
      </c>
      <c r="C290" s="1" t="n">
        <v>45955</v>
      </c>
      <c r="D290" t="inlineStr">
        <is>
          <t>VÄSTERNORRLANDS LÄN</t>
        </is>
      </c>
      <c r="E290" t="inlineStr">
        <is>
          <t>TIMRÅ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23049-2024</t>
        </is>
      </c>
      <c r="B291" s="1" t="n">
        <v>45450</v>
      </c>
      <c r="C291" s="1" t="n">
        <v>45955</v>
      </c>
      <c r="D291" t="inlineStr">
        <is>
          <t>VÄSTERNORRLANDS LÄN</t>
        </is>
      </c>
      <c r="E291" t="inlineStr">
        <is>
          <t>TIMRÅ</t>
        </is>
      </c>
      <c r="G291" t="n">
        <v>8.4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24739-2024</t>
        </is>
      </c>
      <c r="B292" s="1" t="n">
        <v>45460</v>
      </c>
      <c r="C292" s="1" t="n">
        <v>45955</v>
      </c>
      <c r="D292" t="inlineStr">
        <is>
          <t>VÄSTERNORRLANDS LÄN</t>
        </is>
      </c>
      <c r="E292" t="inlineStr">
        <is>
          <t>TIMRÅ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39693-2023</t>
        </is>
      </c>
      <c r="B293" s="1" t="n">
        <v>45166</v>
      </c>
      <c r="C293" s="1" t="n">
        <v>45955</v>
      </c>
      <c r="D293" t="inlineStr">
        <is>
          <t>VÄSTERNORRLANDS LÄN</t>
        </is>
      </c>
      <c r="E293" t="inlineStr">
        <is>
          <t>TIMRÅ</t>
        </is>
      </c>
      <c r="G293" t="n">
        <v>5.8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45886-2024</t>
        </is>
      </c>
      <c r="B294" s="1" t="n">
        <v>45580</v>
      </c>
      <c r="C294" s="1" t="n">
        <v>45955</v>
      </c>
      <c r="D294" t="inlineStr">
        <is>
          <t>VÄSTERNORRLANDS LÄN</t>
        </is>
      </c>
      <c r="E294" t="inlineStr">
        <is>
          <t>TIMRÅ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48704-2024</t>
        </is>
      </c>
      <c r="B295" s="1" t="n">
        <v>45593.53160879629</v>
      </c>
      <c r="C295" s="1" t="n">
        <v>45955</v>
      </c>
      <c r="D295" t="inlineStr">
        <is>
          <t>VÄSTERNORRLANDS LÄN</t>
        </is>
      </c>
      <c r="E295" t="inlineStr">
        <is>
          <t>TIMRÅ</t>
        </is>
      </c>
      <c r="F295" t="inlineStr">
        <is>
          <t>SCA</t>
        </is>
      </c>
      <c r="G295" t="n">
        <v>3.7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40664-2024</t>
        </is>
      </c>
      <c r="B296" s="1" t="n">
        <v>45558</v>
      </c>
      <c r="C296" s="1" t="n">
        <v>45955</v>
      </c>
      <c r="D296" t="inlineStr">
        <is>
          <t>VÄSTERNORRLANDS LÄN</t>
        </is>
      </c>
      <c r="E296" t="inlineStr">
        <is>
          <t>TIMRÅ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55729-2024</t>
        </is>
      </c>
      <c r="B297" s="1" t="n">
        <v>45622</v>
      </c>
      <c r="C297" s="1" t="n">
        <v>45955</v>
      </c>
      <c r="D297" t="inlineStr">
        <is>
          <t>VÄSTERNORRLANDS LÄN</t>
        </is>
      </c>
      <c r="E297" t="inlineStr">
        <is>
          <t>TIMRÅ</t>
        </is>
      </c>
      <c r="G297" t="n">
        <v>3.1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38306-2025</t>
        </is>
      </c>
      <c r="B298" s="1" t="n">
        <v>45883.46928240741</v>
      </c>
      <c r="C298" s="1" t="n">
        <v>45955</v>
      </c>
      <c r="D298" t="inlineStr">
        <is>
          <t>VÄSTERNORRLANDS LÄN</t>
        </is>
      </c>
      <c r="E298" t="inlineStr">
        <is>
          <t>TIMRÅ</t>
        </is>
      </c>
      <c r="G298" t="n">
        <v>0.5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69203-2020</t>
        </is>
      </c>
      <c r="B299" s="1" t="n">
        <v>44191</v>
      </c>
      <c r="C299" s="1" t="n">
        <v>45955</v>
      </c>
      <c r="D299" t="inlineStr">
        <is>
          <t>VÄSTERNORRLANDS LÄN</t>
        </is>
      </c>
      <c r="E299" t="inlineStr">
        <is>
          <t>TIMRÅ</t>
        </is>
      </c>
      <c r="F299" t="inlineStr">
        <is>
          <t>SCA</t>
        </is>
      </c>
      <c r="G299" t="n">
        <v>8.300000000000001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74150-2021</t>
        </is>
      </c>
      <c r="B300" s="1" t="n">
        <v>44557</v>
      </c>
      <c r="C300" s="1" t="n">
        <v>45955</v>
      </c>
      <c r="D300" t="inlineStr">
        <is>
          <t>VÄSTERNORRLANDS LÄN</t>
        </is>
      </c>
      <c r="E300" t="inlineStr">
        <is>
          <t>TIMRÅ</t>
        </is>
      </c>
      <c r="G300" t="n">
        <v>1.8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40593-2024</t>
        </is>
      </c>
      <c r="B301" s="1" t="n">
        <v>45555</v>
      </c>
      <c r="C301" s="1" t="n">
        <v>45955</v>
      </c>
      <c r="D301" t="inlineStr">
        <is>
          <t>VÄSTERNORRLANDS LÄN</t>
        </is>
      </c>
      <c r="E301" t="inlineStr">
        <is>
          <t>TIMRÅ</t>
        </is>
      </c>
      <c r="G301" t="n">
        <v>3.6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37861-2024</t>
        </is>
      </c>
      <c r="B302" s="1" t="n">
        <v>45544</v>
      </c>
      <c r="C302" s="1" t="n">
        <v>45955</v>
      </c>
      <c r="D302" t="inlineStr">
        <is>
          <t>VÄSTERNORRLANDS LÄN</t>
        </is>
      </c>
      <c r="E302" t="inlineStr">
        <is>
          <t>TIMRÅ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8506-2024</t>
        </is>
      </c>
      <c r="B303" s="1" t="n">
        <v>45351</v>
      </c>
      <c r="C303" s="1" t="n">
        <v>45955</v>
      </c>
      <c r="D303" t="inlineStr">
        <is>
          <t>VÄSTERNORRLANDS LÄN</t>
        </is>
      </c>
      <c r="E303" t="inlineStr">
        <is>
          <t>TIMRÅ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74020-2021</t>
        </is>
      </c>
      <c r="B304" s="1" t="n">
        <v>44557.43879629629</v>
      </c>
      <c r="C304" s="1" t="n">
        <v>45955</v>
      </c>
      <c r="D304" t="inlineStr">
        <is>
          <t>VÄSTERNORRLANDS LÄN</t>
        </is>
      </c>
      <c r="E304" t="inlineStr">
        <is>
          <t>TIMRÅ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55872-2022</t>
        </is>
      </c>
      <c r="B305" s="1" t="n">
        <v>44888.92847222222</v>
      </c>
      <c r="C305" s="1" t="n">
        <v>45955</v>
      </c>
      <c r="D305" t="inlineStr">
        <is>
          <t>VÄSTERNORRLANDS LÄN</t>
        </is>
      </c>
      <c r="E305" t="inlineStr">
        <is>
          <t>TIMRÅ</t>
        </is>
      </c>
      <c r="G305" t="n">
        <v>4.7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14926-2025</t>
        </is>
      </c>
      <c r="B306" s="1" t="n">
        <v>45743.55283564814</v>
      </c>
      <c r="C306" s="1" t="n">
        <v>45955</v>
      </c>
      <c r="D306" t="inlineStr">
        <is>
          <t>VÄSTERNORRLANDS LÄN</t>
        </is>
      </c>
      <c r="E306" t="inlineStr">
        <is>
          <t>TIMRÅ</t>
        </is>
      </c>
      <c r="F306" t="inlineStr">
        <is>
          <t>SCA</t>
        </is>
      </c>
      <c r="G306" t="n">
        <v>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29003-2025</t>
        </is>
      </c>
      <c r="B307" s="1" t="n">
        <v>45821.39233796296</v>
      </c>
      <c r="C307" s="1" t="n">
        <v>45955</v>
      </c>
      <c r="D307" t="inlineStr">
        <is>
          <t>VÄSTERNORRLANDS LÄN</t>
        </is>
      </c>
      <c r="E307" t="inlineStr">
        <is>
          <t>TIMRÅ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43129-2023</t>
        </is>
      </c>
      <c r="B308" s="1" t="n">
        <v>45182</v>
      </c>
      <c r="C308" s="1" t="n">
        <v>45955</v>
      </c>
      <c r="D308" t="inlineStr">
        <is>
          <t>VÄSTERNORRLANDS LÄN</t>
        </is>
      </c>
      <c r="E308" t="inlineStr">
        <is>
          <t>TIMRÅ</t>
        </is>
      </c>
      <c r="F308" t="inlineStr">
        <is>
          <t>SCA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1826-2025</t>
        </is>
      </c>
      <c r="B309" s="1" t="n">
        <v>45671.53855324074</v>
      </c>
      <c r="C309" s="1" t="n">
        <v>45955</v>
      </c>
      <c r="D309" t="inlineStr">
        <is>
          <t>VÄSTERNORRLANDS LÄN</t>
        </is>
      </c>
      <c r="E309" t="inlineStr">
        <is>
          <t>TIMRÅ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39194-2025</t>
        </is>
      </c>
      <c r="B310" s="1" t="n">
        <v>45888.67773148148</v>
      </c>
      <c r="C310" s="1" t="n">
        <v>45955</v>
      </c>
      <c r="D310" t="inlineStr">
        <is>
          <t>VÄSTERNORRLANDS LÄN</t>
        </is>
      </c>
      <c r="E310" t="inlineStr">
        <is>
          <t>TIMRÅ</t>
        </is>
      </c>
      <c r="F310" t="inlineStr">
        <is>
          <t>SCA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47272-2025</t>
        </is>
      </c>
      <c r="B311" s="1" t="n">
        <v>45930</v>
      </c>
      <c r="C311" s="1" t="n">
        <v>45955</v>
      </c>
      <c r="D311" t="inlineStr">
        <is>
          <t>VÄSTERNORRLANDS LÄN</t>
        </is>
      </c>
      <c r="E311" t="inlineStr">
        <is>
          <t>TIMRÅ</t>
        </is>
      </c>
      <c r="G311" t="n">
        <v>3.9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47475-2025</t>
        </is>
      </c>
      <c r="B312" s="1" t="n">
        <v>45930</v>
      </c>
      <c r="C312" s="1" t="n">
        <v>45955</v>
      </c>
      <c r="D312" t="inlineStr">
        <is>
          <t>VÄSTERNORRLANDS LÄN</t>
        </is>
      </c>
      <c r="E312" t="inlineStr">
        <is>
          <t>TIMRÅ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47479-2025</t>
        </is>
      </c>
      <c r="B313" s="1" t="n">
        <v>45930</v>
      </c>
      <c r="C313" s="1" t="n">
        <v>45955</v>
      </c>
      <c r="D313" t="inlineStr">
        <is>
          <t>VÄSTERNORRLANDS LÄN</t>
        </is>
      </c>
      <c r="E313" t="inlineStr">
        <is>
          <t>TIMRÅ</t>
        </is>
      </c>
      <c r="G313" t="n">
        <v>2.2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26300-2025</t>
        </is>
      </c>
      <c r="B314" s="1" t="n">
        <v>45805.6364699074</v>
      </c>
      <c r="C314" s="1" t="n">
        <v>45955</v>
      </c>
      <c r="D314" t="inlineStr">
        <is>
          <t>VÄSTERNORRLANDS LÄN</t>
        </is>
      </c>
      <c r="E314" t="inlineStr">
        <is>
          <t>TIMRÅ</t>
        </is>
      </c>
      <c r="F314" t="inlineStr">
        <is>
          <t>SCA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56286-2024</t>
        </is>
      </c>
      <c r="B315" s="1" t="n">
        <v>45624.67921296296</v>
      </c>
      <c r="C315" s="1" t="n">
        <v>45955</v>
      </c>
      <c r="D315" t="inlineStr">
        <is>
          <t>VÄSTERNORRLANDS LÄN</t>
        </is>
      </c>
      <c r="E315" t="inlineStr">
        <is>
          <t>TIMRÅ</t>
        </is>
      </c>
      <c r="F315" t="inlineStr">
        <is>
          <t>SCA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43994-2023</t>
        </is>
      </c>
      <c r="B316" s="1" t="n">
        <v>45187</v>
      </c>
      <c r="C316" s="1" t="n">
        <v>45955</v>
      </c>
      <c r="D316" t="inlineStr">
        <is>
          <t>VÄSTERNORRLANDS LÄN</t>
        </is>
      </c>
      <c r="E316" t="inlineStr">
        <is>
          <t>TIMRÅ</t>
        </is>
      </c>
      <c r="F316" t="inlineStr">
        <is>
          <t>SCA</t>
        </is>
      </c>
      <c r="G316" t="n">
        <v>3.5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38716-2025</t>
        </is>
      </c>
      <c r="B317" s="1" t="n">
        <v>45886.51091435185</v>
      </c>
      <c r="C317" s="1" t="n">
        <v>45955</v>
      </c>
      <c r="D317" t="inlineStr">
        <is>
          <t>VÄSTERNORRLANDS LÄN</t>
        </is>
      </c>
      <c r="E317" t="inlineStr">
        <is>
          <t>TIMRÅ</t>
        </is>
      </c>
      <c r="F317" t="inlineStr">
        <is>
          <t>SCA</t>
        </is>
      </c>
      <c r="G317" t="n">
        <v>3.3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45942-2024</t>
        </is>
      </c>
      <c r="B318" s="1" t="n">
        <v>45580</v>
      </c>
      <c r="C318" s="1" t="n">
        <v>45955</v>
      </c>
      <c r="D318" t="inlineStr">
        <is>
          <t>VÄSTERNORRLANDS LÄN</t>
        </is>
      </c>
      <c r="E318" t="inlineStr">
        <is>
          <t>TIMRÅ</t>
        </is>
      </c>
      <c r="G318" t="n">
        <v>2.1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16786-2023</t>
        </is>
      </c>
      <c r="B319" s="1" t="n">
        <v>45032</v>
      </c>
      <c r="C319" s="1" t="n">
        <v>45955</v>
      </c>
      <c r="D319" t="inlineStr">
        <is>
          <t>VÄSTERNORRLANDS LÄN</t>
        </is>
      </c>
      <c r="E319" t="inlineStr">
        <is>
          <t>TIMRÅ</t>
        </is>
      </c>
      <c r="F319" t="inlineStr">
        <is>
          <t>SCA</t>
        </is>
      </c>
      <c r="G319" t="n">
        <v>6.1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46960-2025</t>
        </is>
      </c>
      <c r="B320" s="1" t="n">
        <v>45929.48690972223</v>
      </c>
      <c r="C320" s="1" t="n">
        <v>45955</v>
      </c>
      <c r="D320" t="inlineStr">
        <is>
          <t>VÄSTERNORRLANDS LÄN</t>
        </is>
      </c>
      <c r="E320" t="inlineStr">
        <is>
          <t>TIMRÅ</t>
        </is>
      </c>
      <c r="G320" t="n">
        <v>2.6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46827-2025</t>
        </is>
      </c>
      <c r="B321" s="1" t="n">
        <v>45927.34444444445</v>
      </c>
      <c r="C321" s="1" t="n">
        <v>45955</v>
      </c>
      <c r="D321" t="inlineStr">
        <is>
          <t>VÄSTERNORRLANDS LÄN</t>
        </is>
      </c>
      <c r="E321" t="inlineStr">
        <is>
          <t>TIMRÅ</t>
        </is>
      </c>
      <c r="F321" t="inlineStr">
        <is>
          <t>SCA</t>
        </is>
      </c>
      <c r="G321" t="n">
        <v>3.9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61821-2024</t>
        </is>
      </c>
      <c r="B322" s="1" t="n">
        <v>45649.61491898148</v>
      </c>
      <c r="C322" s="1" t="n">
        <v>45955</v>
      </c>
      <c r="D322" t="inlineStr">
        <is>
          <t>VÄSTERNORRLANDS LÄN</t>
        </is>
      </c>
      <c r="E322" t="inlineStr">
        <is>
          <t>TIMRÅ</t>
        </is>
      </c>
      <c r="F322" t="inlineStr">
        <is>
          <t>SCA</t>
        </is>
      </c>
      <c r="G322" t="n">
        <v>5.7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2226-2022</t>
        </is>
      </c>
      <c r="B323" s="1" t="n">
        <v>44578</v>
      </c>
      <c r="C323" s="1" t="n">
        <v>45955</v>
      </c>
      <c r="D323" t="inlineStr">
        <is>
          <t>VÄSTERNORRLANDS LÄN</t>
        </is>
      </c>
      <c r="E323" t="inlineStr">
        <is>
          <t>TIMRÅ</t>
        </is>
      </c>
      <c r="G323" t="n">
        <v>2.9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27098-2025</t>
        </is>
      </c>
      <c r="B324" s="1" t="n">
        <v>45811.6778125</v>
      </c>
      <c r="C324" s="1" t="n">
        <v>45955</v>
      </c>
      <c r="D324" t="inlineStr">
        <is>
          <t>VÄSTERNORRLANDS LÄN</t>
        </is>
      </c>
      <c r="E324" t="inlineStr">
        <is>
          <t>TIMRÅ</t>
        </is>
      </c>
      <c r="F324" t="inlineStr">
        <is>
          <t>SCA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47608-2025</t>
        </is>
      </c>
      <c r="B325" s="1" t="n">
        <v>45930</v>
      </c>
      <c r="C325" s="1" t="n">
        <v>45955</v>
      </c>
      <c r="D325" t="inlineStr">
        <is>
          <t>VÄSTERNORRLANDS LÄN</t>
        </is>
      </c>
      <c r="E325" t="inlineStr">
        <is>
          <t>TIMRÅ</t>
        </is>
      </c>
      <c r="G325" t="n">
        <v>1.1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11479-2022</t>
        </is>
      </c>
      <c r="B326" s="1" t="n">
        <v>44630.92299768519</v>
      </c>
      <c r="C326" s="1" t="n">
        <v>45955</v>
      </c>
      <c r="D326" t="inlineStr">
        <is>
          <t>VÄSTERNORRLANDS LÄN</t>
        </is>
      </c>
      <c r="E326" t="inlineStr">
        <is>
          <t>TIMRÅ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53301-2024</t>
        </is>
      </c>
      <c r="B327" s="1" t="n">
        <v>45614.3884837963</v>
      </c>
      <c r="C327" s="1" t="n">
        <v>45955</v>
      </c>
      <c r="D327" t="inlineStr">
        <is>
          <t>VÄSTERNORRLANDS LÄN</t>
        </is>
      </c>
      <c r="E327" t="inlineStr">
        <is>
          <t>TIMRÅ</t>
        </is>
      </c>
      <c r="F327" t="inlineStr">
        <is>
          <t>SCA</t>
        </is>
      </c>
      <c r="G327" t="n">
        <v>0.4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28138-2025</t>
        </is>
      </c>
      <c r="B328" s="1" t="n">
        <v>45818.34482638889</v>
      </c>
      <c r="C328" s="1" t="n">
        <v>45955</v>
      </c>
      <c r="D328" t="inlineStr">
        <is>
          <t>VÄSTERNORRLANDS LÄN</t>
        </is>
      </c>
      <c r="E328" t="inlineStr">
        <is>
          <t>TIMRÅ</t>
        </is>
      </c>
      <c r="F328" t="inlineStr">
        <is>
          <t>SCA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47908-2025</t>
        </is>
      </c>
      <c r="B329" s="1" t="n">
        <v>45932.5109837963</v>
      </c>
      <c r="C329" s="1" t="n">
        <v>45955</v>
      </c>
      <c r="D329" t="inlineStr">
        <is>
          <t>VÄSTERNORRLANDS LÄN</t>
        </is>
      </c>
      <c r="E329" t="inlineStr">
        <is>
          <t>TIMRÅ</t>
        </is>
      </c>
      <c r="F329" t="inlineStr">
        <is>
          <t>SCA</t>
        </is>
      </c>
      <c r="G329" t="n">
        <v>9.300000000000001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35939-2023</t>
        </is>
      </c>
      <c r="B330" s="1" t="n">
        <v>45148</v>
      </c>
      <c r="C330" s="1" t="n">
        <v>45955</v>
      </c>
      <c r="D330" t="inlineStr">
        <is>
          <t>VÄSTERNORRLANDS LÄN</t>
        </is>
      </c>
      <c r="E330" t="inlineStr">
        <is>
          <t>TIMRÅ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45673-2024</t>
        </is>
      </c>
      <c r="B331" s="1" t="n">
        <v>45579.51072916666</v>
      </c>
      <c r="C331" s="1" t="n">
        <v>45955</v>
      </c>
      <c r="D331" t="inlineStr">
        <is>
          <t>VÄSTERNORRLANDS LÄN</t>
        </is>
      </c>
      <c r="E331" t="inlineStr">
        <is>
          <t>TIMRÅ</t>
        </is>
      </c>
      <c r="F331" t="inlineStr">
        <is>
          <t>SCA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56723-2022</t>
        </is>
      </c>
      <c r="B332" s="1" t="n">
        <v>44893.9297337963</v>
      </c>
      <c r="C332" s="1" t="n">
        <v>45955</v>
      </c>
      <c r="D332" t="inlineStr">
        <is>
          <t>VÄSTERNORRLANDS LÄN</t>
        </is>
      </c>
      <c r="E332" t="inlineStr">
        <is>
          <t>TIMRÅ</t>
        </is>
      </c>
      <c r="G332" t="n">
        <v>1.7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44011-2024</t>
        </is>
      </c>
      <c r="B333" s="1" t="n">
        <v>45572.55322916667</v>
      </c>
      <c r="C333" s="1" t="n">
        <v>45955</v>
      </c>
      <c r="D333" t="inlineStr">
        <is>
          <t>VÄSTERNORRLANDS LÄN</t>
        </is>
      </c>
      <c r="E333" t="inlineStr">
        <is>
          <t>TIMRÅ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48604-2025</t>
        </is>
      </c>
      <c r="B334" s="1" t="n">
        <v>45936.46949074074</v>
      </c>
      <c r="C334" s="1" t="n">
        <v>45955</v>
      </c>
      <c r="D334" t="inlineStr">
        <is>
          <t>VÄSTERNORRLANDS LÄN</t>
        </is>
      </c>
      <c r="E334" t="inlineStr">
        <is>
          <t>TIMRÅ</t>
        </is>
      </c>
      <c r="F334" t="inlineStr">
        <is>
          <t>SCA</t>
        </is>
      </c>
      <c r="G334" t="n">
        <v>4.4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40192-2025</t>
        </is>
      </c>
      <c r="B335" s="1" t="n">
        <v>45894.65702546296</v>
      </c>
      <c r="C335" s="1" t="n">
        <v>45955</v>
      </c>
      <c r="D335" t="inlineStr">
        <is>
          <t>VÄSTERNORRLANDS LÄN</t>
        </is>
      </c>
      <c r="E335" t="inlineStr">
        <is>
          <t>TIMRÅ</t>
        </is>
      </c>
      <c r="F335" t="inlineStr">
        <is>
          <t>SCA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27696-2025</t>
        </is>
      </c>
      <c r="B336" s="1" t="n">
        <v>45813</v>
      </c>
      <c r="C336" s="1" t="n">
        <v>45955</v>
      </c>
      <c r="D336" t="inlineStr">
        <is>
          <t>VÄSTERNORRLANDS LÄN</t>
        </is>
      </c>
      <c r="E336" t="inlineStr">
        <is>
          <t>TIMRÅ</t>
        </is>
      </c>
      <c r="G336" t="n">
        <v>6.3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45720-2024</t>
        </is>
      </c>
      <c r="B337" s="1" t="n">
        <v>45579.59424768519</v>
      </c>
      <c r="C337" s="1" t="n">
        <v>45955</v>
      </c>
      <c r="D337" t="inlineStr">
        <is>
          <t>VÄSTERNORRLANDS LÄN</t>
        </is>
      </c>
      <c r="E337" t="inlineStr">
        <is>
          <t>TIMRÅ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28405-2025</t>
        </is>
      </c>
      <c r="B338" s="1" t="n">
        <v>45819.34549768519</v>
      </c>
      <c r="C338" s="1" t="n">
        <v>45955</v>
      </c>
      <c r="D338" t="inlineStr">
        <is>
          <t>VÄSTERNORRLANDS LÄN</t>
        </is>
      </c>
      <c r="E338" t="inlineStr">
        <is>
          <t>TIMRÅ</t>
        </is>
      </c>
      <c r="F338" t="inlineStr">
        <is>
          <t>SCA</t>
        </is>
      </c>
      <c r="G338" t="n">
        <v>3.8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17040-2022</t>
        </is>
      </c>
      <c r="B339" s="1" t="n">
        <v>44676</v>
      </c>
      <c r="C339" s="1" t="n">
        <v>45955</v>
      </c>
      <c r="D339" t="inlineStr">
        <is>
          <t>VÄSTERNORRLANDS LÄN</t>
        </is>
      </c>
      <c r="E339" t="inlineStr">
        <is>
          <t>TIMRÅ</t>
        </is>
      </c>
      <c r="G339" t="n">
        <v>3.5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41596-2024</t>
        </is>
      </c>
      <c r="B340" s="1" t="n">
        <v>45560.57388888889</v>
      </c>
      <c r="C340" s="1" t="n">
        <v>45955</v>
      </c>
      <c r="D340" t="inlineStr">
        <is>
          <t>VÄSTERNORRLANDS LÄN</t>
        </is>
      </c>
      <c r="E340" t="inlineStr">
        <is>
          <t>TIMRÅ</t>
        </is>
      </c>
      <c r="F340" t="inlineStr">
        <is>
          <t>SCA</t>
        </is>
      </c>
      <c r="G340" t="n">
        <v>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29186-2025</t>
        </is>
      </c>
      <c r="B341" s="1" t="n">
        <v>45821</v>
      </c>
      <c r="C341" s="1" t="n">
        <v>45955</v>
      </c>
      <c r="D341" t="inlineStr">
        <is>
          <t>VÄSTERNORRLANDS LÄN</t>
        </is>
      </c>
      <c r="E341" t="inlineStr">
        <is>
          <t>TIMRÅ</t>
        </is>
      </c>
      <c r="G341" t="n">
        <v>7.1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28674-2025</t>
        </is>
      </c>
      <c r="B342" s="1" t="n">
        <v>45819.67739583334</v>
      </c>
      <c r="C342" s="1" t="n">
        <v>45955</v>
      </c>
      <c r="D342" t="inlineStr">
        <is>
          <t>VÄSTERNORRLANDS LÄN</t>
        </is>
      </c>
      <c r="E342" t="inlineStr">
        <is>
          <t>TIMRÅ</t>
        </is>
      </c>
      <c r="F342" t="inlineStr">
        <is>
          <t>SCA</t>
        </is>
      </c>
      <c r="G342" t="n">
        <v>2.4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40483-2025</t>
        </is>
      </c>
      <c r="B343" s="1" t="n">
        <v>45895</v>
      </c>
      <c r="C343" s="1" t="n">
        <v>45955</v>
      </c>
      <c r="D343" t="inlineStr">
        <is>
          <t>VÄSTERNORRLANDS LÄN</t>
        </is>
      </c>
      <c r="E343" t="inlineStr">
        <is>
          <t>TIMRÅ</t>
        </is>
      </c>
      <c r="G343" t="n">
        <v>3.1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45630-2024</t>
        </is>
      </c>
      <c r="B344" s="1" t="n">
        <v>45579.46971064815</v>
      </c>
      <c r="C344" s="1" t="n">
        <v>45955</v>
      </c>
      <c r="D344" t="inlineStr">
        <is>
          <t>VÄSTERNORRLANDS LÄN</t>
        </is>
      </c>
      <c r="E344" t="inlineStr">
        <is>
          <t>TIMRÅ</t>
        </is>
      </c>
      <c r="F344" t="inlineStr">
        <is>
          <t>SCA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29437-2025</t>
        </is>
      </c>
      <c r="B345" s="1" t="n">
        <v>45824.6578125</v>
      </c>
      <c r="C345" s="1" t="n">
        <v>45955</v>
      </c>
      <c r="D345" t="inlineStr">
        <is>
          <t>VÄSTERNORRLANDS LÄN</t>
        </is>
      </c>
      <c r="E345" t="inlineStr">
        <is>
          <t>TIMRÅ</t>
        </is>
      </c>
      <c r="G345" t="n">
        <v>4.5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29190-2025</t>
        </is>
      </c>
      <c r="B346" s="1" t="n">
        <v>45822.42746527777</v>
      </c>
      <c r="C346" s="1" t="n">
        <v>45955</v>
      </c>
      <c r="D346" t="inlineStr">
        <is>
          <t>VÄSTERNORRLANDS LÄN</t>
        </is>
      </c>
      <c r="E346" t="inlineStr">
        <is>
          <t>TIMRÅ</t>
        </is>
      </c>
      <c r="F346" t="inlineStr">
        <is>
          <t>SCA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8632-2023</t>
        </is>
      </c>
      <c r="B347" s="1" t="n">
        <v>44977.934375</v>
      </c>
      <c r="C347" s="1" t="n">
        <v>45955</v>
      </c>
      <c r="D347" t="inlineStr">
        <is>
          <t>VÄSTERNORRLANDS LÄN</t>
        </is>
      </c>
      <c r="E347" t="inlineStr">
        <is>
          <t>TIMRÅ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29480-2025</t>
        </is>
      </c>
      <c r="B348" s="1" t="n">
        <v>45824.71908564815</v>
      </c>
      <c r="C348" s="1" t="n">
        <v>45955</v>
      </c>
      <c r="D348" t="inlineStr">
        <is>
          <t>VÄSTERNORRLANDS LÄN</t>
        </is>
      </c>
      <c r="E348" t="inlineStr">
        <is>
          <t>TIMRÅ</t>
        </is>
      </c>
      <c r="F348" t="inlineStr">
        <is>
          <t>SCA</t>
        </is>
      </c>
      <c r="G348" t="n">
        <v>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22486-2024</t>
        </is>
      </c>
      <c r="B349" s="1" t="n">
        <v>45446</v>
      </c>
      <c r="C349" s="1" t="n">
        <v>45955</v>
      </c>
      <c r="D349" t="inlineStr">
        <is>
          <t>VÄSTERNORRLANDS LÄN</t>
        </is>
      </c>
      <c r="E349" t="inlineStr">
        <is>
          <t>TIMRÅ</t>
        </is>
      </c>
      <c r="G349" t="n">
        <v>6.8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13343-2024</t>
        </is>
      </c>
      <c r="B350" s="1" t="n">
        <v>45386.94517361111</v>
      </c>
      <c r="C350" s="1" t="n">
        <v>45955</v>
      </c>
      <c r="D350" t="inlineStr">
        <is>
          <t>VÄSTERNORRLANDS LÄN</t>
        </is>
      </c>
      <c r="E350" t="inlineStr">
        <is>
          <t>TIMRÅ</t>
        </is>
      </c>
      <c r="F350" t="inlineStr">
        <is>
          <t>SCA</t>
        </is>
      </c>
      <c r="G350" t="n">
        <v>6.8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29191-2025</t>
        </is>
      </c>
      <c r="B351" s="1" t="n">
        <v>45822.42765046296</v>
      </c>
      <c r="C351" s="1" t="n">
        <v>45955</v>
      </c>
      <c r="D351" t="inlineStr">
        <is>
          <t>VÄSTERNORRLANDS LÄN</t>
        </is>
      </c>
      <c r="E351" t="inlineStr">
        <is>
          <t>TIMRÅ</t>
        </is>
      </c>
      <c r="F351" t="inlineStr">
        <is>
          <t>SCA</t>
        </is>
      </c>
      <c r="G351" t="n">
        <v>17.5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49257-2025</t>
        </is>
      </c>
      <c r="B352" s="1" t="n">
        <v>45938.49212962963</v>
      </c>
      <c r="C352" s="1" t="n">
        <v>45955</v>
      </c>
      <c r="D352" t="inlineStr">
        <is>
          <t>VÄSTERNORRLANDS LÄN</t>
        </is>
      </c>
      <c r="E352" t="inlineStr">
        <is>
          <t>TIMRÅ</t>
        </is>
      </c>
      <c r="F352" t="inlineStr">
        <is>
          <t>SCA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19341-2025</t>
        </is>
      </c>
      <c r="B353" s="1" t="n">
        <v>45769.59504629629</v>
      </c>
      <c r="C353" s="1" t="n">
        <v>45955</v>
      </c>
      <c r="D353" t="inlineStr">
        <is>
          <t>VÄSTERNORRLANDS LÄN</t>
        </is>
      </c>
      <c r="E353" t="inlineStr">
        <is>
          <t>TIMRÅ</t>
        </is>
      </c>
      <c r="F353" t="inlineStr">
        <is>
          <t>SCA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54322-2024</t>
        </is>
      </c>
      <c r="B354" s="1" t="n">
        <v>45617</v>
      </c>
      <c r="C354" s="1" t="n">
        <v>45955</v>
      </c>
      <c r="D354" t="inlineStr">
        <is>
          <t>VÄSTERNORRLANDS LÄN</t>
        </is>
      </c>
      <c r="E354" t="inlineStr">
        <is>
          <t>TIMRÅ</t>
        </is>
      </c>
      <c r="G354" t="n">
        <v>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43006-2024</t>
        </is>
      </c>
      <c r="B355" s="1" t="n">
        <v>45567.38202546296</v>
      </c>
      <c r="C355" s="1" t="n">
        <v>45955</v>
      </c>
      <c r="D355" t="inlineStr">
        <is>
          <t>VÄSTERNORRLANDS LÄN</t>
        </is>
      </c>
      <c r="E355" t="inlineStr">
        <is>
          <t>TIMRÅ</t>
        </is>
      </c>
      <c r="F355" t="inlineStr">
        <is>
          <t>SCA</t>
        </is>
      </c>
      <c r="G355" t="n">
        <v>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40484-2025</t>
        </is>
      </c>
      <c r="B356" s="1" t="n">
        <v>45895</v>
      </c>
      <c r="C356" s="1" t="n">
        <v>45955</v>
      </c>
      <c r="D356" t="inlineStr">
        <is>
          <t>VÄSTERNORRLANDS LÄN</t>
        </is>
      </c>
      <c r="E356" t="inlineStr">
        <is>
          <t>TIMRÅ</t>
        </is>
      </c>
      <c r="G356" t="n">
        <v>1.1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20837-2023</t>
        </is>
      </c>
      <c r="B357" s="1" t="n">
        <v>45058.68621527778</v>
      </c>
      <c r="C357" s="1" t="n">
        <v>45955</v>
      </c>
      <c r="D357" t="inlineStr">
        <is>
          <t>VÄSTERNORRLANDS LÄN</t>
        </is>
      </c>
      <c r="E357" t="inlineStr">
        <is>
          <t>TIMRÅ</t>
        </is>
      </c>
      <c r="G357" t="n">
        <v>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49057-2025</t>
        </is>
      </c>
      <c r="B358" s="1" t="n">
        <v>45937.64086805555</v>
      </c>
      <c r="C358" s="1" t="n">
        <v>45955</v>
      </c>
      <c r="D358" t="inlineStr">
        <is>
          <t>VÄSTERNORRLANDS LÄN</t>
        </is>
      </c>
      <c r="E358" t="inlineStr">
        <is>
          <t>TIMRÅ</t>
        </is>
      </c>
      <c r="F358" t="inlineStr">
        <is>
          <t>SCA</t>
        </is>
      </c>
      <c r="G358" t="n">
        <v>4.5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48849-2025</t>
        </is>
      </c>
      <c r="B359" s="1" t="n">
        <v>45937.42913194445</v>
      </c>
      <c r="C359" s="1" t="n">
        <v>45955</v>
      </c>
      <c r="D359" t="inlineStr">
        <is>
          <t>VÄSTERNORRLANDS LÄN</t>
        </is>
      </c>
      <c r="E359" t="inlineStr">
        <is>
          <t>TIMRÅ</t>
        </is>
      </c>
      <c r="F359" t="inlineStr">
        <is>
          <t>SCA</t>
        </is>
      </c>
      <c r="G359" t="n">
        <v>5.9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14955-2025</t>
        </is>
      </c>
      <c r="B360" s="1" t="n">
        <v>45743</v>
      </c>
      <c r="C360" s="1" t="n">
        <v>45955</v>
      </c>
      <c r="D360" t="inlineStr">
        <is>
          <t>VÄSTERNORRLANDS LÄN</t>
        </is>
      </c>
      <c r="E360" t="inlineStr">
        <is>
          <t>TIMRÅ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43568-2024</t>
        </is>
      </c>
      <c r="B361" s="1" t="n">
        <v>45569.40684027778</v>
      </c>
      <c r="C361" s="1" t="n">
        <v>45955</v>
      </c>
      <c r="D361" t="inlineStr">
        <is>
          <t>VÄSTERNORRLANDS LÄN</t>
        </is>
      </c>
      <c r="E361" t="inlineStr">
        <is>
          <t>TIMRÅ</t>
        </is>
      </c>
      <c r="F361" t="inlineStr">
        <is>
          <t>SCA</t>
        </is>
      </c>
      <c r="G361" t="n">
        <v>1.4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30315-2025</t>
        </is>
      </c>
      <c r="B362" s="1" t="n">
        <v>45827.49060185185</v>
      </c>
      <c r="C362" s="1" t="n">
        <v>45955</v>
      </c>
      <c r="D362" t="inlineStr">
        <is>
          <t>VÄSTERNORRLANDS LÄN</t>
        </is>
      </c>
      <c r="E362" t="inlineStr">
        <is>
          <t>TIMRÅ</t>
        </is>
      </c>
      <c r="F362" t="inlineStr">
        <is>
          <t>SCA</t>
        </is>
      </c>
      <c r="G362" t="n">
        <v>9.800000000000001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49058-2025</t>
        </is>
      </c>
      <c r="B363" s="1" t="n">
        <v>45937.64094907408</v>
      </c>
      <c r="C363" s="1" t="n">
        <v>45955</v>
      </c>
      <c r="D363" t="inlineStr">
        <is>
          <t>VÄSTERNORRLANDS LÄN</t>
        </is>
      </c>
      <c r="E363" t="inlineStr">
        <is>
          <t>TIMRÅ</t>
        </is>
      </c>
      <c r="F363" t="inlineStr">
        <is>
          <t>SCA</t>
        </is>
      </c>
      <c r="G363" t="n">
        <v>0.8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13341-2024</t>
        </is>
      </c>
      <c r="B364" s="1" t="n">
        <v>45386.94486111111</v>
      </c>
      <c r="C364" s="1" t="n">
        <v>45955</v>
      </c>
      <c r="D364" t="inlineStr">
        <is>
          <t>VÄSTERNORRLANDS LÄN</t>
        </is>
      </c>
      <c r="E364" t="inlineStr">
        <is>
          <t>TIMRÅ</t>
        </is>
      </c>
      <c r="F364" t="inlineStr">
        <is>
          <t>SCA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30816-2025</t>
        </is>
      </c>
      <c r="B365" s="1" t="n">
        <v>45831.66094907407</v>
      </c>
      <c r="C365" s="1" t="n">
        <v>45955</v>
      </c>
      <c r="D365" t="inlineStr">
        <is>
          <t>VÄSTERNORRLANDS LÄN</t>
        </is>
      </c>
      <c r="E365" t="inlineStr">
        <is>
          <t>TIMRÅ</t>
        </is>
      </c>
      <c r="G365" t="n">
        <v>3.4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61484-2024</t>
        </is>
      </c>
      <c r="B366" s="1" t="n">
        <v>45646.53160879629</v>
      </c>
      <c r="C366" s="1" t="n">
        <v>45955</v>
      </c>
      <c r="D366" t="inlineStr">
        <is>
          <t>VÄSTERNORRLANDS LÄN</t>
        </is>
      </c>
      <c r="E366" t="inlineStr">
        <is>
          <t>TIMRÅ</t>
        </is>
      </c>
      <c r="F366" t="inlineStr">
        <is>
          <t>SCA</t>
        </is>
      </c>
      <c r="G366" t="n">
        <v>8.699999999999999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43113-2023</t>
        </is>
      </c>
      <c r="B367" s="1" t="n">
        <v>45182</v>
      </c>
      <c r="C367" s="1" t="n">
        <v>45955</v>
      </c>
      <c r="D367" t="inlineStr">
        <is>
          <t>VÄSTERNORRLANDS LÄN</t>
        </is>
      </c>
      <c r="E367" t="inlineStr">
        <is>
          <t>TIMRÅ</t>
        </is>
      </c>
      <c r="F367" t="inlineStr">
        <is>
          <t>SCA</t>
        </is>
      </c>
      <c r="G367" t="n">
        <v>2.1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49575-2025</t>
        </is>
      </c>
      <c r="B368" s="1" t="n">
        <v>45939.49052083334</v>
      </c>
      <c r="C368" s="1" t="n">
        <v>45955</v>
      </c>
      <c r="D368" t="inlineStr">
        <is>
          <t>VÄSTERNORRLANDS LÄN</t>
        </is>
      </c>
      <c r="E368" t="inlineStr">
        <is>
          <t>TIMRÅ</t>
        </is>
      </c>
      <c r="F368" t="inlineStr">
        <is>
          <t>SCA</t>
        </is>
      </c>
      <c r="G368" t="n">
        <v>8.5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57316-2024</t>
        </is>
      </c>
      <c r="B369" s="1" t="n">
        <v>45629.61498842593</v>
      </c>
      <c r="C369" s="1" t="n">
        <v>45955</v>
      </c>
      <c r="D369" t="inlineStr">
        <is>
          <t>VÄSTERNORRLANDS LÄN</t>
        </is>
      </c>
      <c r="E369" t="inlineStr">
        <is>
          <t>TIMRÅ</t>
        </is>
      </c>
      <c r="F369" t="inlineStr">
        <is>
          <t>SCA</t>
        </is>
      </c>
      <c r="G369" t="n">
        <v>5.7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30827-2025</t>
        </is>
      </c>
      <c r="B370" s="1" t="n">
        <v>45831.67759259259</v>
      </c>
      <c r="C370" s="1" t="n">
        <v>45955</v>
      </c>
      <c r="D370" t="inlineStr">
        <is>
          <t>VÄSTERNORRLANDS LÄN</t>
        </is>
      </c>
      <c r="E370" t="inlineStr">
        <is>
          <t>TIMRÅ</t>
        </is>
      </c>
      <c r="F370" t="inlineStr">
        <is>
          <t>SCA</t>
        </is>
      </c>
      <c r="G370" t="n">
        <v>14.8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55576-2024</t>
        </is>
      </c>
      <c r="B371" s="1" t="n">
        <v>45622</v>
      </c>
      <c r="C371" s="1" t="n">
        <v>45955</v>
      </c>
      <c r="D371" t="inlineStr">
        <is>
          <t>VÄSTERNORRLANDS LÄN</t>
        </is>
      </c>
      <c r="E371" t="inlineStr">
        <is>
          <t>TIMRÅ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49751-2025</t>
        </is>
      </c>
      <c r="B372" s="1" t="n">
        <v>45940.34512731482</v>
      </c>
      <c r="C372" s="1" t="n">
        <v>45955</v>
      </c>
      <c r="D372" t="inlineStr">
        <is>
          <t>VÄSTERNORRLANDS LÄN</t>
        </is>
      </c>
      <c r="E372" t="inlineStr">
        <is>
          <t>TIMRÅ</t>
        </is>
      </c>
      <c r="F372" t="inlineStr">
        <is>
          <t>SCA</t>
        </is>
      </c>
      <c r="G372" t="n">
        <v>2.9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4123-2023</t>
        </is>
      </c>
      <c r="B373" s="1" t="n">
        <v>44952</v>
      </c>
      <c r="C373" s="1" t="n">
        <v>45955</v>
      </c>
      <c r="D373" t="inlineStr">
        <is>
          <t>VÄSTERNORRLANDS LÄN</t>
        </is>
      </c>
      <c r="E373" t="inlineStr">
        <is>
          <t>TIMRÅ</t>
        </is>
      </c>
      <c r="G373" t="n">
        <v>9.5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4125-2023</t>
        </is>
      </c>
      <c r="B374" s="1" t="n">
        <v>44952</v>
      </c>
      <c r="C374" s="1" t="n">
        <v>45955</v>
      </c>
      <c r="D374" t="inlineStr">
        <is>
          <t>VÄSTERNORRLANDS LÄN</t>
        </is>
      </c>
      <c r="E374" t="inlineStr">
        <is>
          <t>TIMRÅ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41098-2025</t>
        </is>
      </c>
      <c r="B375" s="1" t="n">
        <v>45898.44826388889</v>
      </c>
      <c r="C375" s="1" t="n">
        <v>45955</v>
      </c>
      <c r="D375" t="inlineStr">
        <is>
          <t>VÄSTERNORRLANDS LÄN</t>
        </is>
      </c>
      <c r="E375" t="inlineStr">
        <is>
          <t>TIMRÅ</t>
        </is>
      </c>
      <c r="G375" t="n">
        <v>0.7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49509-2025</t>
        </is>
      </c>
      <c r="B376" s="1" t="n">
        <v>45939.37962962963</v>
      </c>
      <c r="C376" s="1" t="n">
        <v>45955</v>
      </c>
      <c r="D376" t="inlineStr">
        <is>
          <t>VÄSTERNORRLANDS LÄN</t>
        </is>
      </c>
      <c r="E376" t="inlineStr">
        <is>
          <t>TIMRÅ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31351-2025</t>
        </is>
      </c>
      <c r="B377" s="1" t="n">
        <v>45833.42950231482</v>
      </c>
      <c r="C377" s="1" t="n">
        <v>45955</v>
      </c>
      <c r="D377" t="inlineStr">
        <is>
          <t>VÄSTERNORRLANDS LÄN</t>
        </is>
      </c>
      <c r="E377" t="inlineStr">
        <is>
          <t>TIMRÅ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49646-2025</t>
        </is>
      </c>
      <c r="B378" s="1" t="n">
        <v>45939.61747685185</v>
      </c>
      <c r="C378" s="1" t="n">
        <v>45955</v>
      </c>
      <c r="D378" t="inlineStr">
        <is>
          <t>VÄSTERNORRLANDS LÄN</t>
        </is>
      </c>
      <c r="E378" t="inlineStr">
        <is>
          <t>TIMRÅ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31370-2025</t>
        </is>
      </c>
      <c r="B379" s="1" t="n">
        <v>45833.44155092593</v>
      </c>
      <c r="C379" s="1" t="n">
        <v>45955</v>
      </c>
      <c r="D379" t="inlineStr">
        <is>
          <t>VÄSTERNORRLANDS LÄN</t>
        </is>
      </c>
      <c r="E379" t="inlineStr">
        <is>
          <t>TIMRÅ</t>
        </is>
      </c>
      <c r="G379" t="n">
        <v>0.5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7966-2022</t>
        </is>
      </c>
      <c r="B380" s="1" t="n">
        <v>44608</v>
      </c>
      <c r="C380" s="1" t="n">
        <v>45955</v>
      </c>
      <c r="D380" t="inlineStr">
        <is>
          <t>VÄSTERNORRLANDS LÄN</t>
        </is>
      </c>
      <c r="E380" t="inlineStr">
        <is>
          <t>TIMRÅ</t>
        </is>
      </c>
      <c r="F380" t="inlineStr">
        <is>
          <t>SCA</t>
        </is>
      </c>
      <c r="G380" t="n">
        <v>8.199999999999999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41097-2025</t>
        </is>
      </c>
      <c r="B381" s="1" t="n">
        <v>45898.44824074074</v>
      </c>
      <c r="C381" s="1" t="n">
        <v>45955</v>
      </c>
      <c r="D381" t="inlineStr">
        <is>
          <t>VÄSTERNORRLANDS LÄN</t>
        </is>
      </c>
      <c r="E381" t="inlineStr">
        <is>
          <t>TIMRÅ</t>
        </is>
      </c>
      <c r="G381" t="n">
        <v>0.3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9202-2022</t>
        </is>
      </c>
      <c r="B382" s="1" t="n">
        <v>44615</v>
      </c>
      <c r="C382" s="1" t="n">
        <v>45955</v>
      </c>
      <c r="D382" t="inlineStr">
        <is>
          <t>VÄSTERNORRLANDS LÄN</t>
        </is>
      </c>
      <c r="E382" t="inlineStr">
        <is>
          <t>TIMRÅ</t>
        </is>
      </c>
      <c r="G382" t="n">
        <v>2.1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9203-2022</t>
        </is>
      </c>
      <c r="B383" s="1" t="n">
        <v>44615</v>
      </c>
      <c r="C383" s="1" t="n">
        <v>45955</v>
      </c>
      <c r="D383" t="inlineStr">
        <is>
          <t>VÄSTERNORRLANDS LÄN</t>
        </is>
      </c>
      <c r="E383" t="inlineStr">
        <is>
          <t>TIMRÅ</t>
        </is>
      </c>
      <c r="G383" t="n">
        <v>5.5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31325-2025</t>
        </is>
      </c>
      <c r="B384" s="1" t="n">
        <v>45833.41020833333</v>
      </c>
      <c r="C384" s="1" t="n">
        <v>45955</v>
      </c>
      <c r="D384" t="inlineStr">
        <is>
          <t>VÄSTERNORRLANDS LÄN</t>
        </is>
      </c>
      <c r="E384" t="inlineStr">
        <is>
          <t>TIMRÅ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31353-2025</t>
        </is>
      </c>
      <c r="B385" s="1" t="n">
        <v>45833.43015046296</v>
      </c>
      <c r="C385" s="1" t="n">
        <v>45955</v>
      </c>
      <c r="D385" t="inlineStr">
        <is>
          <t>VÄSTERNORRLANDS LÄN</t>
        </is>
      </c>
      <c r="E385" t="inlineStr">
        <is>
          <t>TIMRÅ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31375-2025</t>
        </is>
      </c>
      <c r="B386" s="1" t="n">
        <v>45833.44674768519</v>
      </c>
      <c r="C386" s="1" t="n">
        <v>45955</v>
      </c>
      <c r="D386" t="inlineStr">
        <is>
          <t>VÄSTERNORRLANDS LÄN</t>
        </is>
      </c>
      <c r="E386" t="inlineStr">
        <is>
          <t>TIMRÅ</t>
        </is>
      </c>
      <c r="G386" t="n">
        <v>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31339-2025</t>
        </is>
      </c>
      <c r="B387" s="1" t="n">
        <v>45833.42782407408</v>
      </c>
      <c r="C387" s="1" t="n">
        <v>45955</v>
      </c>
      <c r="D387" t="inlineStr">
        <is>
          <t>VÄSTERNORRLANDS LÄN</t>
        </is>
      </c>
      <c r="E387" t="inlineStr">
        <is>
          <t>TIMRÅ</t>
        </is>
      </c>
      <c r="F387" t="inlineStr">
        <is>
          <t>SCA</t>
        </is>
      </c>
      <c r="G387" t="n">
        <v>1.4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31734-2025</t>
        </is>
      </c>
      <c r="B388" s="1" t="n">
        <v>45834.47052083333</v>
      </c>
      <c r="C388" s="1" t="n">
        <v>45955</v>
      </c>
      <c r="D388" t="inlineStr">
        <is>
          <t>VÄSTERNORRLANDS LÄN</t>
        </is>
      </c>
      <c r="E388" t="inlineStr">
        <is>
          <t>TIMRÅ</t>
        </is>
      </c>
      <c r="F388" t="inlineStr">
        <is>
          <t>SCA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49512-2025</t>
        </is>
      </c>
      <c r="B389" s="1" t="n">
        <v>45939.38305555555</v>
      </c>
      <c r="C389" s="1" t="n">
        <v>45955</v>
      </c>
      <c r="D389" t="inlineStr">
        <is>
          <t>VÄSTERNORRLANDS LÄN</t>
        </is>
      </c>
      <c r="E389" t="inlineStr">
        <is>
          <t>TIMRÅ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32366-2025</t>
        </is>
      </c>
      <c r="B390" s="1" t="n">
        <v>45837.65679398148</v>
      </c>
      <c r="C390" s="1" t="n">
        <v>45955</v>
      </c>
      <c r="D390" t="inlineStr">
        <is>
          <t>VÄSTERNORRLANDS LÄN</t>
        </is>
      </c>
      <c r="E390" t="inlineStr">
        <is>
          <t>TIMRÅ</t>
        </is>
      </c>
      <c r="F390" t="inlineStr">
        <is>
          <t>SCA</t>
        </is>
      </c>
      <c r="G390" t="n">
        <v>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41077-2025</t>
        </is>
      </c>
      <c r="B391" s="1" t="n">
        <v>45898.42746527777</v>
      </c>
      <c r="C391" s="1" t="n">
        <v>45955</v>
      </c>
      <c r="D391" t="inlineStr">
        <is>
          <t>VÄSTERNORRLANDS LÄN</t>
        </is>
      </c>
      <c r="E391" t="inlineStr">
        <is>
          <t>TIMRÅ</t>
        </is>
      </c>
      <c r="F391" t="inlineStr">
        <is>
          <t>SCA</t>
        </is>
      </c>
      <c r="G391" t="n">
        <v>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  <c r="U391">
        <f>HYPERLINK("https://klasma.github.io/Logging_2262/knärot/A 41077-2025 karta knärot.png", "A 41077-2025")</f>
        <v/>
      </c>
      <c r="V391">
        <f>HYPERLINK("https://klasma.github.io/Logging_2262/klagomål/A 41077-2025 FSC-klagomål.docx", "A 41077-2025")</f>
        <v/>
      </c>
      <c r="W391">
        <f>HYPERLINK("https://klasma.github.io/Logging_2262/klagomålsmail/A 41077-2025 FSC-klagomål mail.docx", "A 41077-2025")</f>
        <v/>
      </c>
      <c r="X391">
        <f>HYPERLINK("https://klasma.github.io/Logging_2262/tillsyn/A 41077-2025 tillsynsbegäran.docx", "A 41077-2025")</f>
        <v/>
      </c>
      <c r="Y391">
        <f>HYPERLINK("https://klasma.github.io/Logging_2262/tillsynsmail/A 41077-2025 tillsynsbegäran mail.docx", "A 41077-2025")</f>
        <v/>
      </c>
    </row>
    <row r="392" ht="15" customHeight="1">
      <c r="A392" t="inlineStr">
        <is>
          <t>A 40717-2025</t>
        </is>
      </c>
      <c r="B392" s="1" t="n">
        <v>45897.34467592592</v>
      </c>
      <c r="C392" s="1" t="n">
        <v>45955</v>
      </c>
      <c r="D392" t="inlineStr">
        <is>
          <t>VÄSTERNORRLANDS LÄN</t>
        </is>
      </c>
      <c r="E392" t="inlineStr">
        <is>
          <t>TIMRÅ</t>
        </is>
      </c>
      <c r="F392" t="inlineStr">
        <is>
          <t>SCA</t>
        </is>
      </c>
      <c r="G392" t="n">
        <v>1.9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32375-2025</t>
        </is>
      </c>
      <c r="B393" s="1" t="n">
        <v>45837.71907407408</v>
      </c>
      <c r="C393" s="1" t="n">
        <v>45955</v>
      </c>
      <c r="D393" t="inlineStr">
        <is>
          <t>VÄSTERNORRLANDS LÄN</t>
        </is>
      </c>
      <c r="E393" t="inlineStr">
        <is>
          <t>TIMRÅ</t>
        </is>
      </c>
      <c r="F393" t="inlineStr">
        <is>
          <t>SCA</t>
        </is>
      </c>
      <c r="G393" t="n">
        <v>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32427-2025</t>
        </is>
      </c>
      <c r="B394" s="1" t="n">
        <v>45838.36493055556</v>
      </c>
      <c r="C394" s="1" t="n">
        <v>45955</v>
      </c>
      <c r="D394" t="inlineStr">
        <is>
          <t>VÄSTERNORRLANDS LÄN</t>
        </is>
      </c>
      <c r="E394" t="inlineStr">
        <is>
          <t>TIMRÅ</t>
        </is>
      </c>
      <c r="F394" t="inlineStr">
        <is>
          <t>SCA</t>
        </is>
      </c>
      <c r="G394" t="n">
        <v>7.9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32373-2025</t>
        </is>
      </c>
      <c r="B395" s="1" t="n">
        <v>45837.69824074074</v>
      </c>
      <c r="C395" s="1" t="n">
        <v>45955</v>
      </c>
      <c r="D395" t="inlineStr">
        <is>
          <t>VÄSTERNORRLANDS LÄN</t>
        </is>
      </c>
      <c r="E395" t="inlineStr">
        <is>
          <t>TIMRÅ</t>
        </is>
      </c>
      <c r="F395" t="inlineStr">
        <is>
          <t>SCA</t>
        </is>
      </c>
      <c r="G395" t="n">
        <v>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50181-2025</t>
        </is>
      </c>
      <c r="B396" s="1" t="n">
        <v>45943.61526620371</v>
      </c>
      <c r="C396" s="1" t="n">
        <v>45955</v>
      </c>
      <c r="D396" t="inlineStr">
        <is>
          <t>VÄSTERNORRLANDS LÄN</t>
        </is>
      </c>
      <c r="E396" t="inlineStr">
        <is>
          <t>TIMRÅ</t>
        </is>
      </c>
      <c r="F396" t="inlineStr">
        <is>
          <t>SCA</t>
        </is>
      </c>
      <c r="G396" t="n">
        <v>5.2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53288-2024</t>
        </is>
      </c>
      <c r="B397" s="1" t="n">
        <v>45614.38604166666</v>
      </c>
      <c r="C397" s="1" t="n">
        <v>45955</v>
      </c>
      <c r="D397" t="inlineStr">
        <is>
          <t>VÄSTERNORRLANDS LÄN</t>
        </is>
      </c>
      <c r="E397" t="inlineStr">
        <is>
          <t>TIMRÅ</t>
        </is>
      </c>
      <c r="F397" t="inlineStr">
        <is>
          <t>SCA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53294-2024</t>
        </is>
      </c>
      <c r="B398" s="1" t="n">
        <v>45614.3875462963</v>
      </c>
      <c r="C398" s="1" t="n">
        <v>45955</v>
      </c>
      <c r="D398" t="inlineStr">
        <is>
          <t>VÄSTERNORRLANDS LÄN</t>
        </is>
      </c>
      <c r="E398" t="inlineStr">
        <is>
          <t>TIMRÅ</t>
        </is>
      </c>
      <c r="F398" t="inlineStr">
        <is>
          <t>SCA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33225-2025</t>
        </is>
      </c>
      <c r="B399" s="1" t="n">
        <v>45840.63600694444</v>
      </c>
      <c r="C399" s="1" t="n">
        <v>45955</v>
      </c>
      <c r="D399" t="inlineStr">
        <is>
          <t>VÄSTERNORRLANDS LÄN</t>
        </is>
      </c>
      <c r="E399" t="inlineStr">
        <is>
          <t>TIMRÅ</t>
        </is>
      </c>
      <c r="F399" t="inlineStr">
        <is>
          <t>SCA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43526-2024</t>
        </is>
      </c>
      <c r="B400" s="1" t="n">
        <v>45569.34474537037</v>
      </c>
      <c r="C400" s="1" t="n">
        <v>45955</v>
      </c>
      <c r="D400" t="inlineStr">
        <is>
          <t>VÄSTERNORRLANDS LÄN</t>
        </is>
      </c>
      <c r="E400" t="inlineStr">
        <is>
          <t>TIMRÅ</t>
        </is>
      </c>
      <c r="F400" t="inlineStr">
        <is>
          <t>SCA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45586-2024</t>
        </is>
      </c>
      <c r="B401" s="1" t="n">
        <v>45579.40659722222</v>
      </c>
      <c r="C401" s="1" t="n">
        <v>45955</v>
      </c>
      <c r="D401" t="inlineStr">
        <is>
          <t>VÄSTERNORRLANDS LÄN</t>
        </is>
      </c>
      <c r="E401" t="inlineStr">
        <is>
          <t>TIMRÅ</t>
        </is>
      </c>
      <c r="F401" t="inlineStr">
        <is>
          <t>SCA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33044-2025</t>
        </is>
      </c>
      <c r="B402" s="1" t="n">
        <v>45840.40699074074</v>
      </c>
      <c r="C402" s="1" t="n">
        <v>45955</v>
      </c>
      <c r="D402" t="inlineStr">
        <is>
          <t>VÄSTERNORRLANDS LÄN</t>
        </is>
      </c>
      <c r="E402" t="inlineStr">
        <is>
          <t>TIMRÅ</t>
        </is>
      </c>
      <c r="G402" t="n">
        <v>0.3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33043-2025</t>
        </is>
      </c>
      <c r="B403" s="1" t="n">
        <v>45840.40680555555</v>
      </c>
      <c r="C403" s="1" t="n">
        <v>45955</v>
      </c>
      <c r="D403" t="inlineStr">
        <is>
          <t>VÄSTERNORRLANDS LÄN</t>
        </is>
      </c>
      <c r="E403" t="inlineStr">
        <is>
          <t>TIMRÅ</t>
        </is>
      </c>
      <c r="G403" t="n">
        <v>0.7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32912-2025</t>
        </is>
      </c>
      <c r="B404" s="1" t="n">
        <v>45839.63586805556</v>
      </c>
      <c r="C404" s="1" t="n">
        <v>45955</v>
      </c>
      <c r="D404" t="inlineStr">
        <is>
          <t>VÄSTERNORRLANDS LÄN</t>
        </is>
      </c>
      <c r="E404" t="inlineStr">
        <is>
          <t>TIMRÅ</t>
        </is>
      </c>
      <c r="F404" t="inlineStr">
        <is>
          <t>SCA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39048-2023</t>
        </is>
      </c>
      <c r="B405" s="1" t="n">
        <v>45163.92715277777</v>
      </c>
      <c r="C405" s="1" t="n">
        <v>45955</v>
      </c>
      <c r="D405" t="inlineStr">
        <is>
          <t>VÄSTERNORRLANDS LÄN</t>
        </is>
      </c>
      <c r="E405" t="inlineStr">
        <is>
          <t>TIMRÅ</t>
        </is>
      </c>
      <c r="G405" t="n">
        <v>5.1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33112-2025</t>
        </is>
      </c>
      <c r="B406" s="1" t="n">
        <v>45840.48953703704</v>
      </c>
      <c r="C406" s="1" t="n">
        <v>45955</v>
      </c>
      <c r="D406" t="inlineStr">
        <is>
          <t>VÄSTERNORRLANDS LÄN</t>
        </is>
      </c>
      <c r="E406" t="inlineStr">
        <is>
          <t>TIMRÅ</t>
        </is>
      </c>
      <c r="G406" t="n">
        <v>3.5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32964-2025</t>
        </is>
      </c>
      <c r="B407" s="1" t="n">
        <v>45839.71916666667</v>
      </c>
      <c r="C407" s="1" t="n">
        <v>45955</v>
      </c>
      <c r="D407" t="inlineStr">
        <is>
          <t>VÄSTERNORRLANDS LÄN</t>
        </is>
      </c>
      <c r="E407" t="inlineStr">
        <is>
          <t>TIMRÅ</t>
        </is>
      </c>
      <c r="F407" t="inlineStr">
        <is>
          <t>SCA</t>
        </is>
      </c>
      <c r="G407" t="n">
        <v>1.6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31562-2023</t>
        </is>
      </c>
      <c r="B408" s="1" t="n">
        <v>45117</v>
      </c>
      <c r="C408" s="1" t="n">
        <v>45955</v>
      </c>
      <c r="D408" t="inlineStr">
        <is>
          <t>VÄSTERNORRLANDS LÄN</t>
        </is>
      </c>
      <c r="E408" t="inlineStr">
        <is>
          <t>TIMRÅ</t>
        </is>
      </c>
      <c r="G408" t="n">
        <v>3.7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30680-2024</t>
        </is>
      </c>
      <c r="B409" s="1" t="n">
        <v>45495</v>
      </c>
      <c r="C409" s="1" t="n">
        <v>45955</v>
      </c>
      <c r="D409" t="inlineStr">
        <is>
          <t>VÄSTERNORRLANDS LÄN</t>
        </is>
      </c>
      <c r="E409" t="inlineStr">
        <is>
          <t>TIMRÅ</t>
        </is>
      </c>
      <c r="F409" t="inlineStr">
        <is>
          <t>SCA</t>
        </is>
      </c>
      <c r="G409" t="n">
        <v>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56288-2024</t>
        </is>
      </c>
      <c r="B410" s="1" t="n">
        <v>45624.67949074074</v>
      </c>
      <c r="C410" s="1" t="n">
        <v>45955</v>
      </c>
      <c r="D410" t="inlineStr">
        <is>
          <t>VÄSTERNORRLANDS LÄN</t>
        </is>
      </c>
      <c r="E410" t="inlineStr">
        <is>
          <t>TIMRÅ</t>
        </is>
      </c>
      <c r="F410" t="inlineStr">
        <is>
          <t>SCA</t>
        </is>
      </c>
      <c r="G410" t="n">
        <v>4.3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55441-2023</t>
        </is>
      </c>
      <c r="B411" s="1" t="n">
        <v>45231</v>
      </c>
      <c r="C411" s="1" t="n">
        <v>45955</v>
      </c>
      <c r="D411" t="inlineStr">
        <is>
          <t>VÄSTERNORRLANDS LÄN</t>
        </is>
      </c>
      <c r="E411" t="inlineStr">
        <is>
          <t>TIMRÅ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48785-2023</t>
        </is>
      </c>
      <c r="B412" s="1" t="n">
        <v>45208</v>
      </c>
      <c r="C412" s="1" t="n">
        <v>45955</v>
      </c>
      <c r="D412" t="inlineStr">
        <is>
          <t>VÄSTERNORRLANDS LÄN</t>
        </is>
      </c>
      <c r="E412" t="inlineStr">
        <is>
          <t>TIMRÅ</t>
        </is>
      </c>
      <c r="F412" t="inlineStr">
        <is>
          <t>SCA</t>
        </is>
      </c>
      <c r="G412" t="n">
        <v>3.4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58879-2024</t>
        </is>
      </c>
      <c r="B413" s="1" t="n">
        <v>45636.44822916666</v>
      </c>
      <c r="C413" s="1" t="n">
        <v>45955</v>
      </c>
      <c r="D413" t="inlineStr">
        <is>
          <t>VÄSTERNORRLANDS LÄN</t>
        </is>
      </c>
      <c r="E413" t="inlineStr">
        <is>
          <t>TIMRÅ</t>
        </is>
      </c>
      <c r="F413" t="inlineStr">
        <is>
          <t>SCA</t>
        </is>
      </c>
      <c r="G413" t="n">
        <v>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33891-2025</t>
        </is>
      </c>
      <c r="B414" s="1" t="n">
        <v>45842.57388888889</v>
      </c>
      <c r="C414" s="1" t="n">
        <v>45955</v>
      </c>
      <c r="D414" t="inlineStr">
        <is>
          <t>VÄSTERNORRLANDS LÄN</t>
        </is>
      </c>
      <c r="E414" t="inlineStr">
        <is>
          <t>TIMRÅ</t>
        </is>
      </c>
      <c r="G414" t="n">
        <v>2.8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53289-2024</t>
        </is>
      </c>
      <c r="B415" s="1" t="n">
        <v>45614.38622685185</v>
      </c>
      <c r="C415" s="1" t="n">
        <v>45955</v>
      </c>
      <c r="D415" t="inlineStr">
        <is>
          <t>VÄSTERNORRLANDS LÄN</t>
        </is>
      </c>
      <c r="E415" t="inlineStr">
        <is>
          <t>TIMRÅ</t>
        </is>
      </c>
      <c r="F415" t="inlineStr">
        <is>
          <t>SCA</t>
        </is>
      </c>
      <c r="G415" t="n">
        <v>7.8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53292-2024</t>
        </is>
      </c>
      <c r="B416" s="1" t="n">
        <v>45614.38694444444</v>
      </c>
      <c r="C416" s="1" t="n">
        <v>45955</v>
      </c>
      <c r="D416" t="inlineStr">
        <is>
          <t>VÄSTERNORRLANDS LÄN</t>
        </is>
      </c>
      <c r="E416" t="inlineStr">
        <is>
          <t>TIMRÅ</t>
        </is>
      </c>
      <c r="F416" t="inlineStr">
        <is>
          <t>SCA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56442-2024</t>
        </is>
      </c>
      <c r="B417" s="1" t="n">
        <v>45625</v>
      </c>
      <c r="C417" s="1" t="n">
        <v>45955</v>
      </c>
      <c r="D417" t="inlineStr">
        <is>
          <t>VÄSTERNORRLANDS LÄN</t>
        </is>
      </c>
      <c r="E417" t="inlineStr">
        <is>
          <t>TIMRÅ</t>
        </is>
      </c>
      <c r="G417" t="n">
        <v>2.6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25644-2022</t>
        </is>
      </c>
      <c r="B418" s="1" t="n">
        <v>44732</v>
      </c>
      <c r="C418" s="1" t="n">
        <v>45955</v>
      </c>
      <c r="D418" t="inlineStr">
        <is>
          <t>VÄSTERNORRLANDS LÄN</t>
        </is>
      </c>
      <c r="E418" t="inlineStr">
        <is>
          <t>TIMRÅ</t>
        </is>
      </c>
      <c r="F418" t="inlineStr">
        <is>
          <t>SCA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50122-2025</t>
        </is>
      </c>
      <c r="B419" s="1" t="n">
        <v>45943.55063657407</v>
      </c>
      <c r="C419" s="1" t="n">
        <v>45955</v>
      </c>
      <c r="D419" t="inlineStr">
        <is>
          <t>VÄSTERNORRLANDS LÄN</t>
        </is>
      </c>
      <c r="E419" t="inlineStr">
        <is>
          <t>TIMRÅ</t>
        </is>
      </c>
      <c r="G419" t="n">
        <v>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34299-2025</t>
        </is>
      </c>
      <c r="B420" s="1" t="n">
        <v>45846.34501157407</v>
      </c>
      <c r="C420" s="1" t="n">
        <v>45955</v>
      </c>
      <c r="D420" t="inlineStr">
        <is>
          <t>VÄSTERNORRLANDS LÄN</t>
        </is>
      </c>
      <c r="E420" t="inlineStr">
        <is>
          <t>TIMRÅ</t>
        </is>
      </c>
      <c r="F420" t="inlineStr">
        <is>
          <t>SCA</t>
        </is>
      </c>
      <c r="G420" t="n">
        <v>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34229-2025</t>
        </is>
      </c>
      <c r="B421" s="1" t="n">
        <v>45845.65732638889</v>
      </c>
      <c r="C421" s="1" t="n">
        <v>45955</v>
      </c>
      <c r="D421" t="inlineStr">
        <is>
          <t>VÄSTERNORRLANDS LÄN</t>
        </is>
      </c>
      <c r="E421" t="inlineStr">
        <is>
          <t>TIMRÅ</t>
        </is>
      </c>
      <c r="F421" t="inlineStr">
        <is>
          <t>SCA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54723-2024</t>
        </is>
      </c>
      <c r="B422" s="1" t="n">
        <v>45618.43747685185</v>
      </c>
      <c r="C422" s="1" t="n">
        <v>45955</v>
      </c>
      <c r="D422" t="inlineStr">
        <is>
          <t>VÄSTERNORRLANDS LÄN</t>
        </is>
      </c>
      <c r="E422" t="inlineStr">
        <is>
          <t>TIMRÅ</t>
        </is>
      </c>
      <c r="F422" t="inlineStr">
        <is>
          <t>SCA</t>
        </is>
      </c>
      <c r="G422" t="n">
        <v>1.5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60111-2024</t>
        </is>
      </c>
      <c r="B423" s="1" t="n">
        <v>45642</v>
      </c>
      <c r="C423" s="1" t="n">
        <v>45955</v>
      </c>
      <c r="D423" t="inlineStr">
        <is>
          <t>VÄSTERNORRLANDS LÄN</t>
        </is>
      </c>
      <c r="E423" t="inlineStr">
        <is>
          <t>TIMRÅ</t>
        </is>
      </c>
      <c r="F423" t="inlineStr">
        <is>
          <t>SCA</t>
        </is>
      </c>
      <c r="G423" t="n">
        <v>1.6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1842-2025</t>
        </is>
      </c>
      <c r="B424" s="1" t="n">
        <v>45671.57582175926</v>
      </c>
      <c r="C424" s="1" t="n">
        <v>45955</v>
      </c>
      <c r="D424" t="inlineStr">
        <is>
          <t>VÄSTERNORRLANDS LÄN</t>
        </is>
      </c>
      <c r="E424" t="inlineStr">
        <is>
          <t>TIMRÅ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30835-2023</t>
        </is>
      </c>
      <c r="B425" s="1" t="n">
        <v>45112.94381944444</v>
      </c>
      <c r="C425" s="1" t="n">
        <v>45955</v>
      </c>
      <c r="D425" t="inlineStr">
        <is>
          <t>VÄSTERNORRLANDS LÄN</t>
        </is>
      </c>
      <c r="E425" t="inlineStr">
        <is>
          <t>TIMRÅ</t>
        </is>
      </c>
      <c r="F425" t="inlineStr">
        <is>
          <t>SCA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42144-2025</t>
        </is>
      </c>
      <c r="B426" s="1" t="n">
        <v>45904.37346064814</v>
      </c>
      <c r="C426" s="1" t="n">
        <v>45955</v>
      </c>
      <c r="D426" t="inlineStr">
        <is>
          <t>VÄSTERNORRLANDS LÄN</t>
        </is>
      </c>
      <c r="E426" t="inlineStr">
        <is>
          <t>TIMRÅ</t>
        </is>
      </c>
      <c r="G426" t="n">
        <v>2.6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21443-2024</t>
        </is>
      </c>
      <c r="B427" s="1" t="n">
        <v>45441</v>
      </c>
      <c r="C427" s="1" t="n">
        <v>45955</v>
      </c>
      <c r="D427" t="inlineStr">
        <is>
          <t>VÄSTERNORRLANDS LÄN</t>
        </is>
      </c>
      <c r="E427" t="inlineStr">
        <is>
          <t>TIMRÅ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42065-2025</t>
        </is>
      </c>
      <c r="B428" s="1" t="n">
        <v>45903.65372685185</v>
      </c>
      <c r="C428" s="1" t="n">
        <v>45955</v>
      </c>
      <c r="D428" t="inlineStr">
        <is>
          <t>VÄSTERNORRLANDS LÄN</t>
        </is>
      </c>
      <c r="E428" t="inlineStr">
        <is>
          <t>TIMRÅ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34498-2025</t>
        </is>
      </c>
      <c r="B429" s="1" t="n">
        <v>45847.42768518518</v>
      </c>
      <c r="C429" s="1" t="n">
        <v>45955</v>
      </c>
      <c r="D429" t="inlineStr">
        <is>
          <t>VÄSTERNORRLANDS LÄN</t>
        </is>
      </c>
      <c r="E429" t="inlineStr">
        <is>
          <t>TIMRÅ</t>
        </is>
      </c>
      <c r="G429" t="n">
        <v>1.1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42040-2025</t>
        </is>
      </c>
      <c r="B430" s="1" t="n">
        <v>45903.61538194444</v>
      </c>
      <c r="C430" s="1" t="n">
        <v>45955</v>
      </c>
      <c r="D430" t="inlineStr">
        <is>
          <t>VÄSTERNORRLANDS LÄN</t>
        </is>
      </c>
      <c r="E430" t="inlineStr">
        <is>
          <t>TIMRÅ</t>
        </is>
      </c>
      <c r="F430" t="inlineStr">
        <is>
          <t>SCA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34499-2025</t>
        </is>
      </c>
      <c r="B431" s="1" t="n">
        <v>45847.42783564814</v>
      </c>
      <c r="C431" s="1" t="n">
        <v>45955</v>
      </c>
      <c r="D431" t="inlineStr">
        <is>
          <t>VÄSTERNORRLANDS LÄN</t>
        </is>
      </c>
      <c r="E431" t="inlineStr">
        <is>
          <t>TIMRÅ</t>
        </is>
      </c>
      <c r="G431" t="n">
        <v>6.6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53703-2021</t>
        </is>
      </c>
      <c r="B432" s="1" t="n">
        <v>44469</v>
      </c>
      <c r="C432" s="1" t="n">
        <v>45955</v>
      </c>
      <c r="D432" t="inlineStr">
        <is>
          <t>VÄSTERNORRLANDS LÄN</t>
        </is>
      </c>
      <c r="E432" t="inlineStr">
        <is>
          <t>TIMRÅ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45338-2025</t>
        </is>
      </c>
      <c r="B433" s="1" t="n">
        <v>45922</v>
      </c>
      <c r="C433" s="1" t="n">
        <v>45955</v>
      </c>
      <c r="D433" t="inlineStr">
        <is>
          <t>VÄSTERNORRLANDS LÄN</t>
        </is>
      </c>
      <c r="E433" t="inlineStr">
        <is>
          <t>TIMRÅ</t>
        </is>
      </c>
      <c r="G433" t="n">
        <v>2.1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34879-2025</t>
        </is>
      </c>
      <c r="B434" s="1" t="n">
        <v>45849.46824074074</v>
      </c>
      <c r="C434" s="1" t="n">
        <v>45955</v>
      </c>
      <c r="D434" t="inlineStr">
        <is>
          <t>VÄSTERNORRLANDS LÄN</t>
        </is>
      </c>
      <c r="E434" t="inlineStr">
        <is>
          <t>TIMRÅ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52909-2024</t>
        </is>
      </c>
      <c r="B435" s="1" t="n">
        <v>45610.69864583333</v>
      </c>
      <c r="C435" s="1" t="n">
        <v>45955</v>
      </c>
      <c r="D435" t="inlineStr">
        <is>
          <t>VÄSTERNORRLANDS LÄN</t>
        </is>
      </c>
      <c r="E435" t="inlineStr">
        <is>
          <t>TIMRÅ</t>
        </is>
      </c>
      <c r="F435" t="inlineStr">
        <is>
          <t>SCA</t>
        </is>
      </c>
      <c r="G435" t="n">
        <v>2.9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42058-2025</t>
        </is>
      </c>
      <c r="B436" s="1" t="n">
        <v>45903.645</v>
      </c>
      <c r="C436" s="1" t="n">
        <v>45955</v>
      </c>
      <c r="D436" t="inlineStr">
        <is>
          <t>VÄSTERNORRLANDS LÄN</t>
        </is>
      </c>
      <c r="E436" t="inlineStr">
        <is>
          <t>TIMRÅ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31508-2025</t>
        </is>
      </c>
      <c r="B437" s="1" t="n">
        <v>45833</v>
      </c>
      <c r="C437" s="1" t="n">
        <v>45955</v>
      </c>
      <c r="D437" t="inlineStr">
        <is>
          <t>VÄSTERNORRLANDS LÄN</t>
        </is>
      </c>
      <c r="E437" t="inlineStr">
        <is>
          <t>TIMRÅ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67063-2021</t>
        </is>
      </c>
      <c r="B438" s="1" t="n">
        <v>44522.92043981481</v>
      </c>
      <c r="C438" s="1" t="n">
        <v>45955</v>
      </c>
      <c r="D438" t="inlineStr">
        <is>
          <t>VÄSTERNORRLANDS LÄN</t>
        </is>
      </c>
      <c r="E438" t="inlineStr">
        <is>
          <t>TIMRÅ</t>
        </is>
      </c>
      <c r="G438" t="n">
        <v>1.9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35476-2025</t>
        </is>
      </c>
      <c r="B439" s="1" t="n">
        <v>45855.67744212963</v>
      </c>
      <c r="C439" s="1" t="n">
        <v>45955</v>
      </c>
      <c r="D439" t="inlineStr">
        <is>
          <t>VÄSTERNORRLANDS LÄN</t>
        </is>
      </c>
      <c r="E439" t="inlineStr">
        <is>
          <t>TIMRÅ</t>
        </is>
      </c>
      <c r="F439" t="inlineStr">
        <is>
          <t>SCA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51510-2025</t>
        </is>
      </c>
      <c r="B440" s="1" t="n">
        <v>45950.64591435185</v>
      </c>
      <c r="C440" s="1" t="n">
        <v>45955</v>
      </c>
      <c r="D440" t="inlineStr">
        <is>
          <t>VÄSTERNORRLANDS LÄN</t>
        </is>
      </c>
      <c r="E440" t="inlineStr">
        <is>
          <t>TIMRÅ</t>
        </is>
      </c>
      <c r="G440" t="n">
        <v>0.9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31343-2023</t>
        </is>
      </c>
      <c r="B441" s="1" t="n">
        <v>45104</v>
      </c>
      <c r="C441" s="1" t="n">
        <v>45955</v>
      </c>
      <c r="D441" t="inlineStr">
        <is>
          <t>VÄSTERNORRLANDS LÄN</t>
        </is>
      </c>
      <c r="E441" t="inlineStr">
        <is>
          <t>TIMRÅ</t>
        </is>
      </c>
      <c r="G441" t="n">
        <v>7.1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20527-2024</t>
        </is>
      </c>
      <c r="B442" s="1" t="n">
        <v>45435.94592592592</v>
      </c>
      <c r="C442" s="1" t="n">
        <v>45955</v>
      </c>
      <c r="D442" t="inlineStr">
        <is>
          <t>VÄSTERNORRLANDS LÄN</t>
        </is>
      </c>
      <c r="E442" t="inlineStr">
        <is>
          <t>TIMRÅ</t>
        </is>
      </c>
      <c r="F442" t="inlineStr">
        <is>
          <t>SCA</t>
        </is>
      </c>
      <c r="G442" t="n">
        <v>10.6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51457-2025</t>
        </is>
      </c>
      <c r="B443" s="1" t="n">
        <v>45950.59730324074</v>
      </c>
      <c r="C443" s="1" t="n">
        <v>45955</v>
      </c>
      <c r="D443" t="inlineStr">
        <is>
          <t>VÄSTERNORRLANDS LÄN</t>
        </is>
      </c>
      <c r="E443" t="inlineStr">
        <is>
          <t>TIMRÅ</t>
        </is>
      </c>
      <c r="G443" t="n">
        <v>7.5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23611-2021</t>
        </is>
      </c>
      <c r="B444" s="1" t="n">
        <v>44334</v>
      </c>
      <c r="C444" s="1" t="n">
        <v>45955</v>
      </c>
      <c r="D444" t="inlineStr">
        <is>
          <t>VÄSTERNORRLANDS LÄN</t>
        </is>
      </c>
      <c r="E444" t="inlineStr">
        <is>
          <t>TIMRÅ</t>
        </is>
      </c>
      <c r="G444" t="n">
        <v>13.7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35693-2025</t>
        </is>
      </c>
      <c r="B445" s="1" t="n">
        <v>45860.34459490741</v>
      </c>
      <c r="C445" s="1" t="n">
        <v>45955</v>
      </c>
      <c r="D445" t="inlineStr">
        <is>
          <t>VÄSTERNORRLANDS LÄN</t>
        </is>
      </c>
      <c r="E445" t="inlineStr">
        <is>
          <t>TIMRÅ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35694-2025</t>
        </is>
      </c>
      <c r="B446" s="1" t="n">
        <v>45860.34461805555</v>
      </c>
      <c r="C446" s="1" t="n">
        <v>45955</v>
      </c>
      <c r="D446" t="inlineStr">
        <is>
          <t>VÄSTERNORRLANDS LÄN</t>
        </is>
      </c>
      <c r="E446" t="inlineStr">
        <is>
          <t>TIMRÅ</t>
        </is>
      </c>
      <c r="G446" t="n">
        <v>4.9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23556-2024</t>
        </is>
      </c>
      <c r="B447" s="1" t="n">
        <v>45453</v>
      </c>
      <c r="C447" s="1" t="n">
        <v>45955</v>
      </c>
      <c r="D447" t="inlineStr">
        <is>
          <t>VÄSTERNORRLANDS LÄN</t>
        </is>
      </c>
      <c r="E447" t="inlineStr">
        <is>
          <t>TIMRÅ</t>
        </is>
      </c>
      <c r="F447" t="inlineStr">
        <is>
          <t>SCA</t>
        </is>
      </c>
      <c r="G447" t="n">
        <v>6.5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25782-2025</t>
        </is>
      </c>
      <c r="B448" s="1" t="n">
        <v>45804</v>
      </c>
      <c r="C448" s="1" t="n">
        <v>45955</v>
      </c>
      <c r="D448" t="inlineStr">
        <is>
          <t>VÄSTERNORRLANDS LÄN</t>
        </is>
      </c>
      <c r="E448" t="inlineStr">
        <is>
          <t>TIMRÅ</t>
        </is>
      </c>
      <c r="F448" t="inlineStr">
        <is>
          <t>SCA</t>
        </is>
      </c>
      <c r="G448" t="n">
        <v>22.3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35659-2025</t>
        </is>
      </c>
      <c r="B449" s="1" t="n">
        <v>45859.59447916667</v>
      </c>
      <c r="C449" s="1" t="n">
        <v>45955</v>
      </c>
      <c r="D449" t="inlineStr">
        <is>
          <t>VÄSTERNORRLANDS LÄN</t>
        </is>
      </c>
      <c r="E449" t="inlineStr">
        <is>
          <t>TIMRÅ</t>
        </is>
      </c>
      <c r="G449" t="n">
        <v>8.6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25190-2025</t>
        </is>
      </c>
      <c r="B450" s="1" t="n">
        <v>45798</v>
      </c>
      <c r="C450" s="1" t="n">
        <v>45955</v>
      </c>
      <c r="D450" t="inlineStr">
        <is>
          <t>VÄSTERNORRLANDS LÄN</t>
        </is>
      </c>
      <c r="E450" t="inlineStr">
        <is>
          <t>TIMRÅ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35665-2025</t>
        </is>
      </c>
      <c r="B451" s="1" t="n">
        <v>45859</v>
      </c>
      <c r="C451" s="1" t="n">
        <v>45955</v>
      </c>
      <c r="D451" t="inlineStr">
        <is>
          <t>VÄSTERNORRLANDS LÄN</t>
        </is>
      </c>
      <c r="E451" t="inlineStr">
        <is>
          <t>TIMRÅ</t>
        </is>
      </c>
      <c r="G451" t="n">
        <v>2.5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35666-2025</t>
        </is>
      </c>
      <c r="B452" s="1" t="n">
        <v>45859.61543981481</v>
      </c>
      <c r="C452" s="1" t="n">
        <v>45955</v>
      </c>
      <c r="D452" t="inlineStr">
        <is>
          <t>VÄSTERNORRLANDS LÄN</t>
        </is>
      </c>
      <c r="E452" t="inlineStr">
        <is>
          <t>TIMRÅ</t>
        </is>
      </c>
      <c r="G452" t="n">
        <v>0.8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35667-2025</t>
        </is>
      </c>
      <c r="B453" s="1" t="n">
        <v>45859.61546296296</v>
      </c>
      <c r="C453" s="1" t="n">
        <v>45955</v>
      </c>
      <c r="D453" t="inlineStr">
        <is>
          <t>VÄSTERNORRLANDS LÄN</t>
        </is>
      </c>
      <c r="E453" t="inlineStr">
        <is>
          <t>TIMRÅ</t>
        </is>
      </c>
      <c r="G453" t="n">
        <v>4.8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50638-2023</t>
        </is>
      </c>
      <c r="B454" s="1" t="n">
        <v>45210</v>
      </c>
      <c r="C454" s="1" t="n">
        <v>45955</v>
      </c>
      <c r="D454" t="inlineStr">
        <is>
          <t>VÄSTERNORRLANDS LÄN</t>
        </is>
      </c>
      <c r="E454" t="inlineStr">
        <is>
          <t>TIMRÅ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25427-2025</t>
        </is>
      </c>
      <c r="B455" s="1" t="n">
        <v>45800.70986111111</v>
      </c>
      <c r="C455" s="1" t="n">
        <v>45955</v>
      </c>
      <c r="D455" t="inlineStr">
        <is>
          <t>VÄSTERNORRLANDS LÄN</t>
        </is>
      </c>
      <c r="E455" t="inlineStr">
        <is>
          <t>TIMRÅ</t>
        </is>
      </c>
      <c r="G455" t="n">
        <v>7.2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59189-2024</t>
        </is>
      </c>
      <c r="B456" s="1" t="n">
        <v>45637</v>
      </c>
      <c r="C456" s="1" t="n">
        <v>45955</v>
      </c>
      <c r="D456" t="inlineStr">
        <is>
          <t>VÄSTERNORRLANDS LÄN</t>
        </is>
      </c>
      <c r="E456" t="inlineStr">
        <is>
          <t>TIMRÅ</t>
        </is>
      </c>
      <c r="G456" t="n">
        <v>0.7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39302-2025</t>
        </is>
      </c>
      <c r="B457" s="1" t="n">
        <v>45889</v>
      </c>
      <c r="C457" s="1" t="n">
        <v>45955</v>
      </c>
      <c r="D457" t="inlineStr">
        <is>
          <t>VÄSTERNORRLANDS LÄN</t>
        </is>
      </c>
      <c r="E457" t="inlineStr">
        <is>
          <t>TIMRÅ</t>
        </is>
      </c>
      <c r="F457" t="inlineStr">
        <is>
          <t>SCA</t>
        </is>
      </c>
      <c r="G457" t="n">
        <v>6.2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51482-2025</t>
        </is>
      </c>
      <c r="B458" s="1" t="n">
        <v>45950.62047453703</v>
      </c>
      <c r="C458" s="1" t="n">
        <v>45955</v>
      </c>
      <c r="D458" t="inlineStr">
        <is>
          <t>VÄSTERNORRLANDS LÄN</t>
        </is>
      </c>
      <c r="E458" t="inlineStr">
        <is>
          <t>TIMRÅ</t>
        </is>
      </c>
      <c r="F458" t="inlineStr">
        <is>
          <t>SCA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23878-2024</t>
        </is>
      </c>
      <c r="B459" s="1" t="n">
        <v>45455</v>
      </c>
      <c r="C459" s="1" t="n">
        <v>45955</v>
      </c>
      <c r="D459" t="inlineStr">
        <is>
          <t>VÄSTERNORRLANDS LÄN</t>
        </is>
      </c>
      <c r="E459" t="inlineStr">
        <is>
          <t>TIMRÅ</t>
        </is>
      </c>
      <c r="G459" t="n">
        <v>2.1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42657-2025</t>
        </is>
      </c>
      <c r="B460" s="1" t="n">
        <v>45907.49268518519</v>
      </c>
      <c r="C460" s="1" t="n">
        <v>45955</v>
      </c>
      <c r="D460" t="inlineStr">
        <is>
          <t>VÄSTERNORRLANDS LÄN</t>
        </is>
      </c>
      <c r="E460" t="inlineStr">
        <is>
          <t>TIMRÅ</t>
        </is>
      </c>
      <c r="G460" t="n">
        <v>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6055-2025</t>
        </is>
      </c>
      <c r="B461" s="1" t="n">
        <v>45695.71903935185</v>
      </c>
      <c r="C461" s="1" t="n">
        <v>45955</v>
      </c>
      <c r="D461" t="inlineStr">
        <is>
          <t>VÄSTERNORRLANDS LÄN</t>
        </is>
      </c>
      <c r="E461" t="inlineStr">
        <is>
          <t>TIMRÅ</t>
        </is>
      </c>
      <c r="F461" t="inlineStr">
        <is>
          <t>SCA</t>
        </is>
      </c>
      <c r="G461" t="n">
        <v>6.3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27243-2021</t>
        </is>
      </c>
      <c r="B462" s="1" t="n">
        <v>44350</v>
      </c>
      <c r="C462" s="1" t="n">
        <v>45955</v>
      </c>
      <c r="D462" t="inlineStr">
        <is>
          <t>VÄSTERNORRLANDS LÄN</t>
        </is>
      </c>
      <c r="E462" t="inlineStr">
        <is>
          <t>TIMRÅ</t>
        </is>
      </c>
      <c r="G462" t="n">
        <v>1.4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51582-2025</t>
        </is>
      </c>
      <c r="B463" s="1" t="n">
        <v>45951.34561342592</v>
      </c>
      <c r="C463" s="1" t="n">
        <v>45955</v>
      </c>
      <c r="D463" t="inlineStr">
        <is>
          <t>VÄSTERNORRLANDS LÄN</t>
        </is>
      </c>
      <c r="E463" t="inlineStr">
        <is>
          <t>TIMRÅ</t>
        </is>
      </c>
      <c r="G463" t="n">
        <v>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51584-2025</t>
        </is>
      </c>
      <c r="B464" s="1" t="n">
        <v>45951.34575231482</v>
      </c>
      <c r="C464" s="1" t="n">
        <v>45955</v>
      </c>
      <c r="D464" t="inlineStr">
        <is>
          <t>VÄSTERNORRLANDS LÄN</t>
        </is>
      </c>
      <c r="E464" t="inlineStr">
        <is>
          <t>TIMRÅ</t>
        </is>
      </c>
      <c r="G464" t="n">
        <v>3.1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52114-2025</t>
        </is>
      </c>
      <c r="B465" s="1" t="n">
        <v>45952.69902777778</v>
      </c>
      <c r="C465" s="1" t="n">
        <v>45955</v>
      </c>
      <c r="D465" t="inlineStr">
        <is>
          <t>VÄSTERNORRLANDS LÄN</t>
        </is>
      </c>
      <c r="E465" t="inlineStr">
        <is>
          <t>TIMRÅ</t>
        </is>
      </c>
      <c r="F465" t="inlineStr">
        <is>
          <t>SCA</t>
        </is>
      </c>
      <c r="G465" t="n">
        <v>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58754-2024</t>
        </is>
      </c>
      <c r="B466" s="1" t="n">
        <v>45635.71917824074</v>
      </c>
      <c r="C466" s="1" t="n">
        <v>45955</v>
      </c>
      <c r="D466" t="inlineStr">
        <is>
          <t>VÄSTERNORRLANDS LÄN</t>
        </is>
      </c>
      <c r="E466" t="inlineStr">
        <is>
          <t>TIMRÅ</t>
        </is>
      </c>
      <c r="F466" t="inlineStr">
        <is>
          <t>SCA</t>
        </is>
      </c>
      <c r="G466" t="n">
        <v>9.1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45774-2023</t>
        </is>
      </c>
      <c r="B467" s="1" t="n">
        <v>45189</v>
      </c>
      <c r="C467" s="1" t="n">
        <v>45955</v>
      </c>
      <c r="D467" t="inlineStr">
        <is>
          <t>VÄSTERNORRLANDS LÄN</t>
        </is>
      </c>
      <c r="E467" t="inlineStr">
        <is>
          <t>TIMRÅ</t>
        </is>
      </c>
      <c r="G467" t="n">
        <v>2.8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51580-2025</t>
        </is>
      </c>
      <c r="B468" s="1" t="n">
        <v>45951.34542824074</v>
      </c>
      <c r="C468" s="1" t="n">
        <v>45955</v>
      </c>
      <c r="D468" t="inlineStr">
        <is>
          <t>VÄSTERNORRLANDS LÄN</t>
        </is>
      </c>
      <c r="E468" t="inlineStr">
        <is>
          <t>TIMRÅ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51788-2025</t>
        </is>
      </c>
      <c r="B469" s="1" t="n">
        <v>45951.67846064815</v>
      </c>
      <c r="C469" s="1" t="n">
        <v>45955</v>
      </c>
      <c r="D469" t="inlineStr">
        <is>
          <t>VÄSTERNORRLANDS LÄN</t>
        </is>
      </c>
      <c r="E469" t="inlineStr">
        <is>
          <t>TIMRÅ</t>
        </is>
      </c>
      <c r="F469" t="inlineStr">
        <is>
          <t>SCA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35854-2025</t>
        </is>
      </c>
      <c r="B470" s="1" t="n">
        <v>45861</v>
      </c>
      <c r="C470" s="1" t="n">
        <v>45955</v>
      </c>
      <c r="D470" t="inlineStr">
        <is>
          <t>VÄSTERNORRLANDS LÄN</t>
        </is>
      </c>
      <c r="E470" t="inlineStr">
        <is>
          <t>TIMRÅ</t>
        </is>
      </c>
      <c r="F470" t="inlineStr">
        <is>
          <t>SCA</t>
        </is>
      </c>
      <c r="G470" t="n">
        <v>0.8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10947-2025</t>
        </is>
      </c>
      <c r="B471" s="1" t="n">
        <v>45723.34417824074</v>
      </c>
      <c r="C471" s="1" t="n">
        <v>45955</v>
      </c>
      <c r="D471" t="inlineStr">
        <is>
          <t>VÄSTERNORRLANDS LÄN</t>
        </is>
      </c>
      <c r="E471" t="inlineStr">
        <is>
          <t>TIMRÅ</t>
        </is>
      </c>
      <c r="F471" t="inlineStr">
        <is>
          <t>SCA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59942-2022</t>
        </is>
      </c>
      <c r="B472" s="1" t="n">
        <v>44901</v>
      </c>
      <c r="C472" s="1" t="n">
        <v>45955</v>
      </c>
      <c r="D472" t="inlineStr">
        <is>
          <t>VÄSTERNORRLANDS LÄN</t>
        </is>
      </c>
      <c r="E472" t="inlineStr">
        <is>
          <t>TIMRÅ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20732-2021</t>
        </is>
      </c>
      <c r="B473" s="1" t="n">
        <v>44316</v>
      </c>
      <c r="C473" s="1" t="n">
        <v>45955</v>
      </c>
      <c r="D473" t="inlineStr">
        <is>
          <t>VÄSTERNORRLANDS LÄN</t>
        </is>
      </c>
      <c r="E473" t="inlineStr">
        <is>
          <t>TIMRÅ</t>
        </is>
      </c>
      <c r="G473" t="n">
        <v>3.8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51779-2025</t>
        </is>
      </c>
      <c r="B474" s="1" t="n">
        <v>45951.65715277778</v>
      </c>
      <c r="C474" s="1" t="n">
        <v>45955</v>
      </c>
      <c r="D474" t="inlineStr">
        <is>
          <t>VÄSTERNORRLANDS LÄN</t>
        </is>
      </c>
      <c r="E474" t="inlineStr">
        <is>
          <t>TIMRÅ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16519-2022</t>
        </is>
      </c>
      <c r="B475" s="1" t="n">
        <v>44671.926875</v>
      </c>
      <c r="C475" s="1" t="n">
        <v>45955</v>
      </c>
      <c r="D475" t="inlineStr">
        <is>
          <t>VÄSTERNORRLANDS LÄN</t>
        </is>
      </c>
      <c r="E475" t="inlineStr">
        <is>
          <t>TIMRÅ</t>
        </is>
      </c>
      <c r="G475" t="n">
        <v>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51585-2025</t>
        </is>
      </c>
      <c r="B476" s="1" t="n">
        <v>45951.34582175926</v>
      </c>
      <c r="C476" s="1" t="n">
        <v>45955</v>
      </c>
      <c r="D476" t="inlineStr">
        <is>
          <t>VÄSTERNORRLANDS LÄN</t>
        </is>
      </c>
      <c r="E476" t="inlineStr">
        <is>
          <t>TIMRÅ</t>
        </is>
      </c>
      <c r="G476" t="n">
        <v>2.4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44296-2025</t>
        </is>
      </c>
      <c r="B477" s="1" t="n">
        <v>45916.36511574074</v>
      </c>
      <c r="C477" s="1" t="n">
        <v>45955</v>
      </c>
      <c r="D477" t="inlineStr">
        <is>
          <t>VÄSTERNORRLANDS LÄN</t>
        </is>
      </c>
      <c r="E477" t="inlineStr">
        <is>
          <t>TIMRÅ</t>
        </is>
      </c>
      <c r="F477" t="inlineStr">
        <is>
          <t>SCA</t>
        </is>
      </c>
      <c r="G477" t="n">
        <v>1.3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52090-2025</t>
        </is>
      </c>
      <c r="B478" s="1" t="n">
        <v>45952.67783564814</v>
      </c>
      <c r="C478" s="1" t="n">
        <v>45955</v>
      </c>
      <c r="D478" t="inlineStr">
        <is>
          <t>VÄSTERNORRLANDS LÄN</t>
        </is>
      </c>
      <c r="E478" t="inlineStr">
        <is>
          <t>TIMRÅ</t>
        </is>
      </c>
      <c r="G478" t="n">
        <v>1.1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36987-2021</t>
        </is>
      </c>
      <c r="B479" s="1" t="n">
        <v>44393</v>
      </c>
      <c r="C479" s="1" t="n">
        <v>45955</v>
      </c>
      <c r="D479" t="inlineStr">
        <is>
          <t>VÄSTERNORRLANDS LÄN</t>
        </is>
      </c>
      <c r="E479" t="inlineStr">
        <is>
          <t>TIMRÅ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51841-2025</t>
        </is>
      </c>
      <c r="B480" s="1" t="n">
        <v>45952.34482638889</v>
      </c>
      <c r="C480" s="1" t="n">
        <v>45955</v>
      </c>
      <c r="D480" t="inlineStr">
        <is>
          <t>VÄSTERNORRLANDS LÄN</t>
        </is>
      </c>
      <c r="E480" t="inlineStr">
        <is>
          <t>TIMRÅ</t>
        </is>
      </c>
      <c r="G480" t="n">
        <v>1.9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52091-2025</t>
        </is>
      </c>
      <c r="B481" s="1" t="n">
        <v>45952.67809027778</v>
      </c>
      <c r="C481" s="1" t="n">
        <v>45955</v>
      </c>
      <c r="D481" t="inlineStr">
        <is>
          <t>VÄSTERNORRLANDS LÄN</t>
        </is>
      </c>
      <c r="E481" t="inlineStr">
        <is>
          <t>TIMRÅ</t>
        </is>
      </c>
      <c r="G481" t="n">
        <v>4.8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44033-2025</t>
        </is>
      </c>
      <c r="B482" s="1" t="n">
        <v>45915.49049768518</v>
      </c>
      <c r="C482" s="1" t="n">
        <v>45955</v>
      </c>
      <c r="D482" t="inlineStr">
        <is>
          <t>VÄSTERNORRLANDS LÄN</t>
        </is>
      </c>
      <c r="E482" t="inlineStr">
        <is>
          <t>TIMRÅ</t>
        </is>
      </c>
      <c r="F482" t="inlineStr">
        <is>
          <t>SCA</t>
        </is>
      </c>
      <c r="G482" t="n">
        <v>5.1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52123-2025</t>
        </is>
      </c>
      <c r="B483" s="1" t="n">
        <v>45952.71978009259</v>
      </c>
      <c r="C483" s="1" t="n">
        <v>45955</v>
      </c>
      <c r="D483" t="inlineStr">
        <is>
          <t>VÄSTERNORRLANDS LÄN</t>
        </is>
      </c>
      <c r="E483" t="inlineStr">
        <is>
          <t>TIMRÅ</t>
        </is>
      </c>
      <c r="F483" t="inlineStr">
        <is>
          <t>SCA</t>
        </is>
      </c>
      <c r="G483" t="n">
        <v>14.7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52124-2025</t>
        </is>
      </c>
      <c r="B484" s="1" t="n">
        <v>45952.72013888889</v>
      </c>
      <c r="C484" s="1" t="n">
        <v>45955</v>
      </c>
      <c r="D484" t="inlineStr">
        <is>
          <t>VÄSTERNORRLANDS LÄN</t>
        </is>
      </c>
      <c r="E484" t="inlineStr">
        <is>
          <t>TIMRÅ</t>
        </is>
      </c>
      <c r="F484" t="inlineStr">
        <is>
          <t>SCA</t>
        </is>
      </c>
      <c r="G484" t="n">
        <v>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51590-2025</t>
        </is>
      </c>
      <c r="B485" s="1" t="n">
        <v>45951.36527777778</v>
      </c>
      <c r="C485" s="1" t="n">
        <v>45955</v>
      </c>
      <c r="D485" t="inlineStr">
        <is>
          <t>VÄSTERNORRLANDS LÄN</t>
        </is>
      </c>
      <c r="E485" t="inlineStr">
        <is>
          <t>TIMRÅ</t>
        </is>
      </c>
      <c r="G485" t="n">
        <v>2.7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52356-2025</t>
        </is>
      </c>
      <c r="B486" s="1" t="n">
        <v>45953.80394675926</v>
      </c>
      <c r="C486" s="1" t="n">
        <v>45955</v>
      </c>
      <c r="D486" t="inlineStr">
        <is>
          <t>VÄSTERNORRLANDS LÄN</t>
        </is>
      </c>
      <c r="E486" t="inlineStr">
        <is>
          <t>TIMRÅ</t>
        </is>
      </c>
      <c r="G486" t="n">
        <v>1.4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52561-2025</t>
        </is>
      </c>
      <c r="B487" s="1" t="n">
        <v>45954.5725</v>
      </c>
      <c r="C487" s="1" t="n">
        <v>45955</v>
      </c>
      <c r="D487" t="inlineStr">
        <is>
          <t>VÄSTERNORRLANDS LÄN</t>
        </is>
      </c>
      <c r="E487" t="inlineStr">
        <is>
          <t>TIMRÅ</t>
        </is>
      </c>
      <c r="G487" t="n">
        <v>2.9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23676-2022</t>
        </is>
      </c>
      <c r="B488" s="1" t="n">
        <v>44721</v>
      </c>
      <c r="C488" s="1" t="n">
        <v>45955</v>
      </c>
      <c r="D488" t="inlineStr">
        <is>
          <t>VÄSTERNORRLANDS LÄN</t>
        </is>
      </c>
      <c r="E488" t="inlineStr">
        <is>
          <t>TIMRÅ</t>
        </is>
      </c>
      <c r="F488" t="inlineStr">
        <is>
          <t>SCA</t>
        </is>
      </c>
      <c r="G488" t="n">
        <v>4.1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44013-2025</t>
        </is>
      </c>
      <c r="B489" s="1" t="n">
        <v>45915.46914351852</v>
      </c>
      <c r="C489" s="1" t="n">
        <v>45955</v>
      </c>
      <c r="D489" t="inlineStr">
        <is>
          <t>VÄSTERNORRLANDS LÄN</t>
        </is>
      </c>
      <c r="E489" t="inlineStr">
        <is>
          <t>TIMRÅ</t>
        </is>
      </c>
      <c r="F489" t="inlineStr">
        <is>
          <t>SCA</t>
        </is>
      </c>
      <c r="G489" t="n">
        <v>10.9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44325-2025</t>
        </is>
      </c>
      <c r="B490" s="1" t="n">
        <v>45916.40726851852</v>
      </c>
      <c r="C490" s="1" t="n">
        <v>45955</v>
      </c>
      <c r="D490" t="inlineStr">
        <is>
          <t>VÄSTERNORRLANDS LÄN</t>
        </is>
      </c>
      <c r="E490" t="inlineStr">
        <is>
          <t>TIMRÅ</t>
        </is>
      </c>
      <c r="F490" t="inlineStr">
        <is>
          <t>SCA</t>
        </is>
      </c>
      <c r="G490" t="n">
        <v>1.6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44326-2025</t>
        </is>
      </c>
      <c r="B491" s="1" t="n">
        <v>45916.40740740741</v>
      </c>
      <c r="C491" s="1" t="n">
        <v>45955</v>
      </c>
      <c r="D491" t="inlineStr">
        <is>
          <t>VÄSTERNORRLANDS LÄN</t>
        </is>
      </c>
      <c r="E491" t="inlineStr">
        <is>
          <t>TIMRÅ</t>
        </is>
      </c>
      <c r="F491" t="inlineStr">
        <is>
          <t>SCA</t>
        </is>
      </c>
      <c r="G491" t="n">
        <v>2.3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44281-2025</t>
        </is>
      </c>
      <c r="B492" s="1" t="n">
        <v>45916.34513888889</v>
      </c>
      <c r="C492" s="1" t="n">
        <v>45955</v>
      </c>
      <c r="D492" t="inlineStr">
        <is>
          <t>VÄSTERNORRLANDS LÄN</t>
        </is>
      </c>
      <c r="E492" t="inlineStr">
        <is>
          <t>TIMRÅ</t>
        </is>
      </c>
      <c r="F492" t="inlineStr">
        <is>
          <t>SCA</t>
        </is>
      </c>
      <c r="G492" t="n">
        <v>1.2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44421-2025</t>
        </is>
      </c>
      <c r="B493" s="1" t="n">
        <v>45916.55245370371</v>
      </c>
      <c r="C493" s="1" t="n">
        <v>45955</v>
      </c>
      <c r="D493" t="inlineStr">
        <is>
          <t>VÄSTERNORRLANDS LÄN</t>
        </is>
      </c>
      <c r="E493" t="inlineStr">
        <is>
          <t>TIMRÅ</t>
        </is>
      </c>
      <c r="F493" t="inlineStr">
        <is>
          <t>SCA</t>
        </is>
      </c>
      <c r="G493" t="n">
        <v>1.5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44011-2025</t>
        </is>
      </c>
      <c r="B494" s="1" t="n">
        <v>45915.46614583334</v>
      </c>
      <c r="C494" s="1" t="n">
        <v>45955</v>
      </c>
      <c r="D494" t="inlineStr">
        <is>
          <t>VÄSTERNORRLANDS LÄN</t>
        </is>
      </c>
      <c r="E494" t="inlineStr">
        <is>
          <t>TIMRÅ</t>
        </is>
      </c>
      <c r="G494" t="n">
        <v>2.9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57072-2023</t>
        </is>
      </c>
      <c r="B495" s="1" t="n">
        <v>45244.96715277778</v>
      </c>
      <c r="C495" s="1" t="n">
        <v>45955</v>
      </c>
      <c r="D495" t="inlineStr">
        <is>
          <t>VÄSTERNORRLANDS LÄN</t>
        </is>
      </c>
      <c r="E495" t="inlineStr">
        <is>
          <t>TIMRÅ</t>
        </is>
      </c>
      <c r="F495" t="inlineStr">
        <is>
          <t>SCA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16084-2025</t>
        </is>
      </c>
      <c r="B496" s="1" t="n">
        <v>45749</v>
      </c>
      <c r="C496" s="1" t="n">
        <v>45955</v>
      </c>
      <c r="D496" t="inlineStr">
        <is>
          <t>VÄSTERNORRLANDS LÄN</t>
        </is>
      </c>
      <c r="E496" t="inlineStr">
        <is>
          <t>TIMRÅ</t>
        </is>
      </c>
      <c r="G496" t="n">
        <v>1.3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36869-2025</t>
        </is>
      </c>
      <c r="B497" s="1" t="n">
        <v>45874</v>
      </c>
      <c r="C497" s="1" t="n">
        <v>45955</v>
      </c>
      <c r="D497" t="inlineStr">
        <is>
          <t>VÄSTERNORRLANDS LÄN</t>
        </is>
      </c>
      <c r="E497" t="inlineStr">
        <is>
          <t>TIMRÅ</t>
        </is>
      </c>
      <c r="F497" t="inlineStr">
        <is>
          <t>SCA</t>
        </is>
      </c>
      <c r="G497" t="n">
        <v>3.1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1825-2025</t>
        </is>
      </c>
      <c r="B498" s="1" t="n">
        <v>45671.53853009259</v>
      </c>
      <c r="C498" s="1" t="n">
        <v>45955</v>
      </c>
      <c r="D498" t="inlineStr">
        <is>
          <t>VÄSTERNORRLANDS LÄN</t>
        </is>
      </c>
      <c r="E498" t="inlineStr">
        <is>
          <t>TIMRÅ</t>
        </is>
      </c>
      <c r="G498" t="n">
        <v>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43964-2023</t>
        </is>
      </c>
      <c r="B499" s="1" t="n">
        <v>45187</v>
      </c>
      <c r="C499" s="1" t="n">
        <v>45955</v>
      </c>
      <c r="D499" t="inlineStr">
        <is>
          <t>VÄSTERNORRLANDS LÄN</t>
        </is>
      </c>
      <c r="E499" t="inlineStr">
        <is>
          <t>TIMRÅ</t>
        </is>
      </c>
      <c r="F499" t="inlineStr">
        <is>
          <t>SCA</t>
        </is>
      </c>
      <c r="G499" t="n">
        <v>1.7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44404-2023</t>
        </is>
      </c>
      <c r="B500" s="1" t="n">
        <v>45188</v>
      </c>
      <c r="C500" s="1" t="n">
        <v>45955</v>
      </c>
      <c r="D500" t="inlineStr">
        <is>
          <t>VÄSTERNORRLANDS LÄN</t>
        </is>
      </c>
      <c r="E500" t="inlineStr">
        <is>
          <t>TIMRÅ</t>
        </is>
      </c>
      <c r="F500" t="inlineStr">
        <is>
          <t>SCA</t>
        </is>
      </c>
      <c r="G500" t="n">
        <v>1.9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10852-2024</t>
        </is>
      </c>
      <c r="B501" s="1" t="n">
        <v>45370</v>
      </c>
      <c r="C501" s="1" t="n">
        <v>45955</v>
      </c>
      <c r="D501" t="inlineStr">
        <is>
          <t>VÄSTERNORRLANDS LÄN</t>
        </is>
      </c>
      <c r="E501" t="inlineStr">
        <is>
          <t>TIMRÅ</t>
        </is>
      </c>
      <c r="F501" t="inlineStr">
        <is>
          <t>SCA</t>
        </is>
      </c>
      <c r="G501" t="n">
        <v>3.4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32048-2024</t>
        </is>
      </c>
      <c r="B502" s="1" t="n">
        <v>45510</v>
      </c>
      <c r="C502" s="1" t="n">
        <v>45955</v>
      </c>
      <c r="D502" t="inlineStr">
        <is>
          <t>VÄSTERNORRLANDS LÄN</t>
        </is>
      </c>
      <c r="E502" t="inlineStr">
        <is>
          <t>TIMRÅ</t>
        </is>
      </c>
      <c r="G502" t="n">
        <v>2.7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52627-2025</t>
        </is>
      </c>
      <c r="B503" s="1" t="n">
        <v>45953</v>
      </c>
      <c r="C503" s="1" t="n">
        <v>45955</v>
      </c>
      <c r="D503" t="inlineStr">
        <is>
          <t>VÄSTERNORRLANDS LÄN</t>
        </is>
      </c>
      <c r="E503" t="inlineStr">
        <is>
          <t>TIMRÅ</t>
        </is>
      </c>
      <c r="G503" t="n">
        <v>1.5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52275-2025</t>
        </is>
      </c>
      <c r="B504" s="1" t="n">
        <v>45953.55248842593</v>
      </c>
      <c r="C504" s="1" t="n">
        <v>45955</v>
      </c>
      <c r="D504" t="inlineStr">
        <is>
          <t>VÄSTERNORRLANDS LÄN</t>
        </is>
      </c>
      <c r="E504" t="inlineStr">
        <is>
          <t>TIMRÅ</t>
        </is>
      </c>
      <c r="F504" t="inlineStr">
        <is>
          <t>SCA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5649-2022</t>
        </is>
      </c>
      <c r="B505" s="1" t="n">
        <v>44595.92520833333</v>
      </c>
      <c r="C505" s="1" t="n">
        <v>45955</v>
      </c>
      <c r="D505" t="inlineStr">
        <is>
          <t>VÄSTERNORRLANDS LÄN</t>
        </is>
      </c>
      <c r="E505" t="inlineStr">
        <is>
          <t>TIMRÅ</t>
        </is>
      </c>
      <c r="G505" t="n">
        <v>1.5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44795-2025</t>
        </is>
      </c>
      <c r="B506" s="1" t="n">
        <v>45918.34467592592</v>
      </c>
      <c r="C506" s="1" t="n">
        <v>45955</v>
      </c>
      <c r="D506" t="inlineStr">
        <is>
          <t>VÄSTERNORRLANDS LÄN</t>
        </is>
      </c>
      <c r="E506" t="inlineStr">
        <is>
          <t>TIMRÅ</t>
        </is>
      </c>
      <c r="F506" t="inlineStr">
        <is>
          <t>SCA</t>
        </is>
      </c>
      <c r="G506" t="n">
        <v>4.7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32487-2021</t>
        </is>
      </c>
      <c r="B507" s="1" t="n">
        <v>44371</v>
      </c>
      <c r="C507" s="1" t="n">
        <v>45955</v>
      </c>
      <c r="D507" t="inlineStr">
        <is>
          <t>VÄSTERNORRLANDS LÄN</t>
        </is>
      </c>
      <c r="E507" t="inlineStr">
        <is>
          <t>TIMRÅ</t>
        </is>
      </c>
      <c r="F507" t="inlineStr">
        <is>
          <t>Kyrkan</t>
        </is>
      </c>
      <c r="G507" t="n">
        <v>21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41457-2022</t>
        </is>
      </c>
      <c r="B508" s="1" t="n">
        <v>44826</v>
      </c>
      <c r="C508" s="1" t="n">
        <v>45955</v>
      </c>
      <c r="D508" t="inlineStr">
        <is>
          <t>VÄSTERNORRLANDS LÄN</t>
        </is>
      </c>
      <c r="E508" t="inlineStr">
        <is>
          <t>TIMRÅ</t>
        </is>
      </c>
      <c r="G508" t="n">
        <v>2.9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41465-2022</t>
        </is>
      </c>
      <c r="B509" s="1" t="n">
        <v>44826.94804398148</v>
      </c>
      <c r="C509" s="1" t="n">
        <v>45955</v>
      </c>
      <c r="D509" t="inlineStr">
        <is>
          <t>VÄSTERNORRLANDS LÄN</t>
        </is>
      </c>
      <c r="E509" t="inlineStr">
        <is>
          <t>TIMRÅ</t>
        </is>
      </c>
      <c r="F509" t="inlineStr">
        <is>
          <t>SCA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61606-2023</t>
        </is>
      </c>
      <c r="B510" s="1" t="n">
        <v>45261</v>
      </c>
      <c r="C510" s="1" t="n">
        <v>45955</v>
      </c>
      <c r="D510" t="inlineStr">
        <is>
          <t>VÄSTERNORRLANDS LÄN</t>
        </is>
      </c>
      <c r="E510" t="inlineStr">
        <is>
          <t>TIMRÅ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52151-2025</t>
        </is>
      </c>
      <c r="B511" s="1" t="n">
        <v>45953.34508101852</v>
      </c>
      <c r="C511" s="1" t="n">
        <v>45955</v>
      </c>
      <c r="D511" t="inlineStr">
        <is>
          <t>VÄSTERNORRLANDS LÄN</t>
        </is>
      </c>
      <c r="E511" t="inlineStr">
        <is>
          <t>TIMRÅ</t>
        </is>
      </c>
      <c r="F511" t="inlineStr">
        <is>
          <t>SCA</t>
        </is>
      </c>
      <c r="G511" t="n">
        <v>4.4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46971-2022</t>
        </is>
      </c>
      <c r="B512" s="1" t="n">
        <v>44851.953125</v>
      </c>
      <c r="C512" s="1" t="n">
        <v>45955</v>
      </c>
      <c r="D512" t="inlineStr">
        <is>
          <t>VÄSTERNORRLANDS LÄN</t>
        </is>
      </c>
      <c r="E512" t="inlineStr">
        <is>
          <t>TIMRÅ</t>
        </is>
      </c>
      <c r="F512" t="inlineStr">
        <is>
          <t>SCA</t>
        </is>
      </c>
      <c r="G512" t="n">
        <v>2.9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30612-2024</t>
        </is>
      </c>
      <c r="B513" s="1" t="n">
        <v>45495</v>
      </c>
      <c r="C513" s="1" t="n">
        <v>45955</v>
      </c>
      <c r="D513" t="inlineStr">
        <is>
          <t>VÄSTERNORRLANDS LÄN</t>
        </is>
      </c>
      <c r="E513" t="inlineStr">
        <is>
          <t>TIMRÅ</t>
        </is>
      </c>
      <c r="G513" t="n">
        <v>4.6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37676-2024</t>
        </is>
      </c>
      <c r="B514" s="1" t="n">
        <v>45541</v>
      </c>
      <c r="C514" s="1" t="n">
        <v>45955</v>
      </c>
      <c r="D514" t="inlineStr">
        <is>
          <t>VÄSTERNORRLANDS LÄN</t>
        </is>
      </c>
      <c r="E514" t="inlineStr">
        <is>
          <t>TIMRÅ</t>
        </is>
      </c>
      <c r="G514" t="n">
        <v>15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44001-2025</t>
        </is>
      </c>
      <c r="B515" s="1" t="n">
        <v>45915</v>
      </c>
      <c r="C515" s="1" t="n">
        <v>45955</v>
      </c>
      <c r="D515" t="inlineStr">
        <is>
          <t>VÄSTERNORRLANDS LÄN</t>
        </is>
      </c>
      <c r="E515" t="inlineStr">
        <is>
          <t>TIMRÅ</t>
        </is>
      </c>
      <c r="G515" t="n">
        <v>4.6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56765-2023</t>
        </is>
      </c>
      <c r="B516" s="1" t="n">
        <v>45244</v>
      </c>
      <c r="C516" s="1" t="n">
        <v>45955</v>
      </c>
      <c r="D516" t="inlineStr">
        <is>
          <t>VÄSTERNORRLANDS LÄN</t>
        </is>
      </c>
      <c r="E516" t="inlineStr">
        <is>
          <t>TIMRÅ</t>
        </is>
      </c>
      <c r="G516" t="n">
        <v>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52227-2025</t>
        </is>
      </c>
      <c r="B517" s="1" t="n">
        <v>45953.44878472222</v>
      </c>
      <c r="C517" s="1" t="n">
        <v>45955</v>
      </c>
      <c r="D517" t="inlineStr">
        <is>
          <t>VÄSTERNORRLANDS LÄN</t>
        </is>
      </c>
      <c r="E517" t="inlineStr">
        <is>
          <t>TIMRÅ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52228-2025</t>
        </is>
      </c>
      <c r="B518" s="1" t="n">
        <v>45953.4488425926</v>
      </c>
      <c r="C518" s="1" t="n">
        <v>45955</v>
      </c>
      <c r="D518" t="inlineStr">
        <is>
          <t>VÄSTERNORRLANDS LÄN</t>
        </is>
      </c>
      <c r="E518" t="inlineStr">
        <is>
          <t>TIMRÅ</t>
        </is>
      </c>
      <c r="G518" t="n">
        <v>1.3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44807-2025</t>
        </is>
      </c>
      <c r="B519" s="1" t="n">
        <v>45918.36494212963</v>
      </c>
      <c r="C519" s="1" t="n">
        <v>45955</v>
      </c>
      <c r="D519" t="inlineStr">
        <is>
          <t>VÄSTERNORRLANDS LÄN</t>
        </is>
      </c>
      <c r="E519" t="inlineStr">
        <is>
          <t>TIMRÅ</t>
        </is>
      </c>
      <c r="F519" t="inlineStr">
        <is>
          <t>SCA</t>
        </is>
      </c>
      <c r="G519" t="n">
        <v>4.4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44796-2025</t>
        </is>
      </c>
      <c r="B520" s="1" t="n">
        <v>45918.34475694445</v>
      </c>
      <c r="C520" s="1" t="n">
        <v>45955</v>
      </c>
      <c r="D520" t="inlineStr">
        <is>
          <t>VÄSTERNORRLANDS LÄN</t>
        </is>
      </c>
      <c r="E520" t="inlineStr">
        <is>
          <t>TIMRÅ</t>
        </is>
      </c>
      <c r="F520" t="inlineStr">
        <is>
          <t>SCA</t>
        </is>
      </c>
      <c r="G520" t="n">
        <v>3.1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1817-2025</t>
        </is>
      </c>
      <c r="B521" s="1" t="n">
        <v>45671.51324074074</v>
      </c>
      <c r="C521" s="1" t="n">
        <v>45955</v>
      </c>
      <c r="D521" t="inlineStr">
        <is>
          <t>VÄSTERNORRLANDS LÄN</t>
        </is>
      </c>
      <c r="E521" t="inlineStr">
        <is>
          <t>TIMRÅ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45339-2025</t>
        </is>
      </c>
      <c r="B522" s="1" t="n">
        <v>45922.34416666667</v>
      </c>
      <c r="C522" s="1" t="n">
        <v>45955</v>
      </c>
      <c r="D522" t="inlineStr">
        <is>
          <t>VÄSTERNORRLANDS LÄN</t>
        </is>
      </c>
      <c r="E522" t="inlineStr">
        <is>
          <t>TIMRÅ</t>
        </is>
      </c>
      <c r="G522" t="n">
        <v>0.8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12786-2025</t>
        </is>
      </c>
      <c r="B523" s="1" t="n">
        <v>45733.60231481482</v>
      </c>
      <c r="C523" s="1" t="n">
        <v>45955</v>
      </c>
      <c r="D523" t="inlineStr">
        <is>
          <t>VÄSTERNORRLANDS LÄN</t>
        </is>
      </c>
      <c r="E523" t="inlineStr">
        <is>
          <t>TIMRÅ</t>
        </is>
      </c>
      <c r="G523" t="n">
        <v>1.3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55588-2024</t>
        </is>
      </c>
      <c r="B524" s="1" t="n">
        <v>45622</v>
      </c>
      <c r="C524" s="1" t="n">
        <v>45955</v>
      </c>
      <c r="D524" t="inlineStr">
        <is>
          <t>VÄSTERNORRLANDS LÄN</t>
        </is>
      </c>
      <c r="E524" t="inlineStr">
        <is>
          <t>TIMRÅ</t>
        </is>
      </c>
      <c r="G524" t="n">
        <v>2.9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33749-2024</t>
        </is>
      </c>
      <c r="B525" s="1" t="n">
        <v>45520</v>
      </c>
      <c r="C525" s="1" t="n">
        <v>45955</v>
      </c>
      <c r="D525" t="inlineStr">
        <is>
          <t>VÄSTERNORRLANDS LÄN</t>
        </is>
      </c>
      <c r="E525" t="inlineStr">
        <is>
          <t>TIMRÅ</t>
        </is>
      </c>
      <c r="F525" t="inlineStr">
        <is>
          <t>SCA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37684-2025</t>
        </is>
      </c>
      <c r="B526" s="1" t="n">
        <v>45880.55261574074</v>
      </c>
      <c r="C526" s="1" t="n">
        <v>45955</v>
      </c>
      <c r="D526" t="inlineStr">
        <is>
          <t>VÄSTERNORRLANDS LÄN</t>
        </is>
      </c>
      <c r="E526" t="inlineStr">
        <is>
          <t>TIMRÅ</t>
        </is>
      </c>
      <c r="G526" t="n">
        <v>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9480-2021</t>
        </is>
      </c>
      <c r="B527" s="1" t="n">
        <v>44250</v>
      </c>
      <c r="C527" s="1" t="n">
        <v>45955</v>
      </c>
      <c r="D527" t="inlineStr">
        <is>
          <t>VÄSTERNORRLANDS LÄN</t>
        </is>
      </c>
      <c r="E527" t="inlineStr">
        <is>
          <t>TIMRÅ</t>
        </is>
      </c>
      <c r="G527" t="n">
        <v>2.7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9503-2021</t>
        </is>
      </c>
      <c r="B528" s="1" t="n">
        <v>44250</v>
      </c>
      <c r="C528" s="1" t="n">
        <v>45955</v>
      </c>
      <c r="D528" t="inlineStr">
        <is>
          <t>VÄSTERNORRLANDS LÄN</t>
        </is>
      </c>
      <c r="E528" t="inlineStr">
        <is>
          <t>TIMRÅ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11269-2022</t>
        </is>
      </c>
      <c r="B529" s="1" t="n">
        <v>44629.71497685185</v>
      </c>
      <c r="C529" s="1" t="n">
        <v>45955</v>
      </c>
      <c r="D529" t="inlineStr">
        <is>
          <t>VÄSTERNORRLANDS LÄN</t>
        </is>
      </c>
      <c r="E529" t="inlineStr">
        <is>
          <t>TIMRÅ</t>
        </is>
      </c>
      <c r="G529" t="n">
        <v>16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61730-2020</t>
        </is>
      </c>
      <c r="B530" s="1" t="n">
        <v>44158</v>
      </c>
      <c r="C530" s="1" t="n">
        <v>45955</v>
      </c>
      <c r="D530" t="inlineStr">
        <is>
          <t>VÄSTERNORRLANDS LÄN</t>
        </is>
      </c>
      <c r="E530" t="inlineStr">
        <is>
          <t>TIMRÅ</t>
        </is>
      </c>
      <c r="G530" t="n">
        <v>2.8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37695-2025</t>
        </is>
      </c>
      <c r="B531" s="1" t="n">
        <v>45880.57357638889</v>
      </c>
      <c r="C531" s="1" t="n">
        <v>45955</v>
      </c>
      <c r="D531" t="inlineStr">
        <is>
          <t>VÄSTERNORRLANDS LÄN</t>
        </is>
      </c>
      <c r="E531" t="inlineStr">
        <is>
          <t>TIMRÅ</t>
        </is>
      </c>
      <c r="G531" t="n">
        <v>3.1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580-2022</t>
        </is>
      </c>
      <c r="B532" s="1" t="n">
        <v>44566</v>
      </c>
      <c r="C532" s="1" t="n">
        <v>45955</v>
      </c>
      <c r="D532" t="inlineStr">
        <is>
          <t>VÄSTERNORRLANDS LÄN</t>
        </is>
      </c>
      <c r="E532" t="inlineStr">
        <is>
          <t>TIMRÅ</t>
        </is>
      </c>
      <c r="F532" t="inlineStr">
        <is>
          <t>SCA</t>
        </is>
      </c>
      <c r="G532" t="n">
        <v>5.9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28373-2023</t>
        </is>
      </c>
      <c r="B533" s="1" t="n">
        <v>45099.95390046296</v>
      </c>
      <c r="C533" s="1" t="n">
        <v>45955</v>
      </c>
      <c r="D533" t="inlineStr">
        <is>
          <t>VÄSTERNORRLANDS LÄN</t>
        </is>
      </c>
      <c r="E533" t="inlineStr">
        <is>
          <t>TIMRÅ</t>
        </is>
      </c>
      <c r="F533" t="inlineStr">
        <is>
          <t>SCA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34035-2021</t>
        </is>
      </c>
      <c r="B534" s="1" t="n">
        <v>44378</v>
      </c>
      <c r="C534" s="1" t="n">
        <v>45955</v>
      </c>
      <c r="D534" t="inlineStr">
        <is>
          <t>VÄSTERNORRLANDS LÄN</t>
        </is>
      </c>
      <c r="E534" t="inlineStr">
        <is>
          <t>TIMRÅ</t>
        </is>
      </c>
      <c r="G534" t="n">
        <v>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18814-2025</t>
        </is>
      </c>
      <c r="B535" s="1" t="n">
        <v>45764.3653587963</v>
      </c>
      <c r="C535" s="1" t="n">
        <v>45955</v>
      </c>
      <c r="D535" t="inlineStr">
        <is>
          <t>VÄSTERNORRLANDS LÄN</t>
        </is>
      </c>
      <c r="E535" t="inlineStr">
        <is>
          <t>TIMRÅ</t>
        </is>
      </c>
      <c r="F535" t="inlineStr">
        <is>
          <t>SCA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18684-2023</t>
        </is>
      </c>
      <c r="B536" s="1" t="n">
        <v>45042</v>
      </c>
      <c r="C536" s="1" t="n">
        <v>45955</v>
      </c>
      <c r="D536" t="inlineStr">
        <is>
          <t>VÄSTERNORRLANDS LÄN</t>
        </is>
      </c>
      <c r="E536" t="inlineStr">
        <is>
          <t>TIMRÅ</t>
        </is>
      </c>
      <c r="G536" t="n">
        <v>5.7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45688-2022</t>
        </is>
      </c>
      <c r="B537" s="1" t="n">
        <v>44845</v>
      </c>
      <c r="C537" s="1" t="n">
        <v>45955</v>
      </c>
      <c r="D537" t="inlineStr">
        <is>
          <t>VÄSTERNORRLANDS LÄN</t>
        </is>
      </c>
      <c r="E537" t="inlineStr">
        <is>
          <t>TIMRÅ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61166-2024</t>
        </is>
      </c>
      <c r="B538" s="1" t="n">
        <v>45645.59753472222</v>
      </c>
      <c r="C538" s="1" t="n">
        <v>45955</v>
      </c>
      <c r="D538" t="inlineStr">
        <is>
          <t>VÄSTERNORRLANDS LÄN</t>
        </is>
      </c>
      <c r="E538" t="inlineStr">
        <is>
          <t>TIMRÅ</t>
        </is>
      </c>
      <c r="G538" t="n">
        <v>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69266-2021</t>
        </is>
      </c>
      <c r="B539" s="1" t="n">
        <v>44530</v>
      </c>
      <c r="C539" s="1" t="n">
        <v>45955</v>
      </c>
      <c r="D539" t="inlineStr">
        <is>
          <t>VÄSTERNORRLANDS LÄN</t>
        </is>
      </c>
      <c r="E539" t="inlineStr">
        <is>
          <t>TIMRÅ</t>
        </is>
      </c>
      <c r="G539" t="n">
        <v>0.3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1818-2025</t>
        </is>
      </c>
      <c r="B540" s="1" t="n">
        <v>45671</v>
      </c>
      <c r="C540" s="1" t="n">
        <v>45955</v>
      </c>
      <c r="D540" t="inlineStr">
        <is>
          <t>VÄSTERNORRLANDS LÄN</t>
        </is>
      </c>
      <c r="E540" t="inlineStr">
        <is>
          <t>TIMRÅ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14680-2022</t>
        </is>
      </c>
      <c r="B541" s="1" t="n">
        <v>44655</v>
      </c>
      <c r="C541" s="1" t="n">
        <v>45955</v>
      </c>
      <c r="D541" t="inlineStr">
        <is>
          <t>VÄSTERNORRLANDS LÄN</t>
        </is>
      </c>
      <c r="E541" t="inlineStr">
        <is>
          <t>TIMRÅ</t>
        </is>
      </c>
      <c r="G541" t="n">
        <v>8.9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46021-2022</t>
        </is>
      </c>
      <c r="B542" s="1" t="n">
        <v>44846</v>
      </c>
      <c r="C542" s="1" t="n">
        <v>45955</v>
      </c>
      <c r="D542" t="inlineStr">
        <is>
          <t>VÄSTERNORRLANDS LÄN</t>
        </is>
      </c>
      <c r="E542" t="inlineStr">
        <is>
          <t>TIMRÅ</t>
        </is>
      </c>
      <c r="F542" t="inlineStr">
        <is>
          <t>Kyrkan</t>
        </is>
      </c>
      <c r="G542" t="n">
        <v>18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45723-2023</t>
        </is>
      </c>
      <c r="B543" s="1" t="n">
        <v>45195</v>
      </c>
      <c r="C543" s="1" t="n">
        <v>45955</v>
      </c>
      <c r="D543" t="inlineStr">
        <is>
          <t>VÄSTERNORRLANDS LÄN</t>
        </is>
      </c>
      <c r="E543" t="inlineStr">
        <is>
          <t>TIMRÅ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58895-2023</t>
        </is>
      </c>
      <c r="B544" s="1" t="n">
        <v>45252</v>
      </c>
      <c r="C544" s="1" t="n">
        <v>45955</v>
      </c>
      <c r="D544" t="inlineStr">
        <is>
          <t>VÄSTERNORRLANDS LÄN</t>
        </is>
      </c>
      <c r="E544" t="inlineStr">
        <is>
          <t>TIMRÅ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35417-2021</t>
        </is>
      </c>
      <c r="B545" s="1" t="n">
        <v>44385.43622685185</v>
      </c>
      <c r="C545" s="1" t="n">
        <v>45955</v>
      </c>
      <c r="D545" t="inlineStr">
        <is>
          <t>VÄSTERNORRLANDS LÄN</t>
        </is>
      </c>
      <c r="E545" t="inlineStr">
        <is>
          <t>TIMRÅ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42094-2024</t>
        </is>
      </c>
      <c r="B546" s="1" t="n">
        <v>45562</v>
      </c>
      <c r="C546" s="1" t="n">
        <v>45955</v>
      </c>
      <c r="D546" t="inlineStr">
        <is>
          <t>VÄSTERNORRLANDS LÄN</t>
        </is>
      </c>
      <c r="E546" t="inlineStr">
        <is>
          <t>TIMRÅ</t>
        </is>
      </c>
      <c r="F546" t="inlineStr">
        <is>
          <t>SCA</t>
        </is>
      </c>
      <c r="G546" t="n">
        <v>1.1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37470-2025</t>
        </is>
      </c>
      <c r="B547" s="1" t="n">
        <v>45877.58502314815</v>
      </c>
      <c r="C547" s="1" t="n">
        <v>45955</v>
      </c>
      <c r="D547" t="inlineStr">
        <is>
          <t>VÄSTERNORRLANDS LÄN</t>
        </is>
      </c>
      <c r="E547" t="inlineStr">
        <is>
          <t>TIMRÅ</t>
        </is>
      </c>
      <c r="G547" t="n">
        <v>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68774-2021</t>
        </is>
      </c>
      <c r="B548" s="1" t="n">
        <v>44529.94496527778</v>
      </c>
      <c r="C548" s="1" t="n">
        <v>45955</v>
      </c>
      <c r="D548" t="inlineStr">
        <is>
          <t>VÄSTERNORRLANDS LÄN</t>
        </is>
      </c>
      <c r="E548" t="inlineStr">
        <is>
          <t>TIMRÅ</t>
        </is>
      </c>
      <c r="G548" t="n">
        <v>0.5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16935-2025</t>
        </is>
      </c>
      <c r="B549" s="1" t="n">
        <v>45755.40678240741</v>
      </c>
      <c r="C549" s="1" t="n">
        <v>45955</v>
      </c>
      <c r="D549" t="inlineStr">
        <is>
          <t>VÄSTERNORRLANDS LÄN</t>
        </is>
      </c>
      <c r="E549" t="inlineStr">
        <is>
          <t>TIMRÅ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18415-2025</t>
        </is>
      </c>
      <c r="B550" s="1" t="n">
        <v>45762.61503472222</v>
      </c>
      <c r="C550" s="1" t="n">
        <v>45955</v>
      </c>
      <c r="D550" t="inlineStr">
        <is>
          <t>VÄSTERNORRLANDS LÄN</t>
        </is>
      </c>
      <c r="E550" t="inlineStr">
        <is>
          <t>TIMRÅ</t>
        </is>
      </c>
      <c r="G550" t="n">
        <v>9.800000000000001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45627-2024</t>
        </is>
      </c>
      <c r="B551" s="1" t="n">
        <v>45579</v>
      </c>
      <c r="C551" s="1" t="n">
        <v>45955</v>
      </c>
      <c r="D551" t="inlineStr">
        <is>
          <t>VÄSTERNORRLANDS LÄN</t>
        </is>
      </c>
      <c r="E551" t="inlineStr">
        <is>
          <t>TIMRÅ</t>
        </is>
      </c>
      <c r="F551" t="inlineStr">
        <is>
          <t>SCA</t>
        </is>
      </c>
      <c r="G551" t="n">
        <v>0.8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43959-2023</t>
        </is>
      </c>
      <c r="B552" s="1" t="n">
        <v>45187.9603587963</v>
      </c>
      <c r="C552" s="1" t="n">
        <v>45955</v>
      </c>
      <c r="D552" t="inlineStr">
        <is>
          <t>VÄSTERNORRLANDS LÄN</t>
        </is>
      </c>
      <c r="E552" t="inlineStr">
        <is>
          <t>TIMRÅ</t>
        </is>
      </c>
      <c r="F552" t="inlineStr">
        <is>
          <t>SCA</t>
        </is>
      </c>
      <c r="G552" t="n">
        <v>3.8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4124-2023</t>
        </is>
      </c>
      <c r="B553" s="1" t="n">
        <v>44952</v>
      </c>
      <c r="C553" s="1" t="n">
        <v>45955</v>
      </c>
      <c r="D553" t="inlineStr">
        <is>
          <t>VÄSTERNORRLANDS LÄN</t>
        </is>
      </c>
      <c r="E553" t="inlineStr">
        <is>
          <t>TIMRÅ</t>
        </is>
      </c>
      <c r="G553" t="n">
        <v>4.4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18375-2025</t>
        </is>
      </c>
      <c r="B554" s="1" t="n">
        <v>45762.57328703703</v>
      </c>
      <c r="C554" s="1" t="n">
        <v>45955</v>
      </c>
      <c r="D554" t="inlineStr">
        <is>
          <t>VÄSTERNORRLANDS LÄN</t>
        </is>
      </c>
      <c r="E554" t="inlineStr">
        <is>
          <t>TIMRÅ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52346-2024</t>
        </is>
      </c>
      <c r="B555" s="1" t="n">
        <v>45609.34423611111</v>
      </c>
      <c r="C555" s="1" t="n">
        <v>45955</v>
      </c>
      <c r="D555" t="inlineStr">
        <is>
          <t>VÄSTERNORRLANDS LÄN</t>
        </is>
      </c>
      <c r="E555" t="inlineStr">
        <is>
          <t>TIMRÅ</t>
        </is>
      </c>
      <c r="F555" t="inlineStr">
        <is>
          <t>SCA</t>
        </is>
      </c>
      <c r="G555" t="n">
        <v>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  <c r="U555">
        <f>HYPERLINK("https://klasma.github.io/Logging_2262/knärot/A 52346-2024 karta knärot.png", "A 52346-2024")</f>
        <v/>
      </c>
      <c r="V555">
        <f>HYPERLINK("https://klasma.github.io/Logging_2262/klagomål/A 52346-2024 FSC-klagomål.docx", "A 52346-2024")</f>
        <v/>
      </c>
      <c r="W555">
        <f>HYPERLINK("https://klasma.github.io/Logging_2262/klagomålsmail/A 52346-2024 FSC-klagomål mail.docx", "A 52346-2024")</f>
        <v/>
      </c>
      <c r="X555">
        <f>HYPERLINK("https://klasma.github.io/Logging_2262/tillsyn/A 52346-2024 tillsynsbegäran.docx", "A 52346-2024")</f>
        <v/>
      </c>
      <c r="Y555">
        <f>HYPERLINK("https://klasma.github.io/Logging_2262/tillsynsmail/A 52346-2024 tillsynsbegäran mail.docx", "A 52346-2024")</f>
        <v/>
      </c>
    </row>
    <row r="556" ht="15" customHeight="1">
      <c r="A556" t="inlineStr">
        <is>
          <t>A 44378-2023</t>
        </is>
      </c>
      <c r="B556" s="1" t="n">
        <v>45188.92491898148</v>
      </c>
      <c r="C556" s="1" t="n">
        <v>45955</v>
      </c>
      <c r="D556" t="inlineStr">
        <is>
          <t>VÄSTERNORRLANDS LÄN</t>
        </is>
      </c>
      <c r="E556" t="inlineStr">
        <is>
          <t>TIMRÅ</t>
        </is>
      </c>
      <c r="G556" t="n">
        <v>0.6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46019-2025</t>
        </is>
      </c>
      <c r="B557" s="1" t="n">
        <v>45924.42788194444</v>
      </c>
      <c r="C557" s="1" t="n">
        <v>45955</v>
      </c>
      <c r="D557" t="inlineStr">
        <is>
          <t>VÄSTERNORRLANDS LÄN</t>
        </is>
      </c>
      <c r="E557" t="inlineStr">
        <is>
          <t>TIMRÅ</t>
        </is>
      </c>
      <c r="G557" t="n">
        <v>5.1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46079-2025</t>
        </is>
      </c>
      <c r="B558" s="1" t="n">
        <v>45924.51083333333</v>
      </c>
      <c r="C558" s="1" t="n">
        <v>45955</v>
      </c>
      <c r="D558" t="inlineStr">
        <is>
          <t>VÄSTERNORRLANDS LÄN</t>
        </is>
      </c>
      <c r="E558" t="inlineStr">
        <is>
          <t>TIMRÅ</t>
        </is>
      </c>
      <c r="F558" t="inlineStr">
        <is>
          <t>SCA</t>
        </is>
      </c>
      <c r="G558" t="n">
        <v>2.7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46016-2025</t>
        </is>
      </c>
      <c r="B559" s="1" t="n">
        <v>45924.42755787037</v>
      </c>
      <c r="C559" s="1" t="n">
        <v>45955</v>
      </c>
      <c r="D559" t="inlineStr">
        <is>
          <t>VÄSTERNORRLANDS LÄN</t>
        </is>
      </c>
      <c r="E559" t="inlineStr">
        <is>
          <t>TIMRÅ</t>
        </is>
      </c>
      <c r="F559" t="inlineStr">
        <is>
          <t>SCA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47089-2024</t>
        </is>
      </c>
      <c r="B560" s="1" t="n">
        <v>45586.51078703703</v>
      </c>
      <c r="C560" s="1" t="n">
        <v>45955</v>
      </c>
      <c r="D560" t="inlineStr">
        <is>
          <t>VÄSTERNORRLANDS LÄN</t>
        </is>
      </c>
      <c r="E560" t="inlineStr">
        <is>
          <t>TIMRÅ</t>
        </is>
      </c>
      <c r="F560" t="inlineStr">
        <is>
          <t>SCA</t>
        </is>
      </c>
      <c r="G560" t="n">
        <v>5.4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24304-2023</t>
        </is>
      </c>
      <c r="B561" s="1" t="n">
        <v>45079</v>
      </c>
      <c r="C561" s="1" t="n">
        <v>45955</v>
      </c>
      <c r="D561" t="inlineStr">
        <is>
          <t>VÄSTERNORRLANDS LÄN</t>
        </is>
      </c>
      <c r="E561" t="inlineStr">
        <is>
          <t>TIMRÅ</t>
        </is>
      </c>
      <c r="F561" t="inlineStr">
        <is>
          <t>SCA</t>
        </is>
      </c>
      <c r="G561" t="n">
        <v>1.6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1416-2023</t>
        </is>
      </c>
      <c r="B562" s="1" t="n">
        <v>44936.92666666667</v>
      </c>
      <c r="C562" s="1" t="n">
        <v>45955</v>
      </c>
      <c r="D562" t="inlineStr">
        <is>
          <t>VÄSTERNORRLANDS LÄN</t>
        </is>
      </c>
      <c r="E562" t="inlineStr">
        <is>
          <t>TIMRÅ</t>
        </is>
      </c>
      <c r="G562" t="n">
        <v>0.6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36204-2025</t>
        </is>
      </c>
      <c r="B563" s="1" t="n">
        <v>45867</v>
      </c>
      <c r="C563" s="1" t="n">
        <v>45955</v>
      </c>
      <c r="D563" t="inlineStr">
        <is>
          <t>VÄSTERNORRLANDS LÄN</t>
        </is>
      </c>
      <c r="E563" t="inlineStr">
        <is>
          <t>TIMRÅ</t>
        </is>
      </c>
      <c r="F563" t="inlineStr">
        <is>
          <t>SCA</t>
        </is>
      </c>
      <c r="G563" t="n">
        <v>2.2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  <c r="U563">
        <f>HYPERLINK("https://klasma.github.io/Logging_2262/knärot/A 36204-2025 karta knärot.png", "A 36204-2025")</f>
        <v/>
      </c>
      <c r="V563">
        <f>HYPERLINK("https://klasma.github.io/Logging_2262/klagomål/A 36204-2025 FSC-klagomål.docx", "A 36204-2025")</f>
        <v/>
      </c>
      <c r="W563">
        <f>HYPERLINK("https://klasma.github.io/Logging_2262/klagomålsmail/A 36204-2025 FSC-klagomål mail.docx", "A 36204-2025")</f>
        <v/>
      </c>
      <c r="X563">
        <f>HYPERLINK("https://klasma.github.io/Logging_2262/tillsyn/A 36204-2025 tillsynsbegäran.docx", "A 36204-2025")</f>
        <v/>
      </c>
      <c r="Y563">
        <f>HYPERLINK("https://klasma.github.io/Logging_2262/tillsynsmail/A 36204-2025 tillsynsbegäran mail.docx", "A 36204-2025")</f>
        <v/>
      </c>
    </row>
    <row r="564" ht="15" customHeight="1">
      <c r="A564" t="inlineStr">
        <is>
          <t>A 2403-2025</t>
        </is>
      </c>
      <c r="B564" s="1" t="n">
        <v>45672</v>
      </c>
      <c r="C564" s="1" t="n">
        <v>45955</v>
      </c>
      <c r="D564" t="inlineStr">
        <is>
          <t>VÄSTERNORRLANDS LÄN</t>
        </is>
      </c>
      <c r="E564" t="inlineStr">
        <is>
          <t>TIMRÅ</t>
        </is>
      </c>
      <c r="G564" t="n">
        <v>3.4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55602-2024</t>
        </is>
      </c>
      <c r="B565" s="1" t="n">
        <v>45622</v>
      </c>
      <c r="C565" s="1" t="n">
        <v>45955</v>
      </c>
      <c r="D565" t="inlineStr">
        <is>
          <t>VÄSTERNORRLANDS LÄN</t>
        </is>
      </c>
      <c r="E565" t="inlineStr">
        <is>
          <t>TIMRÅ</t>
        </is>
      </c>
      <c r="G565" t="n">
        <v>3.9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16863-2024</t>
        </is>
      </c>
      <c r="B566" s="1" t="n">
        <v>45411</v>
      </c>
      <c r="C566" s="1" t="n">
        <v>45955</v>
      </c>
      <c r="D566" t="inlineStr">
        <is>
          <t>VÄSTERNORRLANDS LÄN</t>
        </is>
      </c>
      <c r="E566" t="inlineStr">
        <is>
          <t>TIMRÅ</t>
        </is>
      </c>
      <c r="G566" t="n">
        <v>3.6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53293-2024</t>
        </is>
      </c>
      <c r="B567" s="1" t="n">
        <v>45614.38722222222</v>
      </c>
      <c r="C567" s="1" t="n">
        <v>45955</v>
      </c>
      <c r="D567" t="inlineStr">
        <is>
          <t>VÄSTERNORRLANDS LÄN</t>
        </is>
      </c>
      <c r="E567" t="inlineStr">
        <is>
          <t>TIMRÅ</t>
        </is>
      </c>
      <c r="F567" t="inlineStr">
        <is>
          <t>SCA</t>
        </is>
      </c>
      <c r="G567" t="n">
        <v>1.5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38110-2025</t>
        </is>
      </c>
      <c r="B568" s="1" t="n">
        <v>45882</v>
      </c>
      <c r="C568" s="1" t="n">
        <v>45955</v>
      </c>
      <c r="D568" t="inlineStr">
        <is>
          <t>VÄSTERNORRLANDS LÄN</t>
        </is>
      </c>
      <c r="E568" t="inlineStr">
        <is>
          <t>TIMRÅ</t>
        </is>
      </c>
      <c r="G568" t="n">
        <v>7.4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53298-2024</t>
        </is>
      </c>
      <c r="B569" s="1" t="n">
        <v>45614.38810185185</v>
      </c>
      <c r="C569" s="1" t="n">
        <v>45955</v>
      </c>
      <c r="D569" t="inlineStr">
        <is>
          <t>VÄSTERNORRLANDS LÄN</t>
        </is>
      </c>
      <c r="E569" t="inlineStr">
        <is>
          <t>TIMRÅ</t>
        </is>
      </c>
      <c r="F569" t="inlineStr">
        <is>
          <t>SCA</t>
        </is>
      </c>
      <c r="G569" t="n">
        <v>1.4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53299-2024</t>
        </is>
      </c>
      <c r="B570" s="1" t="n">
        <v>45614.38815972222</v>
      </c>
      <c r="C570" s="1" t="n">
        <v>45955</v>
      </c>
      <c r="D570" t="inlineStr">
        <is>
          <t>VÄSTERNORRLANDS LÄN</t>
        </is>
      </c>
      <c r="E570" t="inlineStr">
        <is>
          <t>TIMRÅ</t>
        </is>
      </c>
      <c r="F570" t="inlineStr">
        <is>
          <t>SCA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56284-2024</t>
        </is>
      </c>
      <c r="B571" s="1" t="n">
        <v>45624.67894675926</v>
      </c>
      <c r="C571" s="1" t="n">
        <v>45955</v>
      </c>
      <c r="D571" t="inlineStr">
        <is>
          <t>VÄSTERNORRLANDS LÄN</t>
        </is>
      </c>
      <c r="E571" t="inlineStr">
        <is>
          <t>TIMRÅ</t>
        </is>
      </c>
      <c r="F571" t="inlineStr">
        <is>
          <t>SCA</t>
        </is>
      </c>
      <c r="G571" t="n">
        <v>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54547-2024</t>
        </is>
      </c>
      <c r="B572" s="1" t="n">
        <v>45617.61572916667</v>
      </c>
      <c r="C572" s="1" t="n">
        <v>45955</v>
      </c>
      <c r="D572" t="inlineStr">
        <is>
          <t>VÄSTERNORRLANDS LÄN</t>
        </is>
      </c>
      <c r="E572" t="inlineStr">
        <is>
          <t>TIMRÅ</t>
        </is>
      </c>
      <c r="F572" t="inlineStr">
        <is>
          <t>SCA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24988-2022</t>
        </is>
      </c>
      <c r="B573" s="1" t="n">
        <v>44728</v>
      </c>
      <c r="C573" s="1" t="n">
        <v>45955</v>
      </c>
      <c r="D573" t="inlineStr">
        <is>
          <t>VÄSTERNORRLANDS LÄN</t>
        </is>
      </c>
      <c r="E573" t="inlineStr">
        <is>
          <t>TIMRÅ</t>
        </is>
      </c>
      <c r="G573" t="n">
        <v>1.7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44405-2023</t>
        </is>
      </c>
      <c r="B574" s="1" t="n">
        <v>45188</v>
      </c>
      <c r="C574" s="1" t="n">
        <v>45955</v>
      </c>
      <c r="D574" t="inlineStr">
        <is>
          <t>VÄSTERNORRLANDS LÄN</t>
        </is>
      </c>
      <c r="E574" t="inlineStr">
        <is>
          <t>TIMRÅ</t>
        </is>
      </c>
      <c r="F574" t="inlineStr">
        <is>
          <t>SCA</t>
        </is>
      </c>
      <c r="G574" t="n">
        <v>1.7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13861-2025</t>
        </is>
      </c>
      <c r="B575" s="1" t="n">
        <v>45737.5741550926</v>
      </c>
      <c r="C575" s="1" t="n">
        <v>45955</v>
      </c>
      <c r="D575" t="inlineStr">
        <is>
          <t>VÄSTERNORRLANDS LÄN</t>
        </is>
      </c>
      <c r="E575" t="inlineStr">
        <is>
          <t>TIMRÅ</t>
        </is>
      </c>
      <c r="F575" t="inlineStr">
        <is>
          <t>SCA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41605-2023</t>
        </is>
      </c>
      <c r="B576" s="1" t="n">
        <v>45175.65100694444</v>
      </c>
      <c r="C576" s="1" t="n">
        <v>45955</v>
      </c>
      <c r="D576" t="inlineStr">
        <is>
          <t>VÄSTERNORRLANDS LÄN</t>
        </is>
      </c>
      <c r="E576" t="inlineStr">
        <is>
          <t>TIMRÅ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14578-2024</t>
        </is>
      </c>
      <c r="B577" s="1" t="n">
        <v>45394.95059027777</v>
      </c>
      <c r="C577" s="1" t="n">
        <v>45955</v>
      </c>
      <c r="D577" t="inlineStr">
        <is>
          <t>VÄSTERNORRLANDS LÄN</t>
        </is>
      </c>
      <c r="E577" t="inlineStr">
        <is>
          <t>TIMRÅ</t>
        </is>
      </c>
      <c r="F577" t="inlineStr">
        <is>
          <t>SCA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48031-2024</t>
        </is>
      </c>
      <c r="B578" s="1" t="n">
        <v>45589.48760416666</v>
      </c>
      <c r="C578" s="1" t="n">
        <v>45955</v>
      </c>
      <c r="D578" t="inlineStr">
        <is>
          <t>VÄSTERNORRLANDS LÄN</t>
        </is>
      </c>
      <c r="E578" t="inlineStr">
        <is>
          <t>TIMRÅ</t>
        </is>
      </c>
      <c r="G578" t="n">
        <v>8.9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27623-2024</t>
        </is>
      </c>
      <c r="B579" s="1" t="n">
        <v>45474</v>
      </c>
      <c r="C579" s="1" t="n">
        <v>45955</v>
      </c>
      <c r="D579" t="inlineStr">
        <is>
          <t>VÄSTERNORRLANDS LÄN</t>
        </is>
      </c>
      <c r="E579" t="inlineStr">
        <is>
          <t>TIMRÅ</t>
        </is>
      </c>
      <c r="G579" t="n">
        <v>3.4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19244-2023</t>
        </is>
      </c>
      <c r="B580" s="1" t="n">
        <v>45048</v>
      </c>
      <c r="C580" s="1" t="n">
        <v>45955</v>
      </c>
      <c r="D580" t="inlineStr">
        <is>
          <t>VÄSTERNORRLANDS LÄN</t>
        </is>
      </c>
      <c r="E580" t="inlineStr">
        <is>
          <t>TIMRÅ</t>
        </is>
      </c>
      <c r="F580" t="inlineStr">
        <is>
          <t>SCA</t>
        </is>
      </c>
      <c r="G580" t="n">
        <v>1.7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24304-2022</t>
        </is>
      </c>
      <c r="B581" s="1" t="n">
        <v>44725</v>
      </c>
      <c r="C581" s="1" t="n">
        <v>45955</v>
      </c>
      <c r="D581" t="inlineStr">
        <is>
          <t>VÄSTERNORRLANDS LÄN</t>
        </is>
      </c>
      <c r="E581" t="inlineStr">
        <is>
          <t>TIMRÅ</t>
        </is>
      </c>
      <c r="F581" t="inlineStr">
        <is>
          <t>SCA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45608-2024</t>
        </is>
      </c>
      <c r="B582" s="1" t="n">
        <v>45579.4483912037</v>
      </c>
      <c r="C582" s="1" t="n">
        <v>45955</v>
      </c>
      <c r="D582" t="inlineStr">
        <is>
          <t>VÄSTERNORRLANDS LÄN</t>
        </is>
      </c>
      <c r="E582" t="inlineStr">
        <is>
          <t>TIMRÅ</t>
        </is>
      </c>
      <c r="F582" t="inlineStr">
        <is>
          <t>SCA</t>
        </is>
      </c>
      <c r="G582" t="n">
        <v>4.6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45629-2024</t>
        </is>
      </c>
      <c r="B583" s="1" t="n">
        <v>45579.46957175926</v>
      </c>
      <c r="C583" s="1" t="n">
        <v>45955</v>
      </c>
      <c r="D583" t="inlineStr">
        <is>
          <t>VÄSTERNORRLANDS LÄN</t>
        </is>
      </c>
      <c r="E583" t="inlineStr">
        <is>
          <t>TIMRÅ</t>
        </is>
      </c>
      <c r="F583" t="inlineStr">
        <is>
          <t>SCA</t>
        </is>
      </c>
      <c r="G583" t="n">
        <v>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57762-2023</t>
        </is>
      </c>
      <c r="B584" s="1" t="n">
        <v>45246</v>
      </c>
      <c r="C584" s="1" t="n">
        <v>45955</v>
      </c>
      <c r="D584" t="inlineStr">
        <is>
          <t>VÄSTERNORRLANDS LÄN</t>
        </is>
      </c>
      <c r="E584" t="inlineStr">
        <is>
          <t>TIMRÅ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44991-2023</t>
        </is>
      </c>
      <c r="B585" s="1" t="n">
        <v>45190</v>
      </c>
      <c r="C585" s="1" t="n">
        <v>45955</v>
      </c>
      <c r="D585" t="inlineStr">
        <is>
          <t>VÄSTERNORRLANDS LÄN</t>
        </is>
      </c>
      <c r="E585" t="inlineStr">
        <is>
          <t>TIMRÅ</t>
        </is>
      </c>
      <c r="F585" t="inlineStr">
        <is>
          <t>SCA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33667-2023</t>
        </is>
      </c>
      <c r="B586" s="1" t="n">
        <v>45119</v>
      </c>
      <c r="C586" s="1" t="n">
        <v>45955</v>
      </c>
      <c r="D586" t="inlineStr">
        <is>
          <t>VÄSTERNORRLANDS LÄN</t>
        </is>
      </c>
      <c r="E586" t="inlineStr">
        <is>
          <t>TIMRÅ</t>
        </is>
      </c>
      <c r="G586" t="n">
        <v>4.8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18824-2025</t>
        </is>
      </c>
      <c r="B587" s="1" t="n">
        <v>45764.38584490741</v>
      </c>
      <c r="C587" s="1" t="n">
        <v>45955</v>
      </c>
      <c r="D587" t="inlineStr">
        <is>
          <t>VÄSTERNORRLANDS LÄN</t>
        </is>
      </c>
      <c r="E587" t="inlineStr">
        <is>
          <t>TIMRÅ</t>
        </is>
      </c>
      <c r="F587" t="inlineStr">
        <is>
          <t>SCA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13254-2023</t>
        </is>
      </c>
      <c r="B588" s="1" t="n">
        <v>45002</v>
      </c>
      <c r="C588" s="1" t="n">
        <v>45955</v>
      </c>
      <c r="D588" t="inlineStr">
        <is>
          <t>VÄSTERNORRLANDS LÄN</t>
        </is>
      </c>
      <c r="E588" t="inlineStr">
        <is>
          <t>TIMRÅ</t>
        </is>
      </c>
      <c r="F588" t="inlineStr">
        <is>
          <t>SCA</t>
        </is>
      </c>
      <c r="G588" t="n">
        <v>8.800000000000001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20835-2023</t>
        </is>
      </c>
      <c r="B589" s="1" t="n">
        <v>45058</v>
      </c>
      <c r="C589" s="1" t="n">
        <v>45955</v>
      </c>
      <c r="D589" t="inlineStr">
        <is>
          <t>VÄSTERNORRLANDS LÄN</t>
        </is>
      </c>
      <c r="E589" t="inlineStr">
        <is>
          <t>TIMRÅ</t>
        </is>
      </c>
      <c r="G589" t="n">
        <v>4.4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20839-2023</t>
        </is>
      </c>
      <c r="B590" s="1" t="n">
        <v>45058.68923611111</v>
      </c>
      <c r="C590" s="1" t="n">
        <v>45955</v>
      </c>
      <c r="D590" t="inlineStr">
        <is>
          <t>VÄSTERNORRLANDS LÄN</t>
        </is>
      </c>
      <c r="E590" t="inlineStr">
        <is>
          <t>TIMRÅ</t>
        </is>
      </c>
      <c r="G590" t="n">
        <v>7.2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47150-2023</t>
        </is>
      </c>
      <c r="B591" s="1" t="n">
        <v>45201</v>
      </c>
      <c r="C591" s="1" t="n">
        <v>45955</v>
      </c>
      <c r="D591" t="inlineStr">
        <is>
          <t>VÄSTERNORRLANDS LÄN</t>
        </is>
      </c>
      <c r="E591" t="inlineStr">
        <is>
          <t>TIMRÅ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20840-2023</t>
        </is>
      </c>
      <c r="B592" s="1" t="n">
        <v>45058</v>
      </c>
      <c r="C592" s="1" t="n">
        <v>45955</v>
      </c>
      <c r="D592" t="inlineStr">
        <is>
          <t>VÄSTERNORRLANDS LÄN</t>
        </is>
      </c>
      <c r="E592" t="inlineStr">
        <is>
          <t>TIMRÅ</t>
        </is>
      </c>
      <c r="G592" t="n">
        <v>3.1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9317-2022</t>
        </is>
      </c>
      <c r="B593" s="1" t="n">
        <v>44616</v>
      </c>
      <c r="C593" s="1" t="n">
        <v>45955</v>
      </c>
      <c r="D593" t="inlineStr">
        <is>
          <t>VÄSTERNORRLANDS LÄN</t>
        </is>
      </c>
      <c r="E593" t="inlineStr">
        <is>
          <t>TIMRÅ</t>
        </is>
      </c>
      <c r="G593" t="n">
        <v>1.1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13218-2025</t>
        </is>
      </c>
      <c r="B594" s="1" t="n">
        <v>45735.44883101852</v>
      </c>
      <c r="C594" s="1" t="n">
        <v>45955</v>
      </c>
      <c r="D594" t="inlineStr">
        <is>
          <t>VÄSTERNORRLANDS LÄN</t>
        </is>
      </c>
      <c r="E594" t="inlineStr">
        <is>
          <t>TIMRÅ</t>
        </is>
      </c>
      <c r="F594" t="inlineStr">
        <is>
          <t>SCA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524-2023</t>
        </is>
      </c>
      <c r="B595" s="1" t="n">
        <v>44924</v>
      </c>
      <c r="C595" s="1" t="n">
        <v>45955</v>
      </c>
      <c r="D595" t="inlineStr">
        <is>
          <t>VÄSTERNORRLANDS LÄN</t>
        </is>
      </c>
      <c r="E595" t="inlineStr">
        <is>
          <t>TIMRÅ</t>
        </is>
      </c>
      <c r="G595" t="n">
        <v>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9717-2025</t>
        </is>
      </c>
      <c r="B596" s="1" t="n">
        <v>45716</v>
      </c>
      <c r="C596" s="1" t="n">
        <v>45955</v>
      </c>
      <c r="D596" t="inlineStr">
        <is>
          <t>VÄSTERNORRLANDS LÄN</t>
        </is>
      </c>
      <c r="E596" t="inlineStr">
        <is>
          <t>TIMRÅ</t>
        </is>
      </c>
      <c r="G596" t="n">
        <v>4.6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56443-2024</t>
        </is>
      </c>
      <c r="B597" s="1" t="n">
        <v>45625</v>
      </c>
      <c r="C597" s="1" t="n">
        <v>45955</v>
      </c>
      <c r="D597" t="inlineStr">
        <is>
          <t>VÄSTERNORRLANDS LÄN</t>
        </is>
      </c>
      <c r="E597" t="inlineStr">
        <is>
          <t>TIMRÅ</t>
        </is>
      </c>
      <c r="G597" t="n">
        <v>2.6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39691-2022</t>
        </is>
      </c>
      <c r="B598" s="1" t="n">
        <v>44818.9474537037</v>
      </c>
      <c r="C598" s="1" t="n">
        <v>45955</v>
      </c>
      <c r="D598" t="inlineStr">
        <is>
          <t>VÄSTERNORRLANDS LÄN</t>
        </is>
      </c>
      <c r="E598" t="inlineStr">
        <is>
          <t>TIMRÅ</t>
        </is>
      </c>
      <c r="G598" t="n">
        <v>1.4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55080-2024</t>
        </is>
      </c>
      <c r="B599" s="1" t="n">
        <v>45621.4275462963</v>
      </c>
      <c r="C599" s="1" t="n">
        <v>45955</v>
      </c>
      <c r="D599" t="inlineStr">
        <is>
          <t>VÄSTERNORRLANDS LÄN</t>
        </is>
      </c>
      <c r="E599" t="inlineStr">
        <is>
          <t>TIMRÅ</t>
        </is>
      </c>
      <c r="F599" t="inlineStr">
        <is>
          <t>SCA</t>
        </is>
      </c>
      <c r="G599" t="n">
        <v>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16302-2025</t>
        </is>
      </c>
      <c r="B600" s="1" t="n">
        <v>45751.34613425926</v>
      </c>
      <c r="C600" s="1" t="n">
        <v>45955</v>
      </c>
      <c r="D600" t="inlineStr">
        <is>
          <t>VÄSTERNORRLANDS LÄN</t>
        </is>
      </c>
      <c r="E600" t="inlineStr">
        <is>
          <t>TIMRÅ</t>
        </is>
      </c>
      <c r="F600" t="inlineStr">
        <is>
          <t>SCA</t>
        </is>
      </c>
      <c r="G600" t="n">
        <v>0.3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38996-2024</t>
        </is>
      </c>
      <c r="B601" s="1" t="n">
        <v>45548.41377314815</v>
      </c>
      <c r="C601" s="1" t="n">
        <v>45955</v>
      </c>
      <c r="D601" t="inlineStr">
        <is>
          <t>VÄSTERNORRLANDS LÄN</t>
        </is>
      </c>
      <c r="E601" t="inlineStr">
        <is>
          <t>TIMRÅ</t>
        </is>
      </c>
      <c r="G601" t="n">
        <v>8.5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48397-2024</t>
        </is>
      </c>
      <c r="B602" s="1" t="n">
        <v>45590.61517361111</v>
      </c>
      <c r="C602" s="1" t="n">
        <v>45955</v>
      </c>
      <c r="D602" t="inlineStr">
        <is>
          <t>VÄSTERNORRLANDS LÄN</t>
        </is>
      </c>
      <c r="E602" t="inlineStr">
        <is>
          <t>TIMRÅ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39046-2023</t>
        </is>
      </c>
      <c r="B603" s="1" t="n">
        <v>45163</v>
      </c>
      <c r="C603" s="1" t="n">
        <v>45955</v>
      </c>
      <c r="D603" t="inlineStr">
        <is>
          <t>VÄSTERNORRLANDS LÄN</t>
        </is>
      </c>
      <c r="E603" t="inlineStr">
        <is>
          <t>TIMRÅ</t>
        </is>
      </c>
      <c r="G603" t="n">
        <v>1.8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57063-2024</t>
        </is>
      </c>
      <c r="B604" s="1" t="n">
        <v>45629.35313657407</v>
      </c>
      <c r="C604" s="1" t="n">
        <v>45955</v>
      </c>
      <c r="D604" t="inlineStr">
        <is>
          <t>VÄSTERNORRLANDS LÄN</t>
        </is>
      </c>
      <c r="E604" t="inlineStr">
        <is>
          <t>TIMRÅ</t>
        </is>
      </c>
      <c r="G604" t="n">
        <v>2.7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16315-2024</t>
        </is>
      </c>
      <c r="B605" s="1" t="n">
        <v>45407</v>
      </c>
      <c r="C605" s="1" t="n">
        <v>45955</v>
      </c>
      <c r="D605" t="inlineStr">
        <is>
          <t>VÄSTERNORRLANDS LÄN</t>
        </is>
      </c>
      <c r="E605" t="inlineStr">
        <is>
          <t>TIMRÅ</t>
        </is>
      </c>
      <c r="F605" t="inlineStr">
        <is>
          <t>Kommuner</t>
        </is>
      </c>
      <c r="G605" t="n">
        <v>0.5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20843-2023</t>
        </is>
      </c>
      <c r="B606" s="1" t="n">
        <v>45058</v>
      </c>
      <c r="C606" s="1" t="n">
        <v>45955</v>
      </c>
      <c r="D606" t="inlineStr">
        <is>
          <t>VÄSTERNORRLANDS LÄN</t>
        </is>
      </c>
      <c r="E606" t="inlineStr">
        <is>
          <t>TIMRÅ</t>
        </is>
      </c>
      <c r="G606" t="n">
        <v>1.6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>
      <c r="A607" t="inlineStr">
        <is>
          <t>A 20844-2023</t>
        </is>
      </c>
      <c r="B607" s="1" t="n">
        <v>45058</v>
      </c>
      <c r="C607" s="1" t="n">
        <v>45955</v>
      </c>
      <c r="D607" t="inlineStr">
        <is>
          <t>VÄSTERNORRLANDS LÄN</t>
        </is>
      </c>
      <c r="E607" t="inlineStr">
        <is>
          <t>TIMRÅ</t>
        </is>
      </c>
      <c r="G607" t="n">
        <v>1.8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2025-10-25T09:45:06Z</dcterms:created>
  <dcterms:modified xmlns:dcterms="http://purl.org/dc/terms/" xmlns:xsi="http://www.w3.org/2001/XMLSchema-instance" xsi:type="dcterms:W3CDTF">2025-10-25T09:45:07Z</dcterms:modified>
</cp:coreProperties>
</file>